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13_ncr:1_{FE2166FF-9CB6-4039-B2DB-339FD04DE92E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74" i="1" l="1"/>
  <c r="C228" i="1"/>
  <c r="C364" i="1"/>
  <c r="C234" i="1"/>
  <c r="C224" i="1"/>
  <c r="C223" i="1"/>
  <c r="BN66" i="1"/>
  <c r="AB64" i="1"/>
  <c r="E61" i="1"/>
  <c r="AG61" i="1"/>
  <c r="C383" i="1"/>
  <c r="BN69" i="1"/>
  <c r="CD69" i="1"/>
  <c r="CC69" i="1"/>
  <c r="CC70" i="1"/>
  <c r="C213" i="1"/>
  <c r="B52" i="1"/>
  <c r="BV68" i="1"/>
  <c r="C171" i="1"/>
  <c r="C392" i="1"/>
  <c r="C370" i="1"/>
  <c r="C360" i="1"/>
  <c r="C323" i="1"/>
  <c r="C267" i="1"/>
  <c r="C252" i="1"/>
  <c r="C255" i="1"/>
  <c r="C200" i="1"/>
  <c r="C203" i="1"/>
  <c r="C195" i="1"/>
  <c r="B195" i="1"/>
  <c r="C175" i="1"/>
  <c r="C176" i="1" s="1"/>
  <c r="C166" i="1"/>
  <c r="L69" i="1"/>
  <c r="BI66" i="1"/>
  <c r="AO74" i="1"/>
  <c r="BK66" i="1"/>
  <c r="BK65" i="1"/>
  <c r="BK64" i="1"/>
  <c r="BK47" i="1"/>
  <c r="BK61" i="1"/>
  <c r="V63" i="1"/>
  <c r="V74" i="1"/>
  <c r="V73" i="1"/>
  <c r="R69" i="1"/>
  <c r="R68" i="1"/>
  <c r="R66" i="1"/>
  <c r="R65" i="1"/>
  <c r="R64" i="1"/>
  <c r="R74" i="1"/>
  <c r="R73" i="1"/>
  <c r="R61" i="1"/>
  <c r="R47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F550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H545" i="10" s="1"/>
  <c r="E544" i="10"/>
  <c r="D544" i="10"/>
  <c r="B544" i="10"/>
  <c r="F544" i="10" s="1"/>
  <c r="B543" i="10"/>
  <c r="B542" i="10"/>
  <c r="B541" i="10"/>
  <c r="F540" i="10"/>
  <c r="E540" i="10"/>
  <c r="D540" i="10"/>
  <c r="B540" i="10"/>
  <c r="H540" i="10" s="1"/>
  <c r="E539" i="10"/>
  <c r="D539" i="10"/>
  <c r="B539" i="10"/>
  <c r="F539" i="10" s="1"/>
  <c r="E538" i="10"/>
  <c r="D538" i="10"/>
  <c r="B538" i="10"/>
  <c r="F538" i="10" s="1"/>
  <c r="E537" i="10"/>
  <c r="D537" i="10"/>
  <c r="B537" i="10"/>
  <c r="F537" i="10" s="1"/>
  <c r="E536" i="10"/>
  <c r="D536" i="10"/>
  <c r="B536" i="10"/>
  <c r="H536" i="10" s="1"/>
  <c r="E535" i="10"/>
  <c r="D535" i="10"/>
  <c r="B535" i="10"/>
  <c r="F535" i="10" s="1"/>
  <c r="E534" i="10"/>
  <c r="D534" i="10"/>
  <c r="B534" i="10"/>
  <c r="F534" i="10" s="1"/>
  <c r="E533" i="10"/>
  <c r="D533" i="10"/>
  <c r="B533" i="10"/>
  <c r="F533" i="10" s="1"/>
  <c r="F532" i="10"/>
  <c r="E532" i="10"/>
  <c r="D532" i="10"/>
  <c r="B532" i="10"/>
  <c r="E531" i="10"/>
  <c r="D531" i="10"/>
  <c r="B531" i="10"/>
  <c r="E530" i="10"/>
  <c r="D530" i="10"/>
  <c r="B530" i="10"/>
  <c r="D529" i="10"/>
  <c r="B529" i="10"/>
  <c r="F529" i="10" s="1"/>
  <c r="E528" i="10"/>
  <c r="D528" i="10"/>
  <c r="B528" i="10"/>
  <c r="H528" i="10" s="1"/>
  <c r="E527" i="10"/>
  <c r="D527" i="10"/>
  <c r="B527" i="10"/>
  <c r="E526" i="10"/>
  <c r="D526" i="10"/>
  <c r="B526" i="10"/>
  <c r="F526" i="10" s="1"/>
  <c r="E525" i="10"/>
  <c r="D525" i="10"/>
  <c r="B525" i="10"/>
  <c r="H525" i="10" s="1"/>
  <c r="E524" i="10"/>
  <c r="D524" i="10"/>
  <c r="B524" i="10"/>
  <c r="F524" i="10" s="1"/>
  <c r="E523" i="10"/>
  <c r="D523" i="10"/>
  <c r="B523" i="10"/>
  <c r="F523" i="10" s="1"/>
  <c r="E522" i="10"/>
  <c r="D522" i="10"/>
  <c r="B522" i="10"/>
  <c r="F522" i="10" s="1"/>
  <c r="F521" i="10"/>
  <c r="B521" i="10"/>
  <c r="H520" i="10"/>
  <c r="E520" i="10"/>
  <c r="D520" i="10"/>
  <c r="B520" i="10"/>
  <c r="F520" i="10" s="1"/>
  <c r="E519" i="10"/>
  <c r="D519" i="10"/>
  <c r="B519" i="10"/>
  <c r="H519" i="10" s="1"/>
  <c r="E518" i="10"/>
  <c r="D518" i="10"/>
  <c r="B518" i="10"/>
  <c r="F518" i="10" s="1"/>
  <c r="E517" i="10"/>
  <c r="D517" i="10"/>
  <c r="B517" i="10"/>
  <c r="F517" i="10" s="1"/>
  <c r="E516" i="10"/>
  <c r="D516" i="10"/>
  <c r="B516" i="10"/>
  <c r="F516" i="10" s="1"/>
  <c r="E515" i="10"/>
  <c r="D515" i="10"/>
  <c r="B515" i="10"/>
  <c r="E514" i="10"/>
  <c r="D514" i="10"/>
  <c r="F514" i="10" s="1"/>
  <c r="B514" i="10"/>
  <c r="B513" i="10"/>
  <c r="F513" i="10" s="1"/>
  <c r="F512" i="10"/>
  <c r="B512" i="10"/>
  <c r="E511" i="10"/>
  <c r="D511" i="10"/>
  <c r="B511" i="10"/>
  <c r="E510" i="10"/>
  <c r="D510" i="10"/>
  <c r="B510" i="10"/>
  <c r="F510" i="10" s="1"/>
  <c r="E509" i="10"/>
  <c r="D509" i="10"/>
  <c r="B509" i="10"/>
  <c r="F509" i="10" s="1"/>
  <c r="E508" i="10"/>
  <c r="D508" i="10"/>
  <c r="B508" i="10"/>
  <c r="F508" i="10" s="1"/>
  <c r="E507" i="10"/>
  <c r="D507" i="10"/>
  <c r="B507" i="10"/>
  <c r="H507" i="10" s="1"/>
  <c r="E506" i="10"/>
  <c r="D506" i="10"/>
  <c r="B506" i="10"/>
  <c r="H506" i="10" s="1"/>
  <c r="E505" i="10"/>
  <c r="D505" i="10"/>
  <c r="B505" i="10"/>
  <c r="E504" i="10"/>
  <c r="D504" i="10"/>
  <c r="B504" i="10"/>
  <c r="F504" i="10" s="1"/>
  <c r="E503" i="10"/>
  <c r="D503" i="10"/>
  <c r="B503" i="10"/>
  <c r="F503" i="10" s="1"/>
  <c r="E502" i="10"/>
  <c r="D502" i="10"/>
  <c r="B502" i="10"/>
  <c r="H502" i="10" s="1"/>
  <c r="E501" i="10"/>
  <c r="D501" i="10"/>
  <c r="B501" i="10"/>
  <c r="H501" i="10" s="1"/>
  <c r="H500" i="10"/>
  <c r="E500" i="10"/>
  <c r="D500" i="10"/>
  <c r="B500" i="10"/>
  <c r="F500" i="10" s="1"/>
  <c r="H499" i="10"/>
  <c r="E499" i="10"/>
  <c r="D499" i="10"/>
  <c r="B499" i="10"/>
  <c r="F499" i="10" s="1"/>
  <c r="F498" i="10"/>
  <c r="E498" i="10"/>
  <c r="D498" i="10"/>
  <c r="B498" i="10"/>
  <c r="E497" i="10"/>
  <c r="D497" i="10"/>
  <c r="B497" i="10"/>
  <c r="H497" i="10" s="1"/>
  <c r="H496" i="10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C469" i="10"/>
  <c r="B469" i="10"/>
  <c r="B468" i="10"/>
  <c r="B463" i="10"/>
  <c r="C459" i="10"/>
  <c r="B459" i="10"/>
  <c r="B455" i="10"/>
  <c r="B454" i="10"/>
  <c r="B453" i="10"/>
  <c r="C447" i="10"/>
  <c r="C446" i="10"/>
  <c r="C444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B414" i="10"/>
  <c r="A412" i="10"/>
  <c r="C392" i="10"/>
  <c r="D390" i="10"/>
  <c r="B441" i="10" s="1"/>
  <c r="C389" i="10"/>
  <c r="B439" i="10" s="1"/>
  <c r="D372" i="10"/>
  <c r="C370" i="10"/>
  <c r="B458" i="10" s="1"/>
  <c r="C364" i="10"/>
  <c r="C360" i="10"/>
  <c r="B464" i="10" s="1"/>
  <c r="D329" i="10"/>
  <c r="C327" i="10"/>
  <c r="C325" i="10"/>
  <c r="D328" i="10" s="1"/>
  <c r="D330" i="10" s="1"/>
  <c r="D319" i="10"/>
  <c r="D314" i="10"/>
  <c r="D290" i="10"/>
  <c r="D283" i="10"/>
  <c r="D275" i="10"/>
  <c r="D277" i="10" s="1"/>
  <c r="D265" i="10"/>
  <c r="C255" i="10"/>
  <c r="C253" i="10"/>
  <c r="D260" i="10" s="1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B195" i="10"/>
  <c r="B204" i="10" s="1"/>
  <c r="D190" i="10"/>
  <c r="D437" i="10" s="1"/>
  <c r="D186" i="10"/>
  <c r="D436" i="10" s="1"/>
  <c r="D181" i="10"/>
  <c r="D435" i="10" s="1"/>
  <c r="C175" i="10"/>
  <c r="D177" i="10" s="1"/>
  <c r="D434" i="10" s="1"/>
  <c r="D173" i="10"/>
  <c r="D428" i="10" s="1"/>
  <c r="C171" i="10"/>
  <c r="E154" i="10"/>
  <c r="E153" i="10"/>
  <c r="E152" i="10"/>
  <c r="E151" i="10"/>
  <c r="C421" i="10" s="1"/>
  <c r="E150" i="10"/>
  <c r="E148" i="10"/>
  <c r="E147" i="10"/>
  <c r="E146" i="10"/>
  <c r="D145" i="10"/>
  <c r="C145" i="10"/>
  <c r="B145" i="10"/>
  <c r="E145" i="10" s="1"/>
  <c r="C418" i="10" s="1"/>
  <c r="B144" i="10"/>
  <c r="E144" i="10" s="1"/>
  <c r="C417" i="10" s="1"/>
  <c r="E142" i="10"/>
  <c r="D464" i="10" s="1"/>
  <c r="E141" i="10"/>
  <c r="E140" i="10"/>
  <c r="D139" i="10"/>
  <c r="C139" i="10"/>
  <c r="B139" i="10"/>
  <c r="E139" i="10" s="1"/>
  <c r="C415" i="10" s="1"/>
  <c r="C138" i="10"/>
  <c r="B138" i="10"/>
  <c r="E138" i="10" s="1"/>
  <c r="C414" i="10" s="1"/>
  <c r="E127" i="10"/>
  <c r="AJ80" i="10"/>
  <c r="AG80" i="10"/>
  <c r="Q80" i="10"/>
  <c r="P80" i="10"/>
  <c r="CE80" i="10" s="1"/>
  <c r="L612" i="10" s="1"/>
  <c r="E80" i="10"/>
  <c r="CF79" i="10"/>
  <c r="AJ79" i="10"/>
  <c r="CE79" i="10" s="1"/>
  <c r="J612" i="10" s="1"/>
  <c r="AJ78" i="10"/>
  <c r="AE78" i="10"/>
  <c r="AB78" i="10"/>
  <c r="CE77" i="10"/>
  <c r="G612" i="10" s="1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A75" i="10"/>
  <c r="Z75" i="10"/>
  <c r="Y75" i="10"/>
  <c r="X75" i="10"/>
  <c r="V75" i="10"/>
  <c r="T75" i="10"/>
  <c r="Q75" i="10"/>
  <c r="O75" i="10"/>
  <c r="N75" i="10"/>
  <c r="M75" i="10"/>
  <c r="K75" i="10"/>
  <c r="J75" i="10"/>
  <c r="I75" i="10"/>
  <c r="H75" i="10"/>
  <c r="G75" i="10"/>
  <c r="F75" i="10"/>
  <c r="E75" i="10"/>
  <c r="D75" i="10"/>
  <c r="C75" i="10"/>
  <c r="AO74" i="10"/>
  <c r="Y74" i="10"/>
  <c r="W74" i="10"/>
  <c r="W75" i="10" s="1"/>
  <c r="U74" i="10"/>
  <c r="S74" i="10"/>
  <c r="S75" i="10" s="1"/>
  <c r="R74" i="10"/>
  <c r="P74" i="10"/>
  <c r="P75" i="10" s="1"/>
  <c r="AB73" i="10"/>
  <c r="AB75" i="10" s="1"/>
  <c r="Y73" i="10"/>
  <c r="U73" i="10"/>
  <c r="R73" i="10"/>
  <c r="R75" i="10" s="1"/>
  <c r="L73" i="10"/>
  <c r="L75" i="10" s="1"/>
  <c r="CD71" i="10"/>
  <c r="C575" i="10" s="1"/>
  <c r="CE70" i="10"/>
  <c r="C458" i="10" s="1"/>
  <c r="CC69" i="10"/>
  <c r="AJ69" i="10"/>
  <c r="AH69" i="10"/>
  <c r="R69" i="10"/>
  <c r="AJ68" i="10"/>
  <c r="CE68" i="10" s="1"/>
  <c r="C434" i="10" s="1"/>
  <c r="R68" i="10"/>
  <c r="CC66" i="10"/>
  <c r="BN66" i="10"/>
  <c r="AJ66" i="10"/>
  <c r="AH66" i="10"/>
  <c r="AG66" i="10"/>
  <c r="Y66" i="10"/>
  <c r="R66" i="10"/>
  <c r="BV65" i="10"/>
  <c r="BN65" i="10"/>
  <c r="BL65" i="10"/>
  <c r="AJ65" i="10"/>
  <c r="AH65" i="10"/>
  <c r="Y65" i="10"/>
  <c r="R65" i="10"/>
  <c r="BN64" i="10"/>
  <c r="BL64" i="10"/>
  <c r="AJ64" i="10"/>
  <c r="AH64" i="10"/>
  <c r="Y64" i="10"/>
  <c r="U64" i="10"/>
  <c r="R64" i="10"/>
  <c r="AJ63" i="10"/>
  <c r="CE63" i="10" s="1"/>
  <c r="C429" i="10" s="1"/>
  <c r="BN61" i="10"/>
  <c r="BL61" i="10"/>
  <c r="AJ61" i="10"/>
  <c r="AH61" i="10"/>
  <c r="CE61" i="10" s="1"/>
  <c r="Y61" i="10"/>
  <c r="R61" i="10"/>
  <c r="BR60" i="10"/>
  <c r="BN60" i="10"/>
  <c r="BL60" i="10"/>
  <c r="AJ60" i="10"/>
  <c r="AH60" i="10"/>
  <c r="Y60" i="10"/>
  <c r="R60" i="10"/>
  <c r="AJ59" i="10"/>
  <c r="E529" i="10" s="1"/>
  <c r="B52" i="10"/>
  <c r="B53" i="10" s="1"/>
  <c r="BN51" i="10"/>
  <c r="AJ51" i="10"/>
  <c r="R51" i="10"/>
  <c r="B49" i="10"/>
  <c r="BN47" i="10"/>
  <c r="BL47" i="10"/>
  <c r="AJ47" i="10"/>
  <c r="AH47" i="10"/>
  <c r="Y47" i="10"/>
  <c r="R47" i="10"/>
  <c r="CE66" i="10" l="1"/>
  <c r="C432" i="10" s="1"/>
  <c r="CF77" i="10"/>
  <c r="D292" i="10"/>
  <c r="D341" i="10" s="1"/>
  <c r="C481" i="10" s="1"/>
  <c r="D339" i="10"/>
  <c r="C482" i="10" s="1"/>
  <c r="D361" i="10"/>
  <c r="B465" i="10" s="1"/>
  <c r="H503" i="10"/>
  <c r="H504" i="10"/>
  <c r="H523" i="10"/>
  <c r="F531" i="10"/>
  <c r="H538" i="10"/>
  <c r="H539" i="10"/>
  <c r="CE65" i="10"/>
  <c r="C431" i="10" s="1"/>
  <c r="CE78" i="10"/>
  <c r="I612" i="10" s="1"/>
  <c r="E195" i="10"/>
  <c r="C468" i="10" s="1"/>
  <c r="E217" i="10"/>
  <c r="C478" i="10" s="1"/>
  <c r="H508" i="10"/>
  <c r="F528" i="10"/>
  <c r="F530" i="10"/>
  <c r="H534" i="10"/>
  <c r="H535" i="10"/>
  <c r="F536" i="10"/>
  <c r="CE60" i="10"/>
  <c r="H612" i="10" s="1"/>
  <c r="CE64" i="10"/>
  <c r="F612" i="10" s="1"/>
  <c r="CE74" i="10"/>
  <c r="C464" i="10" s="1"/>
  <c r="C473" i="10"/>
  <c r="F545" i="10"/>
  <c r="H513" i="10"/>
  <c r="F546" i="10"/>
  <c r="C430" i="10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C427" i="10"/>
  <c r="CA48" i="10"/>
  <c r="CA62" i="10" s="1"/>
  <c r="BV48" i="10"/>
  <c r="BV62" i="10" s="1"/>
  <c r="BQ48" i="10"/>
  <c r="BQ62" i="10" s="1"/>
  <c r="BK48" i="10"/>
  <c r="BK62" i="10" s="1"/>
  <c r="BF48" i="10"/>
  <c r="BF62" i="10" s="1"/>
  <c r="BA48" i="10"/>
  <c r="BA62" i="10" s="1"/>
  <c r="AU48" i="10"/>
  <c r="AU62" i="10" s="1"/>
  <c r="AP48" i="10"/>
  <c r="AP62" i="10" s="1"/>
  <c r="AK48" i="10"/>
  <c r="AK62" i="10" s="1"/>
  <c r="AE48" i="10"/>
  <c r="AE62" i="10" s="1"/>
  <c r="Z48" i="10"/>
  <c r="Z62" i="10" s="1"/>
  <c r="U48" i="10"/>
  <c r="U62" i="10" s="1"/>
  <c r="O48" i="10"/>
  <c r="O62" i="10" s="1"/>
  <c r="J48" i="10"/>
  <c r="J62" i="10" s="1"/>
  <c r="F48" i="10"/>
  <c r="F62" i="10" s="1"/>
  <c r="BU48" i="10"/>
  <c r="BU62" i="10" s="1"/>
  <c r="BJ48" i="10"/>
  <c r="BJ62" i="10" s="1"/>
  <c r="AT48" i="10"/>
  <c r="AT62" i="10" s="1"/>
  <c r="AI48" i="10"/>
  <c r="AI62" i="10" s="1"/>
  <c r="AD48" i="10"/>
  <c r="AD62" i="10" s="1"/>
  <c r="S48" i="10"/>
  <c r="S62" i="10" s="1"/>
  <c r="I48" i="10"/>
  <c r="I62" i="10" s="1"/>
  <c r="BG48" i="10"/>
  <c r="BG62" i="10" s="1"/>
  <c r="AW48" i="10"/>
  <c r="AW62" i="10" s="1"/>
  <c r="AG48" i="10"/>
  <c r="AG62" i="10" s="1"/>
  <c r="Q48" i="10"/>
  <c r="Q62" i="10" s="1"/>
  <c r="G48" i="10"/>
  <c r="G62" i="10" s="1"/>
  <c r="BZ48" i="10"/>
  <c r="BZ62" i="10" s="1"/>
  <c r="BO48" i="10"/>
  <c r="BO62" i="10" s="1"/>
  <c r="BE48" i="10"/>
  <c r="BE62" i="10" s="1"/>
  <c r="AY48" i="10"/>
  <c r="AY62" i="10" s="1"/>
  <c r="AO48" i="10"/>
  <c r="AO62" i="10" s="1"/>
  <c r="Y48" i="10"/>
  <c r="N48" i="10"/>
  <c r="N62" i="10" s="1"/>
  <c r="E48" i="10"/>
  <c r="E62" i="10" s="1"/>
  <c r="CC48" i="10"/>
  <c r="CC62" i="10" s="1"/>
  <c r="BW48" i="10"/>
  <c r="BW62" i="10" s="1"/>
  <c r="BR48" i="10"/>
  <c r="BR62" i="10" s="1"/>
  <c r="BB48" i="10"/>
  <c r="BB62" i="10" s="1"/>
  <c r="AQ48" i="10"/>
  <c r="AQ62" i="10" s="1"/>
  <c r="AL48" i="10"/>
  <c r="AL62" i="10" s="1"/>
  <c r="V48" i="10"/>
  <c r="V62" i="10" s="1"/>
  <c r="K48" i="10"/>
  <c r="K62" i="10" s="1"/>
  <c r="C48" i="10"/>
  <c r="BY48" i="10"/>
  <c r="BY62" i="10" s="1"/>
  <c r="BS48" i="10"/>
  <c r="BS62" i="10" s="1"/>
  <c r="BN48" i="10"/>
  <c r="BN62" i="10" s="1"/>
  <c r="BN71" i="10" s="1"/>
  <c r="BI48" i="10"/>
  <c r="BI62" i="10" s="1"/>
  <c r="BC48" i="10"/>
  <c r="BC62" i="10" s="1"/>
  <c r="AX48" i="10"/>
  <c r="AX62" i="10" s="1"/>
  <c r="AS48" i="10"/>
  <c r="AS62" i="10" s="1"/>
  <c r="AM48" i="10"/>
  <c r="AM62" i="10" s="1"/>
  <c r="AH48" i="10"/>
  <c r="AH62" i="10" s="1"/>
  <c r="AC48" i="10"/>
  <c r="AC62" i="10" s="1"/>
  <c r="W48" i="10"/>
  <c r="W62" i="10" s="1"/>
  <c r="R48" i="10"/>
  <c r="R62" i="10" s="1"/>
  <c r="M48" i="10"/>
  <c r="M62" i="10" s="1"/>
  <c r="H48" i="10"/>
  <c r="H62" i="10" s="1"/>
  <c r="D48" i="10"/>
  <c r="D62" i="10" s="1"/>
  <c r="BM48" i="10"/>
  <c r="BM62" i="10" s="1"/>
  <c r="AA48" i="10"/>
  <c r="AA62" i="10" s="1"/>
  <c r="D438" i="10"/>
  <c r="U75" i="10"/>
  <c r="CE75" i="10" s="1"/>
  <c r="D612" i="10"/>
  <c r="CF76" i="10"/>
  <c r="BZ52" i="10" s="1"/>
  <c r="BZ67" i="10" s="1"/>
  <c r="D463" i="10"/>
  <c r="D465" i="10" s="1"/>
  <c r="D367" i="10"/>
  <c r="C448" i="10" s="1"/>
  <c r="C445" i="10"/>
  <c r="F502" i="10"/>
  <c r="Y62" i="10"/>
  <c r="CE51" i="10"/>
  <c r="C439" i="10"/>
  <c r="CE69" i="10"/>
  <c r="C440" i="10" s="1"/>
  <c r="E204" i="10"/>
  <c r="C476" i="10" s="1"/>
  <c r="B440" i="10"/>
  <c r="F506" i="10"/>
  <c r="CE47" i="10"/>
  <c r="CE73" i="10"/>
  <c r="C463" i="10" s="1"/>
  <c r="D242" i="10"/>
  <c r="B448" i="10" s="1"/>
  <c r="B476" i="10"/>
  <c r="F497" i="10"/>
  <c r="F501" i="10"/>
  <c r="F505" i="10"/>
  <c r="F507" i="10"/>
  <c r="F511" i="10"/>
  <c r="F515" i="10"/>
  <c r="F519" i="10"/>
  <c r="F52" i="10"/>
  <c r="F67" i="10" s="1"/>
  <c r="N52" i="10"/>
  <c r="N67" i="10" s="1"/>
  <c r="R52" i="10"/>
  <c r="R67" i="10" s="1"/>
  <c r="R71" i="10" s="1"/>
  <c r="V52" i="10"/>
  <c r="V67" i="10" s="1"/>
  <c r="AD52" i="10"/>
  <c r="AD67" i="10" s="1"/>
  <c r="AH52" i="10"/>
  <c r="AH67" i="10" s="1"/>
  <c r="AH71" i="10" s="1"/>
  <c r="AL52" i="10"/>
  <c r="AL67" i="10" s="1"/>
  <c r="AT52" i="10"/>
  <c r="AT67" i="10" s="1"/>
  <c r="AX52" i="10"/>
  <c r="AX67" i="10" s="1"/>
  <c r="BB52" i="10"/>
  <c r="BB67" i="10" s="1"/>
  <c r="BJ52" i="10"/>
  <c r="BJ67" i="10" s="1"/>
  <c r="BN52" i="10"/>
  <c r="BN67" i="10" s="1"/>
  <c r="BR52" i="10"/>
  <c r="BR67" i="10" s="1"/>
  <c r="F525" i="10"/>
  <c r="F527" i="10"/>
  <c r="H533" i="10"/>
  <c r="H537" i="10"/>
  <c r="B575" i="1"/>
  <c r="F493" i="1"/>
  <c r="D493" i="1"/>
  <c r="B493" i="1"/>
  <c r="D368" i="10" l="1"/>
  <c r="D373" i="10" s="1"/>
  <c r="D391" i="10" s="1"/>
  <c r="D393" i="10" s="1"/>
  <c r="D396" i="10" s="1"/>
  <c r="AD71" i="10"/>
  <c r="C465" i="10"/>
  <c r="K612" i="10"/>
  <c r="C619" i="10"/>
  <c r="C559" i="10"/>
  <c r="B559" i="1"/>
  <c r="C699" i="10"/>
  <c r="C527" i="10"/>
  <c r="B527" i="1"/>
  <c r="C683" i="10"/>
  <c r="C511" i="10"/>
  <c r="C62" i="10"/>
  <c r="CE48" i="10"/>
  <c r="BZ71" i="10"/>
  <c r="C695" i="10"/>
  <c r="C523" i="10"/>
  <c r="G523" i="10" s="1"/>
  <c r="B511" i="1"/>
  <c r="B523" i="1"/>
  <c r="V71" i="10"/>
  <c r="BR71" i="10"/>
  <c r="N71" i="10"/>
  <c r="M744" i="10" s="1"/>
  <c r="AT71" i="10"/>
  <c r="BV52" i="10"/>
  <c r="BV67" i="10" s="1"/>
  <c r="BV71" i="10" s="1"/>
  <c r="BF52" i="10"/>
  <c r="BF67" i="10" s="1"/>
  <c r="BF71" i="10" s="1"/>
  <c r="AP52" i="10"/>
  <c r="AP67" i="10" s="1"/>
  <c r="AP71" i="10" s="1"/>
  <c r="Z52" i="10"/>
  <c r="Z67" i="10" s="1"/>
  <c r="J52" i="10"/>
  <c r="J67" i="10" s="1"/>
  <c r="J71" i="10" s="1"/>
  <c r="BM71" i="10"/>
  <c r="AL71" i="10"/>
  <c r="BJ71" i="10"/>
  <c r="CA71" i="10"/>
  <c r="CC52" i="10"/>
  <c r="CC67" i="10" s="1"/>
  <c r="CC71" i="10" s="1"/>
  <c r="BX52" i="10"/>
  <c r="BX67" i="10" s="1"/>
  <c r="BS52" i="10"/>
  <c r="BS67" i="10" s="1"/>
  <c r="BM52" i="10"/>
  <c r="BM67" i="10" s="1"/>
  <c r="BH52" i="10"/>
  <c r="BH67" i="10" s="1"/>
  <c r="BH71" i="10" s="1"/>
  <c r="BC52" i="10"/>
  <c r="BC67" i="10" s="1"/>
  <c r="BC71" i="10" s="1"/>
  <c r="AW52" i="10"/>
  <c r="AW67" i="10" s="1"/>
  <c r="AW71" i="10" s="1"/>
  <c r="AR52" i="10"/>
  <c r="AR67" i="10" s="1"/>
  <c r="AM52" i="10"/>
  <c r="AM67" i="10" s="1"/>
  <c r="AM71" i="10" s="1"/>
  <c r="AG52" i="10"/>
  <c r="AG67" i="10" s="1"/>
  <c r="AG71" i="10" s="1"/>
  <c r="AB52" i="10"/>
  <c r="AB67" i="10" s="1"/>
  <c r="AB71" i="10" s="1"/>
  <c r="W52" i="10"/>
  <c r="W67" i="10" s="1"/>
  <c r="W71" i="10" s="1"/>
  <c r="Q52" i="10"/>
  <c r="Q67" i="10" s="1"/>
  <c r="Q71" i="10" s="1"/>
  <c r="L52" i="10"/>
  <c r="L67" i="10" s="1"/>
  <c r="G52" i="10"/>
  <c r="G67" i="10" s="1"/>
  <c r="G71" i="10" s="1"/>
  <c r="BY52" i="10"/>
  <c r="BY67" i="10" s="1"/>
  <c r="BY71" i="10" s="1"/>
  <c r="BO52" i="10"/>
  <c r="BO67" i="10" s="1"/>
  <c r="BO71" i="10" s="1"/>
  <c r="AY52" i="10"/>
  <c r="AY67" i="10" s="1"/>
  <c r="AI52" i="10"/>
  <c r="AI67" i="10" s="1"/>
  <c r="AI71" i="10" s="1"/>
  <c r="M765" i="10" s="1"/>
  <c r="X52" i="10"/>
  <c r="X67" i="10" s="1"/>
  <c r="X71" i="10" s="1"/>
  <c r="M52" i="10"/>
  <c r="M67" i="10" s="1"/>
  <c r="M71" i="10" s="1"/>
  <c r="CB52" i="10"/>
  <c r="CB67" i="10" s="1"/>
  <c r="CB71" i="10" s="1"/>
  <c r="BW52" i="10"/>
  <c r="BW67" i="10" s="1"/>
  <c r="BW71" i="10" s="1"/>
  <c r="BQ52" i="10"/>
  <c r="BQ67" i="10" s="1"/>
  <c r="BL52" i="10"/>
  <c r="BL67" i="10" s="1"/>
  <c r="BL71" i="10" s="1"/>
  <c r="BG52" i="10"/>
  <c r="BG67" i="10" s="1"/>
  <c r="BA52" i="10"/>
  <c r="BA67" i="10" s="1"/>
  <c r="BA71" i="10" s="1"/>
  <c r="AV52" i="10"/>
  <c r="AV67" i="10" s="1"/>
  <c r="AV71" i="10" s="1"/>
  <c r="AQ52" i="10"/>
  <c r="AQ67" i="10" s="1"/>
  <c r="AQ71" i="10" s="1"/>
  <c r="AK52" i="10"/>
  <c r="AK67" i="10" s="1"/>
  <c r="AK71" i="10" s="1"/>
  <c r="AF52" i="10"/>
  <c r="AF67" i="10" s="1"/>
  <c r="AF71" i="10" s="1"/>
  <c r="AA52" i="10"/>
  <c r="AA67" i="10" s="1"/>
  <c r="AA71" i="10" s="1"/>
  <c r="U52" i="10"/>
  <c r="U67" i="10" s="1"/>
  <c r="U71" i="10" s="1"/>
  <c r="P52" i="10"/>
  <c r="P67" i="10" s="1"/>
  <c r="P71" i="10" s="1"/>
  <c r="K52" i="10"/>
  <c r="K67" i="10" s="1"/>
  <c r="K71" i="10" s="1"/>
  <c r="E52" i="10"/>
  <c r="E67" i="10" s="1"/>
  <c r="BT52" i="10"/>
  <c r="BT67" i="10" s="1"/>
  <c r="BT71" i="10" s="1"/>
  <c r="BI52" i="10"/>
  <c r="BI67" i="10" s="1"/>
  <c r="BI71" i="10" s="1"/>
  <c r="BD52" i="10"/>
  <c r="BD67" i="10" s="1"/>
  <c r="BD71" i="10" s="1"/>
  <c r="AN52" i="10"/>
  <c r="AN67" i="10" s="1"/>
  <c r="AN71" i="10" s="1"/>
  <c r="AC52" i="10"/>
  <c r="AC67" i="10" s="1"/>
  <c r="AC71" i="10" s="1"/>
  <c r="S52" i="10"/>
  <c r="S67" i="10" s="1"/>
  <c r="S71" i="10" s="1"/>
  <c r="H52" i="10"/>
  <c r="H67" i="10" s="1"/>
  <c r="H71" i="10" s="1"/>
  <c r="M738" i="10" s="1"/>
  <c r="CA52" i="10"/>
  <c r="CA67" i="10" s="1"/>
  <c r="BU52" i="10"/>
  <c r="BU67" i="10" s="1"/>
  <c r="BU71" i="10" s="1"/>
  <c r="BP52" i="10"/>
  <c r="BP67" i="10" s="1"/>
  <c r="BP71" i="10" s="1"/>
  <c r="BK52" i="10"/>
  <c r="BK67" i="10" s="1"/>
  <c r="BK71" i="10" s="1"/>
  <c r="BE52" i="10"/>
  <c r="BE67" i="10" s="1"/>
  <c r="BE71" i="10" s="1"/>
  <c r="AZ52" i="10"/>
  <c r="AZ67" i="10" s="1"/>
  <c r="AZ71" i="10" s="1"/>
  <c r="AU52" i="10"/>
  <c r="AU67" i="10" s="1"/>
  <c r="AU71" i="10" s="1"/>
  <c r="M777" i="10" s="1"/>
  <c r="AO52" i="10"/>
  <c r="AO67" i="10" s="1"/>
  <c r="AO71" i="10" s="1"/>
  <c r="AJ52" i="10"/>
  <c r="AJ67" i="10" s="1"/>
  <c r="AJ71" i="10" s="1"/>
  <c r="AE52" i="10"/>
  <c r="AE67" i="10" s="1"/>
  <c r="AE71" i="10" s="1"/>
  <c r="Y52" i="10"/>
  <c r="Y67" i="10" s="1"/>
  <c r="Y71" i="10" s="1"/>
  <c r="T52" i="10"/>
  <c r="T67" i="10" s="1"/>
  <c r="T71" i="10" s="1"/>
  <c r="O52" i="10"/>
  <c r="O67" i="10" s="1"/>
  <c r="O71" i="10" s="1"/>
  <c r="I52" i="10"/>
  <c r="I67" i="10" s="1"/>
  <c r="I71" i="10" s="1"/>
  <c r="D52" i="10"/>
  <c r="D67" i="10" s="1"/>
  <c r="D71" i="10" s="1"/>
  <c r="M734" i="10" s="1"/>
  <c r="AS52" i="10"/>
  <c r="AS67" i="10" s="1"/>
  <c r="AS71" i="10" s="1"/>
  <c r="C52" i="10"/>
  <c r="AX71" i="10"/>
  <c r="BS71" i="10"/>
  <c r="BB71" i="10"/>
  <c r="E71" i="10"/>
  <c r="AY71" i="10"/>
  <c r="M781" i="10" s="1"/>
  <c r="BG71" i="10"/>
  <c r="F71" i="10"/>
  <c r="M736" i="10" s="1"/>
  <c r="Z71" i="10"/>
  <c r="BQ71" i="10"/>
  <c r="L71" i="10"/>
  <c r="M742" i="10" s="1"/>
  <c r="AR71" i="10"/>
  <c r="BX71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H75" i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30" i="1" s="1"/>
  <c r="C86" i="8" s="1"/>
  <c r="D329" i="1"/>
  <c r="C85" i="8" s="1"/>
  <c r="D229" i="1"/>
  <c r="D13" i="7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F13" i="6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61" i="1"/>
  <c r="N762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815" i="1" s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29" i="1"/>
  <c r="C431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N760" i="1"/>
  <c r="N743" i="1"/>
  <c r="N769" i="1"/>
  <c r="N758" i="1"/>
  <c r="N753" i="1"/>
  <c r="N747" i="1"/>
  <c r="F12" i="6"/>
  <c r="C469" i="1"/>
  <c r="F8" i="6"/>
  <c r="G122" i="9"/>
  <c r="I26" i="9"/>
  <c r="N740" i="1"/>
  <c r="H58" i="9"/>
  <c r="F90" i="9"/>
  <c r="N751" i="1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29" i="9"/>
  <c r="C95" i="9"/>
  <c r="CE79" i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CD722" i="1"/>
  <c r="CD71" i="1"/>
  <c r="R816" i="1"/>
  <c r="E48" i="1"/>
  <c r="E62" i="1" s="1"/>
  <c r="K48" i="1"/>
  <c r="K62" i="1" s="1"/>
  <c r="N765" i="1"/>
  <c r="N757" i="1"/>
  <c r="K816" i="1"/>
  <c r="C615" i="1"/>
  <c r="B440" i="1"/>
  <c r="V815" i="1"/>
  <c r="E372" i="9"/>
  <c r="AF48" i="1"/>
  <c r="AF62" i="1" s="1"/>
  <c r="E763" i="1" s="1"/>
  <c r="J612" i="1"/>
  <c r="B10" i="4"/>
  <c r="I381" i="9"/>
  <c r="CF77" i="1"/>
  <c r="Q816" i="1"/>
  <c r="G612" i="1"/>
  <c r="N766" i="1" l="1"/>
  <c r="C33" i="8"/>
  <c r="C84" i="8"/>
  <c r="P816" i="1"/>
  <c r="B476" i="1"/>
  <c r="N755" i="1"/>
  <c r="C218" i="9"/>
  <c r="B465" i="1"/>
  <c r="C112" i="8"/>
  <c r="N768" i="1"/>
  <c r="F814" i="10"/>
  <c r="F10" i="4"/>
  <c r="B445" i="1"/>
  <c r="C141" i="8"/>
  <c r="C473" i="1"/>
  <c r="C434" i="1"/>
  <c r="BL48" i="1"/>
  <c r="BL62" i="1" s="1"/>
  <c r="AN48" i="1"/>
  <c r="AN62" i="1" s="1"/>
  <c r="E172" i="9" s="1"/>
  <c r="BT48" i="1"/>
  <c r="BT62" i="1" s="1"/>
  <c r="E803" i="1" s="1"/>
  <c r="BQ48" i="1"/>
  <c r="BQ62" i="1" s="1"/>
  <c r="F300" i="9" s="1"/>
  <c r="AV48" i="1"/>
  <c r="AV62" i="1" s="1"/>
  <c r="CA48" i="1"/>
  <c r="CA62" i="1" s="1"/>
  <c r="E810" i="1" s="1"/>
  <c r="I48" i="1"/>
  <c r="I62" i="1" s="1"/>
  <c r="I12" i="9" s="1"/>
  <c r="AU48" i="1"/>
  <c r="AU62" i="1" s="1"/>
  <c r="E204" i="9" s="1"/>
  <c r="L48" i="1"/>
  <c r="L62" i="1" s="1"/>
  <c r="E743" i="1" s="1"/>
  <c r="BG48" i="1"/>
  <c r="BG62" i="1" s="1"/>
  <c r="C268" i="9" s="1"/>
  <c r="BI48" i="1"/>
  <c r="BI62" i="1" s="1"/>
  <c r="E268" i="9" s="1"/>
  <c r="R48" i="1"/>
  <c r="R62" i="1" s="1"/>
  <c r="D76" i="9" s="1"/>
  <c r="BD48" i="1"/>
  <c r="BD62" i="1" s="1"/>
  <c r="G236" i="9" s="1"/>
  <c r="AW48" i="1"/>
  <c r="AW62" i="1" s="1"/>
  <c r="E780" i="1" s="1"/>
  <c r="C464" i="1"/>
  <c r="AH48" i="1"/>
  <c r="AH62" i="1" s="1"/>
  <c r="E765" i="1" s="1"/>
  <c r="BN48" i="1"/>
  <c r="BN62" i="1" s="1"/>
  <c r="C300" i="9" s="1"/>
  <c r="AA48" i="1"/>
  <c r="AA62" i="1" s="1"/>
  <c r="F108" i="9" s="1"/>
  <c r="O48" i="1"/>
  <c r="O62" i="1" s="1"/>
  <c r="E746" i="1" s="1"/>
  <c r="X48" i="1"/>
  <c r="X62" i="1" s="1"/>
  <c r="C108" i="9" s="1"/>
  <c r="V48" i="1"/>
  <c r="V62" i="1" s="1"/>
  <c r="AP48" i="1"/>
  <c r="AP62" i="1" s="1"/>
  <c r="E773" i="1" s="1"/>
  <c r="BF48" i="1"/>
  <c r="BF62" i="1" s="1"/>
  <c r="E789" i="1" s="1"/>
  <c r="BV48" i="1"/>
  <c r="BV62" i="1" s="1"/>
  <c r="E805" i="1" s="1"/>
  <c r="BO48" i="1"/>
  <c r="BO62" i="1" s="1"/>
  <c r="E798" i="1" s="1"/>
  <c r="U48" i="1"/>
  <c r="U62" i="1" s="1"/>
  <c r="G76" i="9" s="1"/>
  <c r="J48" i="1"/>
  <c r="J62" i="1" s="1"/>
  <c r="Z48" i="1"/>
  <c r="Z62" i="1" s="1"/>
  <c r="E757" i="1" s="1"/>
  <c r="AJ48" i="1"/>
  <c r="AJ62" i="1" s="1"/>
  <c r="E767" i="1" s="1"/>
  <c r="AR48" i="1"/>
  <c r="AR62" i="1" s="1"/>
  <c r="E775" i="1" s="1"/>
  <c r="AZ48" i="1"/>
  <c r="AZ62" i="1" s="1"/>
  <c r="BH48" i="1"/>
  <c r="BH62" i="1" s="1"/>
  <c r="E791" i="1" s="1"/>
  <c r="BP48" i="1"/>
  <c r="BP62" i="1" s="1"/>
  <c r="E799" i="1" s="1"/>
  <c r="BX48" i="1"/>
  <c r="BX62" i="1" s="1"/>
  <c r="E807" i="1" s="1"/>
  <c r="C48" i="1"/>
  <c r="C62" i="1" s="1"/>
  <c r="E734" i="1" s="1"/>
  <c r="AI48" i="1"/>
  <c r="AI62" i="1" s="1"/>
  <c r="E766" i="1" s="1"/>
  <c r="BW48" i="1"/>
  <c r="BW62" i="1" s="1"/>
  <c r="E806" i="1" s="1"/>
  <c r="AG48" i="1"/>
  <c r="AG62" i="1" s="1"/>
  <c r="E140" i="9" s="1"/>
  <c r="BM48" i="1"/>
  <c r="BM62" i="1" s="1"/>
  <c r="I268" i="9" s="1"/>
  <c r="AK48" i="1"/>
  <c r="AK62" i="1" s="1"/>
  <c r="E768" i="1" s="1"/>
  <c r="AE48" i="1"/>
  <c r="AE62" i="1" s="1"/>
  <c r="C140" i="9" s="1"/>
  <c r="AB48" i="1"/>
  <c r="AB62" i="1" s="1"/>
  <c r="G108" i="9" s="1"/>
  <c r="F48" i="1"/>
  <c r="F62" i="1" s="1"/>
  <c r="E737" i="1" s="1"/>
  <c r="AX48" i="1"/>
  <c r="AX62" i="1" s="1"/>
  <c r="E781" i="1" s="1"/>
  <c r="E44" i="9"/>
  <c r="Q48" i="1"/>
  <c r="Q62" i="1" s="1"/>
  <c r="E748" i="1" s="1"/>
  <c r="BE48" i="1"/>
  <c r="BE62" i="1" s="1"/>
  <c r="H236" i="9" s="1"/>
  <c r="G48" i="1"/>
  <c r="G62" i="1" s="1"/>
  <c r="G12" i="9" s="1"/>
  <c r="N48" i="1"/>
  <c r="N62" i="1" s="1"/>
  <c r="E745" i="1" s="1"/>
  <c r="AD48" i="1"/>
  <c r="AD62" i="1" s="1"/>
  <c r="E761" i="1" s="1"/>
  <c r="AL48" i="1"/>
  <c r="AL62" i="1" s="1"/>
  <c r="AT48" i="1"/>
  <c r="AT62" i="1" s="1"/>
  <c r="E777" i="1" s="1"/>
  <c r="BB48" i="1"/>
  <c r="BB62" i="1" s="1"/>
  <c r="E785" i="1" s="1"/>
  <c r="BJ48" i="1"/>
  <c r="BJ62" i="1" s="1"/>
  <c r="E793" i="1" s="1"/>
  <c r="BR48" i="1"/>
  <c r="BR62" i="1" s="1"/>
  <c r="E801" i="1" s="1"/>
  <c r="BY48" i="1"/>
  <c r="BY62" i="1" s="1"/>
  <c r="G332" i="9" s="1"/>
  <c r="AY48" i="1"/>
  <c r="AY62" i="1" s="1"/>
  <c r="E782" i="1" s="1"/>
  <c r="CC48" i="1"/>
  <c r="CC62" i="1" s="1"/>
  <c r="E812" i="1" s="1"/>
  <c r="AO48" i="1"/>
  <c r="AO62" i="1" s="1"/>
  <c r="E772" i="1" s="1"/>
  <c r="BU48" i="1"/>
  <c r="BU62" i="1" s="1"/>
  <c r="C332" i="9" s="1"/>
  <c r="BA48" i="1"/>
  <c r="BA62" i="1" s="1"/>
  <c r="E784" i="1" s="1"/>
  <c r="BS48" i="1"/>
  <c r="BS62" i="1" s="1"/>
  <c r="D48" i="1"/>
  <c r="D62" i="1" s="1"/>
  <c r="D12" i="9" s="1"/>
  <c r="D815" i="1"/>
  <c r="D816" i="1"/>
  <c r="AS48" i="1"/>
  <c r="AS62" i="1" s="1"/>
  <c r="I372" i="9"/>
  <c r="E788" i="1"/>
  <c r="C430" i="1"/>
  <c r="I366" i="9"/>
  <c r="G816" i="1"/>
  <c r="E787" i="1"/>
  <c r="M816" i="1"/>
  <c r="E752" i="1"/>
  <c r="C236" i="9"/>
  <c r="E783" i="1"/>
  <c r="C674" i="10"/>
  <c r="C502" i="10"/>
  <c r="G502" i="10" s="1"/>
  <c r="B502" i="1"/>
  <c r="M739" i="10"/>
  <c r="C696" i="10"/>
  <c r="C524" i="10"/>
  <c r="B524" i="1"/>
  <c r="M761" i="10"/>
  <c r="C628" i="10"/>
  <c r="C545" i="10"/>
  <c r="G545" i="10" s="1"/>
  <c r="B545" i="1"/>
  <c r="M782" i="10"/>
  <c r="C641" i="10"/>
  <c r="C566" i="10"/>
  <c r="B566" i="1"/>
  <c r="M803" i="10"/>
  <c r="C694" i="10"/>
  <c r="C522" i="10"/>
  <c r="B522" i="1"/>
  <c r="M759" i="10"/>
  <c r="C640" i="10"/>
  <c r="C565" i="10"/>
  <c r="B565" i="1"/>
  <c r="M802" i="10"/>
  <c r="C686" i="10"/>
  <c r="C514" i="10"/>
  <c r="B514" i="1"/>
  <c r="M751" i="10"/>
  <c r="C708" i="10"/>
  <c r="C536" i="10"/>
  <c r="G536" i="10" s="1"/>
  <c r="B536" i="1"/>
  <c r="M773" i="10"/>
  <c r="C678" i="10"/>
  <c r="C506" i="10"/>
  <c r="G506" i="10" s="1"/>
  <c r="B506" i="1"/>
  <c r="M743" i="10"/>
  <c r="C560" i="10"/>
  <c r="C627" i="10"/>
  <c r="B560" i="1"/>
  <c r="M797" i="10"/>
  <c r="C682" i="10"/>
  <c r="C510" i="10"/>
  <c r="B510" i="1"/>
  <c r="M747" i="10"/>
  <c r="C704" i="10"/>
  <c r="C532" i="10"/>
  <c r="B532" i="1"/>
  <c r="M769" i="10"/>
  <c r="C636" i="10"/>
  <c r="C553" i="10"/>
  <c r="B553" i="1"/>
  <c r="M790" i="10"/>
  <c r="C574" i="10"/>
  <c r="C620" i="10"/>
  <c r="B574" i="1"/>
  <c r="M811" i="10"/>
  <c r="C701" i="10"/>
  <c r="C529" i="10"/>
  <c r="B529" i="1"/>
  <c r="M766" i="10"/>
  <c r="C705" i="10"/>
  <c r="C533" i="10"/>
  <c r="G533" i="10" s="1"/>
  <c r="B533" i="1"/>
  <c r="M770" i="10"/>
  <c r="C689" i="10"/>
  <c r="C517" i="10"/>
  <c r="B517" i="1"/>
  <c r="M754" i="10"/>
  <c r="C645" i="10"/>
  <c r="C570" i="10"/>
  <c r="B570" i="1"/>
  <c r="M807" i="10"/>
  <c r="C707" i="10"/>
  <c r="C535" i="10"/>
  <c r="G535" i="10" s="1"/>
  <c r="B535" i="1"/>
  <c r="M772" i="10"/>
  <c r="C685" i="10"/>
  <c r="C513" i="10"/>
  <c r="G513" i="10" s="1"/>
  <c r="B513" i="1"/>
  <c r="M750" i="10"/>
  <c r="C706" i="10"/>
  <c r="C534" i="10"/>
  <c r="G534" i="10" s="1"/>
  <c r="B534" i="1"/>
  <c r="M771" i="10"/>
  <c r="C635" i="10"/>
  <c r="C556" i="10"/>
  <c r="B556" i="1"/>
  <c r="M793" i="10"/>
  <c r="C549" i="10"/>
  <c r="C624" i="10"/>
  <c r="B549" i="1"/>
  <c r="M786" i="10"/>
  <c r="C630" i="10"/>
  <c r="C546" i="10"/>
  <c r="B546" i="1"/>
  <c r="M783" i="10"/>
  <c r="C631" i="10"/>
  <c r="C542" i="10"/>
  <c r="B542" i="1"/>
  <c r="M779" i="10"/>
  <c r="C629" i="10"/>
  <c r="C551" i="10"/>
  <c r="B551" i="1"/>
  <c r="M788" i="10"/>
  <c r="C680" i="10"/>
  <c r="C508" i="10"/>
  <c r="G508" i="10" s="1"/>
  <c r="B508" i="1"/>
  <c r="M745" i="10"/>
  <c r="C614" i="10"/>
  <c r="C550" i="10"/>
  <c r="B550" i="1"/>
  <c r="M787" i="10"/>
  <c r="C713" i="10"/>
  <c r="C541" i="10"/>
  <c r="B541" i="1"/>
  <c r="M778" i="10"/>
  <c r="C688" i="10"/>
  <c r="C516" i="10"/>
  <c r="B516" i="1"/>
  <c r="M753" i="10"/>
  <c r="C690" i="10"/>
  <c r="C518" i="10"/>
  <c r="B518" i="1"/>
  <c r="M755" i="10"/>
  <c r="C621" i="10"/>
  <c r="C561" i="10"/>
  <c r="B561" i="1"/>
  <c r="M798" i="10"/>
  <c r="C684" i="10"/>
  <c r="C512" i="10"/>
  <c r="B512" i="1"/>
  <c r="M749" i="10"/>
  <c r="C634" i="10"/>
  <c r="C554" i="10"/>
  <c r="B554" i="1"/>
  <c r="M791" i="10"/>
  <c r="C681" i="10"/>
  <c r="C509" i="10"/>
  <c r="B509" i="1"/>
  <c r="M746" i="10"/>
  <c r="C702" i="10"/>
  <c r="C530" i="10"/>
  <c r="B530" i="1"/>
  <c r="M767" i="10"/>
  <c r="C622" i="10"/>
  <c r="C573" i="10"/>
  <c r="B573" i="1"/>
  <c r="M810" i="10"/>
  <c r="C698" i="10"/>
  <c r="C526" i="10"/>
  <c r="B526" i="1"/>
  <c r="M763" i="10"/>
  <c r="C633" i="10"/>
  <c r="C548" i="10"/>
  <c r="B548" i="1"/>
  <c r="M785" i="10"/>
  <c r="C675" i="10"/>
  <c r="C503" i="10"/>
  <c r="G503" i="10" s="1"/>
  <c r="B503" i="1"/>
  <c r="M740" i="10"/>
  <c r="C642" i="10"/>
  <c r="C567" i="10"/>
  <c r="B567" i="1"/>
  <c r="M804" i="10"/>
  <c r="C693" i="10"/>
  <c r="C521" i="10"/>
  <c r="B521" i="1"/>
  <c r="C691" i="10"/>
  <c r="C519" i="10"/>
  <c r="G519" i="10" s="1"/>
  <c r="B519" i="1"/>
  <c r="C672" i="10"/>
  <c r="C500" i="10"/>
  <c r="G500" i="10" s="1"/>
  <c r="B500" i="1"/>
  <c r="C676" i="10"/>
  <c r="C504" i="10"/>
  <c r="G504" i="10" s="1"/>
  <c r="B504" i="1"/>
  <c r="C673" i="10"/>
  <c r="C501" i="10"/>
  <c r="G501" i="10" s="1"/>
  <c r="B501" i="1"/>
  <c r="C637" i="10"/>
  <c r="C557" i="10"/>
  <c r="B557" i="1"/>
  <c r="C710" i="10"/>
  <c r="C538" i="10"/>
  <c r="G538" i="10" s="1"/>
  <c r="B538" i="1"/>
  <c r="C572" i="10"/>
  <c r="C647" i="10"/>
  <c r="B572" i="1"/>
  <c r="C617" i="10"/>
  <c r="C555" i="10"/>
  <c r="B555" i="1"/>
  <c r="C643" i="10"/>
  <c r="C568" i="10"/>
  <c r="B568" i="1"/>
  <c r="C638" i="10"/>
  <c r="C558" i="10"/>
  <c r="B558" i="1"/>
  <c r="C697" i="10"/>
  <c r="C525" i="10"/>
  <c r="G525" i="10" s="1"/>
  <c r="B525" i="1"/>
  <c r="C687" i="10"/>
  <c r="C515" i="10"/>
  <c r="B515" i="1"/>
  <c r="C520" i="10"/>
  <c r="G520" i="10" s="1"/>
  <c r="C692" i="10"/>
  <c r="B520" i="1"/>
  <c r="C669" i="10"/>
  <c r="C497" i="10"/>
  <c r="G497" i="10" s="1"/>
  <c r="B497" i="1"/>
  <c r="T814" i="10"/>
  <c r="H814" i="10"/>
  <c r="R814" i="10"/>
  <c r="P814" i="10"/>
  <c r="M757" i="10"/>
  <c r="M758" i="10"/>
  <c r="M762" i="10"/>
  <c r="M794" i="10"/>
  <c r="C644" i="10"/>
  <c r="C569" i="10"/>
  <c r="B569" i="1"/>
  <c r="C677" i="10"/>
  <c r="C505" i="10"/>
  <c r="B505" i="1"/>
  <c r="C671" i="10"/>
  <c r="C499" i="10"/>
  <c r="G499" i="10" s="1"/>
  <c r="B499" i="1"/>
  <c r="C625" i="10"/>
  <c r="C544" i="10"/>
  <c r="B544" i="1"/>
  <c r="C639" i="10"/>
  <c r="C564" i="10"/>
  <c r="B564" i="1"/>
  <c r="C67" i="10"/>
  <c r="CE67" i="10" s="1"/>
  <c r="C433" i="10" s="1"/>
  <c r="CE52" i="10"/>
  <c r="C703" i="10"/>
  <c r="C531" i="10"/>
  <c r="B531" i="1"/>
  <c r="G511" i="10"/>
  <c r="H511" i="10"/>
  <c r="G527" i="10"/>
  <c r="H527" i="10"/>
  <c r="M775" i="10"/>
  <c r="M805" i="10"/>
  <c r="M809" i="10"/>
  <c r="C623" i="10"/>
  <c r="C562" i="10"/>
  <c r="B562" i="1"/>
  <c r="C700" i="10"/>
  <c r="C528" i="10"/>
  <c r="G528" i="10" s="1"/>
  <c r="B528" i="1"/>
  <c r="C670" i="10"/>
  <c r="C498" i="10"/>
  <c r="B498" i="1"/>
  <c r="C616" i="10"/>
  <c r="C543" i="10"/>
  <c r="B543" i="1"/>
  <c r="C711" i="10"/>
  <c r="C539" i="10"/>
  <c r="G539" i="10" s="1"/>
  <c r="B539" i="1"/>
  <c r="C679" i="10"/>
  <c r="C507" i="10"/>
  <c r="G507" i="10" s="1"/>
  <c r="B507" i="1"/>
  <c r="CE62" i="10"/>
  <c r="C71" i="10"/>
  <c r="M737" i="10"/>
  <c r="M741" i="10"/>
  <c r="M792" i="10"/>
  <c r="C709" i="10"/>
  <c r="C537" i="10"/>
  <c r="G537" i="10" s="1"/>
  <c r="B537" i="1"/>
  <c r="C712" i="10"/>
  <c r="C540" i="10"/>
  <c r="G540" i="10" s="1"/>
  <c r="B540" i="1"/>
  <c r="C552" i="10"/>
  <c r="C618" i="10"/>
  <c r="B552" i="1"/>
  <c r="C547" i="10"/>
  <c r="C632" i="10"/>
  <c r="B547" i="1"/>
  <c r="C626" i="10"/>
  <c r="C563" i="10"/>
  <c r="B563" i="1"/>
  <c r="C646" i="10"/>
  <c r="C571" i="10"/>
  <c r="B571" i="1"/>
  <c r="D140" i="9"/>
  <c r="C44" i="9"/>
  <c r="E741" i="1"/>
  <c r="E779" i="1"/>
  <c r="F204" i="9"/>
  <c r="I332" i="9"/>
  <c r="E742" i="1"/>
  <c r="D44" i="9"/>
  <c r="E373" i="9"/>
  <c r="C575" i="1"/>
  <c r="E762" i="1"/>
  <c r="E752" i="10"/>
  <c r="H140" i="9"/>
  <c r="C14" i="5"/>
  <c r="D428" i="1"/>
  <c r="D612" i="1"/>
  <c r="CF76" i="1"/>
  <c r="AN52" i="1" s="1"/>
  <c r="AN67" i="1" s="1"/>
  <c r="J771" i="1" s="1"/>
  <c r="AG52" i="1"/>
  <c r="AG67" i="1" s="1"/>
  <c r="E145" i="9" s="1"/>
  <c r="E795" i="1"/>
  <c r="H268" i="9"/>
  <c r="D236" i="9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D108" i="9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E735" i="1"/>
  <c r="D204" i="9"/>
  <c r="E753" i="1"/>
  <c r="H76" i="9"/>
  <c r="I236" i="9"/>
  <c r="C172" i="9"/>
  <c r="E769" i="1"/>
  <c r="B446" i="1"/>
  <c r="D242" i="1"/>
  <c r="E779" i="10"/>
  <c r="E795" i="10"/>
  <c r="F12" i="9"/>
  <c r="E332" i="9"/>
  <c r="E12" i="9"/>
  <c r="E736" i="1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AM52" i="1"/>
  <c r="AM67" i="1" s="1"/>
  <c r="BF52" i="1"/>
  <c r="BF67" i="1" s="1"/>
  <c r="BF71" i="1" s="1"/>
  <c r="BY52" i="1"/>
  <c r="BY67" i="1" s="1"/>
  <c r="AY52" i="1"/>
  <c r="AY67" i="1" s="1"/>
  <c r="AY71" i="1" s="1"/>
  <c r="AW52" i="1"/>
  <c r="AW67" i="1" s="1"/>
  <c r="T52" i="1"/>
  <c r="T67" i="1" s="1"/>
  <c r="AK52" i="1"/>
  <c r="AK67" i="1" s="1"/>
  <c r="BV52" i="1"/>
  <c r="BV67" i="1" s="1"/>
  <c r="BV71" i="1" s="1"/>
  <c r="BE52" i="1"/>
  <c r="BE67" i="1" s="1"/>
  <c r="BE71" i="1" s="1"/>
  <c r="C614" i="1" s="1"/>
  <c r="AX52" i="1"/>
  <c r="AX67" i="1" s="1"/>
  <c r="AX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BR52" i="1" l="1"/>
  <c r="BR67" i="1" s="1"/>
  <c r="BR71" i="1" s="1"/>
  <c r="AA52" i="1"/>
  <c r="AA67" i="1" s="1"/>
  <c r="M52" i="1"/>
  <c r="M67" i="1" s="1"/>
  <c r="F49" i="9" s="1"/>
  <c r="CB52" i="1"/>
  <c r="CB67" i="1" s="1"/>
  <c r="CB71" i="1" s="1"/>
  <c r="C622" i="1" s="1"/>
  <c r="F52" i="1"/>
  <c r="F67" i="1" s="1"/>
  <c r="F71" i="1" s="1"/>
  <c r="BD52" i="1"/>
  <c r="BD67" i="1" s="1"/>
  <c r="BD71" i="1" s="1"/>
  <c r="E778" i="1"/>
  <c r="H44" i="9"/>
  <c r="H204" i="9"/>
  <c r="F140" i="9"/>
  <c r="F172" i="9"/>
  <c r="J52" i="1"/>
  <c r="J67" i="1" s="1"/>
  <c r="C49" i="9" s="1"/>
  <c r="E804" i="1"/>
  <c r="G52" i="1"/>
  <c r="G67" i="1" s="1"/>
  <c r="D52" i="1"/>
  <c r="D67" i="1" s="1"/>
  <c r="D71" i="1" s="1"/>
  <c r="C497" i="1" s="1"/>
  <c r="G497" i="1" s="1"/>
  <c r="BN52" i="1"/>
  <c r="BN67" i="1" s="1"/>
  <c r="BN71" i="1" s="1"/>
  <c r="C559" i="1" s="1"/>
  <c r="BM52" i="1"/>
  <c r="BM67" i="1" s="1"/>
  <c r="BQ52" i="1"/>
  <c r="BQ67" i="1" s="1"/>
  <c r="G300" i="9"/>
  <c r="D332" i="9"/>
  <c r="E808" i="1"/>
  <c r="E740" i="1"/>
  <c r="BP52" i="1"/>
  <c r="BP67" i="1" s="1"/>
  <c r="J799" i="1" s="1"/>
  <c r="D268" i="9"/>
  <c r="E108" i="9"/>
  <c r="BQ71" i="1"/>
  <c r="F309" i="9" s="1"/>
  <c r="G204" i="9"/>
  <c r="E771" i="1"/>
  <c r="E749" i="1"/>
  <c r="E300" i="9"/>
  <c r="AK71" i="1"/>
  <c r="C702" i="1" s="1"/>
  <c r="AW71" i="1"/>
  <c r="C542" i="1" s="1"/>
  <c r="BY71" i="1"/>
  <c r="E755" i="1"/>
  <c r="I172" i="9"/>
  <c r="E790" i="1"/>
  <c r="G71" i="1"/>
  <c r="BM71" i="1"/>
  <c r="C638" i="1" s="1"/>
  <c r="E738" i="1"/>
  <c r="G140" i="9"/>
  <c r="E796" i="1"/>
  <c r="C12" i="9"/>
  <c r="I300" i="9"/>
  <c r="E800" i="1"/>
  <c r="I140" i="9"/>
  <c r="E792" i="1"/>
  <c r="E802" i="1"/>
  <c r="H300" i="9"/>
  <c r="E759" i="1"/>
  <c r="I204" i="9"/>
  <c r="E236" i="9"/>
  <c r="G44" i="9"/>
  <c r="G172" i="9"/>
  <c r="E797" i="1"/>
  <c r="F268" i="9"/>
  <c r="I108" i="9"/>
  <c r="D300" i="9"/>
  <c r="E764" i="1"/>
  <c r="C76" i="9"/>
  <c r="F332" i="9"/>
  <c r="D364" i="9"/>
  <c r="AA71" i="1"/>
  <c r="C692" i="1" s="1"/>
  <c r="E776" i="1"/>
  <c r="C204" i="9"/>
  <c r="H172" i="9"/>
  <c r="E305" i="9"/>
  <c r="AJ52" i="1"/>
  <c r="AJ67" i="1" s="1"/>
  <c r="AJ71" i="1" s="1"/>
  <c r="C529" i="1" s="1"/>
  <c r="G529" i="1" s="1"/>
  <c r="AB52" i="1"/>
  <c r="AB67" i="1" s="1"/>
  <c r="J759" i="1" s="1"/>
  <c r="V52" i="1"/>
  <c r="V67" i="1" s="1"/>
  <c r="BO52" i="1"/>
  <c r="BO67" i="1" s="1"/>
  <c r="BO71" i="1" s="1"/>
  <c r="D309" i="9" s="1"/>
  <c r="AH52" i="1"/>
  <c r="AH67" i="1" s="1"/>
  <c r="F145" i="9" s="1"/>
  <c r="BT52" i="1"/>
  <c r="BT67" i="1" s="1"/>
  <c r="AF52" i="1"/>
  <c r="AF67" i="1" s="1"/>
  <c r="AF71" i="1" s="1"/>
  <c r="D149" i="9" s="1"/>
  <c r="BX52" i="1"/>
  <c r="BX67" i="1" s="1"/>
  <c r="BX71" i="1" s="1"/>
  <c r="C644" i="1" s="1"/>
  <c r="P52" i="1"/>
  <c r="P67" i="1" s="1"/>
  <c r="I49" i="9" s="1"/>
  <c r="H52" i="1"/>
  <c r="H67" i="1" s="1"/>
  <c r="J739" i="1" s="1"/>
  <c r="F21" i="9"/>
  <c r="C671" i="1"/>
  <c r="C499" i="1"/>
  <c r="G499" i="1" s="1"/>
  <c r="C530" i="1"/>
  <c r="G530" i="1" s="1"/>
  <c r="AN71" i="1"/>
  <c r="C533" i="1" s="1"/>
  <c r="G533" i="1" s="1"/>
  <c r="M71" i="1"/>
  <c r="C506" i="1" s="1"/>
  <c r="G506" i="1" s="1"/>
  <c r="C550" i="1"/>
  <c r="G550" i="1" s="1"/>
  <c r="D615" i="1"/>
  <c r="D687" i="1" s="1"/>
  <c r="H245" i="9"/>
  <c r="E811" i="1"/>
  <c r="J764" i="1"/>
  <c r="AG71" i="1"/>
  <c r="E149" i="9" s="1"/>
  <c r="F44" i="9"/>
  <c r="E756" i="1"/>
  <c r="H62" i="1"/>
  <c r="E739" i="1" s="1"/>
  <c r="CE48" i="1"/>
  <c r="C496" i="10"/>
  <c r="G496" i="10" s="1"/>
  <c r="C668" i="10"/>
  <c r="B496" i="1"/>
  <c r="M733" i="10"/>
  <c r="M814" i="10" s="1"/>
  <c r="H531" i="10"/>
  <c r="G531" i="10"/>
  <c r="H544" i="10"/>
  <c r="G544" i="10"/>
  <c r="G505" i="10"/>
  <c r="H505" i="10"/>
  <c r="G515" i="10"/>
  <c r="H515" i="10" s="1"/>
  <c r="G521" i="10"/>
  <c r="H521" i="10"/>
  <c r="G526" i="10"/>
  <c r="H526" i="10" s="1"/>
  <c r="H530" i="10"/>
  <c r="G530" i="10"/>
  <c r="G509" i="10"/>
  <c r="H509" i="10"/>
  <c r="G512" i="10"/>
  <c r="H512" i="10"/>
  <c r="G518" i="10"/>
  <c r="H518" i="10"/>
  <c r="G516" i="10"/>
  <c r="H516" i="10" s="1"/>
  <c r="G550" i="10"/>
  <c r="H550" i="10"/>
  <c r="G546" i="10"/>
  <c r="H546" i="10"/>
  <c r="G517" i="10"/>
  <c r="H517" i="10"/>
  <c r="G529" i="10"/>
  <c r="H529" i="10" s="1"/>
  <c r="G532" i="10"/>
  <c r="H532" i="10"/>
  <c r="G510" i="10"/>
  <c r="H510" i="10" s="1"/>
  <c r="G514" i="10"/>
  <c r="H514" i="10"/>
  <c r="H522" i="10"/>
  <c r="G522" i="10"/>
  <c r="G524" i="10"/>
  <c r="H524" i="10"/>
  <c r="G498" i="10"/>
  <c r="H498" i="10" s="1"/>
  <c r="C428" i="10"/>
  <c r="C441" i="10" s="1"/>
  <c r="CE71" i="10"/>
  <c r="C715" i="10"/>
  <c r="C648" i="10"/>
  <c r="M716" i="10" s="1"/>
  <c r="D615" i="10"/>
  <c r="F76" i="9"/>
  <c r="E751" i="1"/>
  <c r="T71" i="1"/>
  <c r="C549" i="1"/>
  <c r="G245" i="9"/>
  <c r="C624" i="1"/>
  <c r="J806" i="10"/>
  <c r="J776" i="10"/>
  <c r="J755" i="10"/>
  <c r="N815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D145" i="9"/>
  <c r="BC52" i="1"/>
  <c r="BC67" i="1" s="1"/>
  <c r="AP52" i="1"/>
  <c r="AP67" i="1" s="1"/>
  <c r="AP71" i="1" s="1"/>
  <c r="C707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E117" i="9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F213" i="9" s="1"/>
  <c r="AL52" i="1"/>
  <c r="AL67" i="1" s="1"/>
  <c r="AL71" i="1" s="1"/>
  <c r="C703" i="1" s="1"/>
  <c r="CC52" i="1"/>
  <c r="CC67" i="1" s="1"/>
  <c r="CC71" i="1" s="1"/>
  <c r="C620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C700" i="1" s="1"/>
  <c r="W52" i="1"/>
  <c r="W67" i="1" s="1"/>
  <c r="W71" i="1" s="1"/>
  <c r="C688" i="1" s="1"/>
  <c r="AS52" i="1"/>
  <c r="AS67" i="1" s="1"/>
  <c r="AS71" i="1" s="1"/>
  <c r="AQ52" i="1"/>
  <c r="AQ67" i="1" s="1"/>
  <c r="AQ71" i="1" s="1"/>
  <c r="AR52" i="1"/>
  <c r="AR67" i="1" s="1"/>
  <c r="AR71" i="1" s="1"/>
  <c r="C537" i="1" s="1"/>
  <c r="G537" i="1" s="1"/>
  <c r="AZ52" i="1"/>
  <c r="AZ67" i="1" s="1"/>
  <c r="AZ71" i="1" s="1"/>
  <c r="C628" i="1" s="1"/>
  <c r="N52" i="1"/>
  <c r="N67" i="1" s="1"/>
  <c r="N71" i="1" s="1"/>
  <c r="C507" i="1" s="1"/>
  <c r="G507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I117" i="9" s="1"/>
  <c r="AT52" i="1"/>
  <c r="AT67" i="1" s="1"/>
  <c r="AT71" i="1" s="1"/>
  <c r="C711" i="1" s="1"/>
  <c r="E760" i="1"/>
  <c r="F236" i="9"/>
  <c r="E786" i="1"/>
  <c r="BC71" i="1"/>
  <c r="I44" i="9"/>
  <c r="E747" i="1"/>
  <c r="G268" i="9"/>
  <c r="E794" i="1"/>
  <c r="J807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C508" i="1" s="1"/>
  <c r="G508" i="1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E177" i="9"/>
  <c r="F505" i="1"/>
  <c r="F499" i="1"/>
  <c r="H499" i="1"/>
  <c r="E52" i="1"/>
  <c r="E67" i="1" s="1"/>
  <c r="E71" i="1" s="1"/>
  <c r="E21" i="9" s="1"/>
  <c r="X52" i="1"/>
  <c r="X67" i="1" s="1"/>
  <c r="X71" i="1" s="1"/>
  <c r="BH52" i="1"/>
  <c r="BH67" i="1" s="1"/>
  <c r="BH71" i="1" s="1"/>
  <c r="I52" i="1"/>
  <c r="I67" i="1" s="1"/>
  <c r="I71" i="1" s="1"/>
  <c r="I21" i="9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C616" i="1"/>
  <c r="C543" i="1"/>
  <c r="H213" i="9"/>
  <c r="C309" i="9"/>
  <c r="E766" i="10"/>
  <c r="E790" i="10"/>
  <c r="C126" i="8"/>
  <c r="D391" i="1"/>
  <c r="F32" i="6"/>
  <c r="C478" i="1"/>
  <c r="J797" i="1"/>
  <c r="J748" i="10"/>
  <c r="J763" i="10"/>
  <c r="J795" i="10"/>
  <c r="C102" i="8"/>
  <c r="C482" i="1"/>
  <c r="C498" i="1"/>
  <c r="G498" i="1" s="1"/>
  <c r="E760" i="10"/>
  <c r="E770" i="10"/>
  <c r="E786" i="10"/>
  <c r="E802" i="10"/>
  <c r="E810" i="10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C563" i="1"/>
  <c r="G309" i="9"/>
  <c r="C626" i="1"/>
  <c r="C642" i="1"/>
  <c r="D341" i="9"/>
  <c r="C567" i="1"/>
  <c r="I245" i="9"/>
  <c r="C629" i="1"/>
  <c r="C551" i="1"/>
  <c r="G341" i="9"/>
  <c r="C570" i="1"/>
  <c r="C645" i="1"/>
  <c r="E782" i="10"/>
  <c r="E806" i="10"/>
  <c r="F516" i="1"/>
  <c r="J735" i="1"/>
  <c r="D17" i="9"/>
  <c r="J800" i="1"/>
  <c r="F305" i="9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F524" i="1"/>
  <c r="F550" i="1"/>
  <c r="E815" i="10"/>
  <c r="G305" i="9"/>
  <c r="J801" i="1"/>
  <c r="F113" i="9"/>
  <c r="J758" i="1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G53" i="9" l="1"/>
  <c r="C369" i="9"/>
  <c r="J744" i="1"/>
  <c r="C619" i="1"/>
  <c r="H145" i="9"/>
  <c r="D305" i="9"/>
  <c r="J71" i="1"/>
  <c r="C53" i="9" s="1"/>
  <c r="J741" i="1"/>
  <c r="E814" i="10"/>
  <c r="C305" i="9"/>
  <c r="P71" i="1"/>
  <c r="I53" i="9" s="1"/>
  <c r="J765" i="1"/>
  <c r="G213" i="9"/>
  <c r="J747" i="1"/>
  <c r="BP71" i="1"/>
  <c r="C561" i="1" s="1"/>
  <c r="C623" i="1"/>
  <c r="J763" i="1"/>
  <c r="J798" i="1"/>
  <c r="I149" i="9"/>
  <c r="AH71" i="1"/>
  <c r="F149" i="9" s="1"/>
  <c r="D21" i="9"/>
  <c r="C631" i="1"/>
  <c r="C562" i="1"/>
  <c r="I277" i="9"/>
  <c r="C695" i="1"/>
  <c r="C669" i="1"/>
  <c r="C531" i="1"/>
  <c r="G531" i="1" s="1"/>
  <c r="C558" i="1"/>
  <c r="C520" i="1"/>
  <c r="G520" i="1" s="1"/>
  <c r="C678" i="1"/>
  <c r="E341" i="9"/>
  <c r="C527" i="1"/>
  <c r="G527" i="1" s="1"/>
  <c r="C181" i="9"/>
  <c r="F117" i="9"/>
  <c r="C627" i="1"/>
  <c r="F341" i="9"/>
  <c r="C547" i="1"/>
  <c r="C560" i="1"/>
  <c r="D213" i="9"/>
  <c r="C569" i="1"/>
  <c r="C555" i="1"/>
  <c r="C679" i="1"/>
  <c r="C680" i="1"/>
  <c r="C539" i="1"/>
  <c r="G539" i="1" s="1"/>
  <c r="C697" i="1"/>
  <c r="C525" i="1"/>
  <c r="G525" i="1" s="1"/>
  <c r="E181" i="9"/>
  <c r="G149" i="9"/>
  <c r="C701" i="1"/>
  <c r="H149" i="9"/>
  <c r="C535" i="1"/>
  <c r="G535" i="1" s="1"/>
  <c r="C528" i="1"/>
  <c r="G528" i="1" s="1"/>
  <c r="J767" i="1"/>
  <c r="H53" i="9"/>
  <c r="C713" i="1"/>
  <c r="J753" i="1"/>
  <c r="V71" i="1"/>
  <c r="C523" i="1"/>
  <c r="G523" i="1" s="1"/>
  <c r="J803" i="1"/>
  <c r="I305" i="9"/>
  <c r="F277" i="9"/>
  <c r="C643" i="1"/>
  <c r="G181" i="9"/>
  <c r="I85" i="9"/>
  <c r="C574" i="1"/>
  <c r="H17" i="9"/>
  <c r="BT71" i="1"/>
  <c r="C565" i="1" s="1"/>
  <c r="H81" i="9"/>
  <c r="G113" i="9"/>
  <c r="AB71" i="1"/>
  <c r="H550" i="1"/>
  <c r="C516" i="1"/>
  <c r="G516" i="1" s="1"/>
  <c r="C670" i="1"/>
  <c r="C373" i="9"/>
  <c r="C705" i="1"/>
  <c r="C674" i="1"/>
  <c r="C545" i="1"/>
  <c r="G545" i="1" s="1"/>
  <c r="C502" i="1"/>
  <c r="G502" i="1" s="1"/>
  <c r="C245" i="9"/>
  <c r="D373" i="9"/>
  <c r="C536" i="1"/>
  <c r="G536" i="1" s="1"/>
  <c r="H181" i="9"/>
  <c r="C636" i="1"/>
  <c r="C553" i="1"/>
  <c r="C554" i="1"/>
  <c r="E277" i="9"/>
  <c r="C634" i="1"/>
  <c r="C510" i="1"/>
  <c r="G510" i="1" s="1"/>
  <c r="C682" i="1"/>
  <c r="C85" i="9"/>
  <c r="C710" i="1"/>
  <c r="C213" i="9"/>
  <c r="C538" i="1"/>
  <c r="G538" i="1" s="1"/>
  <c r="C639" i="1"/>
  <c r="C564" i="1"/>
  <c r="H309" i="9"/>
  <c r="C519" i="1"/>
  <c r="G519" i="1" s="1"/>
  <c r="C541" i="1"/>
  <c r="C277" i="9"/>
  <c r="C552" i="1"/>
  <c r="C540" i="1"/>
  <c r="G540" i="1" s="1"/>
  <c r="C712" i="1"/>
  <c r="E213" i="9"/>
  <c r="C647" i="1"/>
  <c r="C709" i="1"/>
  <c r="C691" i="1"/>
  <c r="D277" i="9"/>
  <c r="C557" i="1"/>
  <c r="C637" i="1"/>
  <c r="H277" i="9"/>
  <c r="C641" i="1"/>
  <c r="C341" i="9"/>
  <c r="C566" i="1"/>
  <c r="C505" i="1"/>
  <c r="C677" i="1"/>
  <c r="E53" i="9"/>
  <c r="I341" i="9"/>
  <c r="I181" i="9"/>
  <c r="C675" i="1"/>
  <c r="C503" i="1"/>
  <c r="G503" i="1" s="1"/>
  <c r="C676" i="1"/>
  <c r="D53" i="9"/>
  <c r="C504" i="1"/>
  <c r="G504" i="1" s="1"/>
  <c r="F181" i="9"/>
  <c r="C706" i="1"/>
  <c r="C534" i="1"/>
  <c r="G534" i="1" s="1"/>
  <c r="C618" i="1"/>
  <c r="E309" i="9"/>
  <c r="F53" i="9"/>
  <c r="C632" i="1"/>
  <c r="C573" i="1"/>
  <c r="C708" i="1"/>
  <c r="D677" i="1"/>
  <c r="D636" i="1"/>
  <c r="D672" i="1"/>
  <c r="D712" i="1"/>
  <c r="D680" i="1"/>
  <c r="D693" i="1"/>
  <c r="D697" i="1"/>
  <c r="D616" i="1"/>
  <c r="D683" i="1"/>
  <c r="D703" i="1"/>
  <c r="D642" i="1"/>
  <c r="D696" i="1"/>
  <c r="D637" i="1"/>
  <c r="D646" i="1"/>
  <c r="D620" i="1"/>
  <c r="D625" i="1"/>
  <c r="D713" i="1"/>
  <c r="D627" i="1"/>
  <c r="D619" i="1"/>
  <c r="D716" i="1"/>
  <c r="D634" i="1"/>
  <c r="D710" i="1"/>
  <c r="D647" i="1"/>
  <c r="D689" i="1"/>
  <c r="D688" i="1"/>
  <c r="D690" i="1"/>
  <c r="D691" i="1"/>
  <c r="D641" i="1"/>
  <c r="D632" i="1"/>
  <c r="D681" i="1"/>
  <c r="D678" i="1"/>
  <c r="D698" i="1"/>
  <c r="D624" i="1"/>
  <c r="D621" i="1"/>
  <c r="D702" i="1"/>
  <c r="D695" i="1"/>
  <c r="D670" i="1"/>
  <c r="D709" i="1"/>
  <c r="D643" i="1"/>
  <c r="D638" i="1"/>
  <c r="D674" i="1"/>
  <c r="D668" i="1"/>
  <c r="D671" i="1"/>
  <c r="D684" i="1"/>
  <c r="D635" i="1"/>
  <c r="D618" i="1"/>
  <c r="D701" i="1"/>
  <c r="D694" i="1"/>
  <c r="D679" i="1"/>
  <c r="D640" i="1"/>
  <c r="D707" i="1"/>
  <c r="D708" i="1"/>
  <c r="D673" i="1"/>
  <c r="D685" i="1"/>
  <c r="D633" i="1"/>
  <c r="D669" i="1"/>
  <c r="D617" i="1"/>
  <c r="D626" i="1"/>
  <c r="D629" i="1"/>
  <c r="D676" i="1"/>
  <c r="D682" i="1"/>
  <c r="D706" i="1"/>
  <c r="D630" i="1"/>
  <c r="D631" i="1"/>
  <c r="D675" i="1"/>
  <c r="D711" i="1"/>
  <c r="D699" i="1"/>
  <c r="D705" i="1"/>
  <c r="D686" i="1"/>
  <c r="D628" i="1"/>
  <c r="D623" i="1"/>
  <c r="D639" i="1"/>
  <c r="D700" i="1"/>
  <c r="D704" i="1"/>
  <c r="D622" i="1"/>
  <c r="D645" i="1"/>
  <c r="D692" i="1"/>
  <c r="D644" i="1"/>
  <c r="C526" i="1"/>
  <c r="G526" i="1" s="1"/>
  <c r="C698" i="1"/>
  <c r="C546" i="1"/>
  <c r="G546" i="1" s="1"/>
  <c r="D245" i="9"/>
  <c r="C630" i="1"/>
  <c r="H12" i="9"/>
  <c r="C524" i="1"/>
  <c r="C149" i="9"/>
  <c r="C696" i="1"/>
  <c r="C690" i="1"/>
  <c r="C518" i="1"/>
  <c r="G518" i="1" s="1"/>
  <c r="D117" i="9"/>
  <c r="C117" i="9"/>
  <c r="C689" i="1"/>
  <c r="C517" i="1"/>
  <c r="G517" i="1" s="1"/>
  <c r="G85" i="9"/>
  <c r="C514" i="1"/>
  <c r="G514" i="1" s="1"/>
  <c r="C686" i="1"/>
  <c r="H117" i="9"/>
  <c r="C694" i="1"/>
  <c r="C511" i="1"/>
  <c r="G511" i="1" s="1"/>
  <c r="C683" i="1"/>
  <c r="E815" i="1"/>
  <c r="CE62" i="1"/>
  <c r="H71" i="1"/>
  <c r="H498" i="1"/>
  <c r="H544" i="1"/>
  <c r="C716" i="10"/>
  <c r="M815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10" i="10"/>
  <c r="D702" i="10"/>
  <c r="D694" i="10"/>
  <c r="D686" i="10"/>
  <c r="D684" i="10"/>
  <c r="D680" i="10"/>
  <c r="D676" i="10"/>
  <c r="D672" i="10"/>
  <c r="D709" i="10"/>
  <c r="D701" i="10"/>
  <c r="D693" i="10"/>
  <c r="D685" i="10"/>
  <c r="D681" i="10"/>
  <c r="D677" i="10"/>
  <c r="D673" i="10"/>
  <c r="D706" i="10"/>
  <c r="D698" i="10"/>
  <c r="D690" i="10"/>
  <c r="D682" i="10"/>
  <c r="D678" i="10"/>
  <c r="D674" i="10"/>
  <c r="D670" i="10"/>
  <c r="D647" i="10"/>
  <c r="D646" i="10"/>
  <c r="D697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705" i="10"/>
  <c r="D679" i="10"/>
  <c r="D628" i="10"/>
  <c r="D622" i="10"/>
  <c r="D620" i="10"/>
  <c r="D618" i="10"/>
  <c r="D616" i="10"/>
  <c r="D713" i="10"/>
  <c r="D683" i="10"/>
  <c r="D669" i="10"/>
  <c r="D668" i="10"/>
  <c r="D627" i="10"/>
  <c r="D689" i="10"/>
  <c r="D645" i="10"/>
  <c r="D629" i="10"/>
  <c r="D626" i="10"/>
  <c r="D621" i="10"/>
  <c r="D619" i="10"/>
  <c r="D617" i="10"/>
  <c r="D671" i="10"/>
  <c r="D623" i="10"/>
  <c r="C145" i="9"/>
  <c r="J762" i="1"/>
  <c r="J740" i="1"/>
  <c r="I17" i="9"/>
  <c r="J806" i="1"/>
  <c r="E337" i="9"/>
  <c r="J790" i="1"/>
  <c r="C27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C704" i="1"/>
  <c r="D181" i="9"/>
  <c r="F515" i="1"/>
  <c r="F522" i="1"/>
  <c r="H522" i="1"/>
  <c r="F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621" i="1" l="1"/>
  <c r="C699" i="1"/>
  <c r="H546" i="1"/>
  <c r="H509" i="1"/>
  <c r="H518" i="1"/>
  <c r="E623" i="1"/>
  <c r="E716" i="1" s="1"/>
  <c r="H516" i="1"/>
  <c r="G117" i="9"/>
  <c r="C521" i="1"/>
  <c r="G521" i="1" s="1"/>
  <c r="C693" i="1"/>
  <c r="I309" i="9"/>
  <c r="C640" i="1"/>
  <c r="C648" i="1" s="1"/>
  <c r="M716" i="1" s="1"/>
  <c r="Y816" i="1" s="1"/>
  <c r="C515" i="1"/>
  <c r="H85" i="9"/>
  <c r="C687" i="1"/>
  <c r="H514" i="1"/>
  <c r="H510" i="1"/>
  <c r="C668" i="1"/>
  <c r="C496" i="1"/>
  <c r="G496" i="1" s="1"/>
  <c r="C21" i="9"/>
  <c r="G505" i="1"/>
  <c r="H505" i="1" s="1"/>
  <c r="H526" i="1"/>
  <c r="D715" i="1"/>
  <c r="G524" i="1"/>
  <c r="H524" i="1"/>
  <c r="H512" i="1"/>
  <c r="H511" i="1"/>
  <c r="H21" i="9"/>
  <c r="C673" i="1"/>
  <c r="C501" i="1"/>
  <c r="G501" i="1" s="1"/>
  <c r="I364" i="9"/>
  <c r="C428" i="1"/>
  <c r="E816" i="1"/>
  <c r="G532" i="1"/>
  <c r="H532" i="1"/>
  <c r="E612" i="10"/>
  <c r="D715" i="10"/>
  <c r="E623" i="10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G515" i="1"/>
  <c r="H515" i="1"/>
  <c r="C715" i="1"/>
  <c r="E612" i="1"/>
  <c r="E673" i="1" s="1"/>
  <c r="C716" i="1"/>
  <c r="I373" i="9"/>
  <c r="E716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707" i="10"/>
  <c r="E699" i="10"/>
  <c r="E691" i="10"/>
  <c r="E681" i="10"/>
  <c r="E677" i="10"/>
  <c r="E673" i="10"/>
  <c r="E706" i="10"/>
  <c r="E698" i="10"/>
  <c r="E690" i="10"/>
  <c r="E682" i="10"/>
  <c r="E678" i="10"/>
  <c r="E674" i="10"/>
  <c r="E670" i="10"/>
  <c r="E711" i="10"/>
  <c r="E703" i="10"/>
  <c r="E695" i="10"/>
  <c r="E687" i="10"/>
  <c r="E683" i="10"/>
  <c r="E679" i="10"/>
  <c r="E675" i="10"/>
  <c r="E671" i="10"/>
  <c r="E694" i="10"/>
  <c r="E672" i="10"/>
  <c r="E628" i="10"/>
  <c r="E702" i="10"/>
  <c r="E676" i="10"/>
  <c r="E669" i="10"/>
  <c r="E668" i="10"/>
  <c r="E647" i="10"/>
  <c r="E627" i="10"/>
  <c r="E710" i="10"/>
  <c r="E680" i="10"/>
  <c r="E645" i="10"/>
  <c r="E629" i="10"/>
  <c r="E626" i="10"/>
  <c r="E643" i="10"/>
  <c r="E641" i="10"/>
  <c r="E639" i="10"/>
  <c r="E637" i="10"/>
  <c r="E635" i="10"/>
  <c r="E633" i="10"/>
  <c r="E631" i="10"/>
  <c r="E686" i="10"/>
  <c r="E625" i="10"/>
  <c r="E684" i="10"/>
  <c r="E646" i="10"/>
  <c r="E644" i="10"/>
  <c r="E642" i="10"/>
  <c r="E640" i="10"/>
  <c r="E638" i="10"/>
  <c r="E636" i="10"/>
  <c r="E634" i="10"/>
  <c r="E632" i="10"/>
  <c r="E630" i="10"/>
  <c r="E624" i="10"/>
  <c r="C433" i="1"/>
  <c r="C441" i="1" s="1"/>
  <c r="J816" i="1"/>
  <c r="I369" i="9"/>
  <c r="J815" i="10"/>
  <c r="E693" i="1" l="1"/>
  <c r="E710" i="1"/>
  <c r="E698" i="1"/>
  <c r="E674" i="1"/>
  <c r="E688" i="1"/>
  <c r="E638" i="1"/>
  <c r="E700" i="1"/>
  <c r="E683" i="1"/>
  <c r="E641" i="1"/>
  <c r="E691" i="1"/>
  <c r="E682" i="1"/>
  <c r="E707" i="1"/>
  <c r="E624" i="1"/>
  <c r="F624" i="1" s="1"/>
  <c r="E701" i="1"/>
  <c r="E631" i="1"/>
  <c r="E670" i="1"/>
  <c r="E636" i="1"/>
  <c r="E629" i="1"/>
  <c r="E679" i="1"/>
  <c r="E697" i="1"/>
  <c r="E676" i="1"/>
  <c r="E685" i="1"/>
  <c r="E646" i="1"/>
  <c r="E642" i="1"/>
  <c r="E680" i="1"/>
  <c r="E713" i="1"/>
  <c r="E625" i="1"/>
  <c r="E705" i="1"/>
  <c r="E699" i="1"/>
  <c r="E637" i="1"/>
  <c r="E681" i="1"/>
  <c r="E669" i="1"/>
  <c r="E690" i="1"/>
  <c r="E684" i="1"/>
  <c r="E640" i="1"/>
  <c r="E643" i="1"/>
  <c r="E630" i="1"/>
  <c r="E692" i="1"/>
  <c r="E695" i="1"/>
  <c r="E633" i="1"/>
  <c r="E632" i="1"/>
  <c r="E672" i="1"/>
  <c r="E712" i="1"/>
  <c r="E678" i="1"/>
  <c r="E694" i="1"/>
  <c r="E628" i="1"/>
  <c r="E706" i="1"/>
  <c r="E689" i="1"/>
  <c r="E687" i="1"/>
  <c r="E626" i="1"/>
  <c r="E647" i="1"/>
  <c r="E708" i="1"/>
  <c r="E668" i="1"/>
  <c r="E671" i="1"/>
  <c r="E639" i="1"/>
  <c r="E675" i="1"/>
  <c r="E704" i="1"/>
  <c r="E644" i="1"/>
  <c r="E686" i="1"/>
  <c r="E696" i="1"/>
  <c r="E702" i="1"/>
  <c r="E634" i="1"/>
  <c r="E635" i="1"/>
  <c r="E627" i="1"/>
  <c r="E711" i="1"/>
  <c r="E645" i="1"/>
  <c r="E703" i="1"/>
  <c r="E709" i="1"/>
  <c r="E677" i="1"/>
  <c r="E715" i="10"/>
  <c r="F624" i="10"/>
  <c r="F707" i="1" l="1"/>
  <c r="F630" i="1"/>
  <c r="F633" i="1"/>
  <c r="F698" i="1"/>
  <c r="F669" i="1"/>
  <c r="F641" i="1"/>
  <c r="F629" i="1"/>
  <c r="F672" i="1"/>
  <c r="F644" i="1"/>
  <c r="F694" i="1"/>
  <c r="F635" i="1"/>
  <c r="F705" i="1"/>
  <c r="F716" i="1"/>
  <c r="F676" i="1"/>
  <c r="F674" i="1"/>
  <c r="F709" i="1"/>
  <c r="F643" i="1"/>
  <c r="F626" i="1"/>
  <c r="F639" i="1"/>
  <c r="F700" i="1"/>
  <c r="F683" i="1"/>
  <c r="F680" i="1"/>
  <c r="F689" i="1"/>
  <c r="F704" i="1"/>
  <c r="F681" i="1"/>
  <c r="F631" i="1"/>
  <c r="F687" i="1"/>
  <c r="F696" i="1"/>
  <c r="F640" i="1"/>
  <c r="F646" i="1"/>
  <c r="F645" i="1"/>
  <c r="F695" i="1"/>
  <c r="F706" i="1"/>
  <c r="F691" i="1"/>
  <c r="F636" i="1"/>
  <c r="F638" i="1"/>
  <c r="F710" i="1"/>
  <c r="F670" i="1"/>
  <c r="F684" i="1"/>
  <c r="F697" i="1"/>
  <c r="F668" i="1"/>
  <c r="F628" i="1"/>
  <c r="F671" i="1"/>
  <c r="F688" i="1"/>
  <c r="F708" i="1"/>
  <c r="F679" i="1"/>
  <c r="F682" i="1"/>
  <c r="F692" i="1"/>
  <c r="F712" i="1"/>
  <c r="F701" i="1"/>
  <c r="F686" i="1"/>
  <c r="F690" i="1"/>
  <c r="F647" i="1"/>
  <c r="F702" i="1"/>
  <c r="F699" i="1"/>
  <c r="F632" i="1"/>
  <c r="F693" i="1"/>
  <c r="F642" i="1"/>
  <c r="F637" i="1"/>
  <c r="F678" i="1"/>
  <c r="F677" i="1"/>
  <c r="F673" i="1"/>
  <c r="F685" i="1"/>
  <c r="F675" i="1"/>
  <c r="F711" i="1"/>
  <c r="F634" i="1"/>
  <c r="F627" i="1"/>
  <c r="F713" i="1"/>
  <c r="F625" i="1"/>
  <c r="G625" i="1" s="1"/>
  <c r="F703" i="1"/>
  <c r="E715" i="1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2" i="10"/>
  <c r="F704" i="10"/>
  <c r="F696" i="10"/>
  <c r="F688" i="10"/>
  <c r="F682" i="10"/>
  <c r="F678" i="10"/>
  <c r="F674" i="10"/>
  <c r="F670" i="10"/>
  <c r="F716" i="10"/>
  <c r="F711" i="10"/>
  <c r="F703" i="10"/>
  <c r="F695" i="10"/>
  <c r="F687" i="10"/>
  <c r="F683" i="10"/>
  <c r="F679" i="10"/>
  <c r="F675" i="10"/>
  <c r="F671" i="10"/>
  <c r="F708" i="10"/>
  <c r="F700" i="10"/>
  <c r="F692" i="10"/>
  <c r="F684" i="10"/>
  <c r="F680" i="10"/>
  <c r="F676" i="10"/>
  <c r="F672" i="10"/>
  <c r="F668" i="10"/>
  <c r="F691" i="10"/>
  <c r="F669" i="10"/>
  <c r="F647" i="10"/>
  <c r="F627" i="10"/>
  <c r="F699" i="10"/>
  <c r="F673" i="10"/>
  <c r="F645" i="10"/>
  <c r="F629" i="10"/>
  <c r="F626" i="10"/>
  <c r="F707" i="10"/>
  <c r="F677" i="10"/>
  <c r="F646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81" i="10"/>
  <c r="F628" i="10"/>
  <c r="G712" i="1" l="1"/>
  <c r="M712" i="1" s="1"/>
  <c r="G679" i="1"/>
  <c r="M679" i="1" s="1"/>
  <c r="G642" i="1"/>
  <c r="G680" i="1"/>
  <c r="M680" i="1" s="1"/>
  <c r="G693" i="1"/>
  <c r="M693" i="1" s="1"/>
  <c r="G670" i="1"/>
  <c r="G630" i="1"/>
  <c r="J630" i="1" s="1"/>
  <c r="G698" i="1"/>
  <c r="M698" i="1" s="1"/>
  <c r="G691" i="1"/>
  <c r="G631" i="1"/>
  <c r="G673" i="1"/>
  <c r="G703" i="1"/>
  <c r="G692" i="1"/>
  <c r="M692" i="1" s="1"/>
  <c r="G701" i="1"/>
  <c r="M701" i="1" s="1"/>
  <c r="G677" i="1"/>
  <c r="M677" i="1" s="1"/>
  <c r="G627" i="1"/>
  <c r="G683" i="1"/>
  <c r="M683" i="1" s="1"/>
  <c r="G647" i="1"/>
  <c r="G639" i="1"/>
  <c r="G700" i="1"/>
  <c r="G626" i="1"/>
  <c r="G688" i="1"/>
  <c r="M688" i="1" s="1"/>
  <c r="G674" i="1"/>
  <c r="M674" i="1" s="1"/>
  <c r="G675" i="1"/>
  <c r="M675" i="1" s="1"/>
  <c r="G690" i="1"/>
  <c r="G632" i="1"/>
  <c r="G635" i="1"/>
  <c r="G710" i="1"/>
  <c r="M710" i="1" s="1"/>
  <c r="G686" i="1"/>
  <c r="M686" i="1" s="1"/>
  <c r="G643" i="1"/>
  <c r="G636" i="1"/>
  <c r="G629" i="1"/>
  <c r="G708" i="1"/>
  <c r="M708" i="1" s="1"/>
  <c r="G706" i="1"/>
  <c r="M706" i="1" s="1"/>
  <c r="G707" i="1"/>
  <c r="M707" i="1" s="1"/>
  <c r="G684" i="1"/>
  <c r="M684" i="1" s="1"/>
  <c r="G638" i="1"/>
  <c r="G709" i="1"/>
  <c r="M709" i="1" s="1"/>
  <c r="G678" i="1"/>
  <c r="M678" i="1" s="1"/>
  <c r="G669" i="1"/>
  <c r="M669" i="1" s="1"/>
  <c r="G687" i="1"/>
  <c r="M687" i="1" s="1"/>
  <c r="G716" i="1"/>
  <c r="G640" i="1"/>
  <c r="G682" i="1"/>
  <c r="M682" i="1" s="1"/>
  <c r="G697" i="1"/>
  <c r="M697" i="1" s="1"/>
  <c r="G689" i="1"/>
  <c r="M689" i="1" s="1"/>
  <c r="G672" i="1"/>
  <c r="G628" i="1"/>
  <c r="G668" i="1"/>
  <c r="G711" i="1"/>
  <c r="M711" i="1" s="1"/>
  <c r="G696" i="1"/>
  <c r="G704" i="1"/>
  <c r="M704" i="1" s="1"/>
  <c r="G695" i="1"/>
  <c r="M695" i="1" s="1"/>
  <c r="G705" i="1"/>
  <c r="M705" i="1" s="1"/>
  <c r="G713" i="1"/>
  <c r="M713" i="1" s="1"/>
  <c r="G646" i="1"/>
  <c r="G671" i="1"/>
  <c r="M671" i="1" s="1"/>
  <c r="G641" i="1"/>
  <c r="G634" i="1"/>
  <c r="G681" i="1"/>
  <c r="M681" i="1" s="1"/>
  <c r="G644" i="1"/>
  <c r="G676" i="1"/>
  <c r="G637" i="1"/>
  <c r="G702" i="1"/>
  <c r="G685" i="1"/>
  <c r="M685" i="1" s="1"/>
  <c r="G645" i="1"/>
  <c r="G633" i="1"/>
  <c r="G694" i="1"/>
  <c r="G699" i="1"/>
  <c r="M699" i="1" s="1"/>
  <c r="F715" i="1"/>
  <c r="M673" i="1"/>
  <c r="F715" i="10"/>
  <c r="G625" i="10"/>
  <c r="C119" i="9" l="1"/>
  <c r="Y755" i="1"/>
  <c r="Y751" i="1"/>
  <c r="F87" i="9"/>
  <c r="F23" i="9"/>
  <c r="Y737" i="1"/>
  <c r="D151" i="9"/>
  <c r="Y763" i="1"/>
  <c r="H183" i="9"/>
  <c r="Y774" i="1"/>
  <c r="Y747" i="1"/>
  <c r="I55" i="9"/>
  <c r="D183" i="9"/>
  <c r="Y770" i="1"/>
  <c r="H628" i="1"/>
  <c r="C87" i="9"/>
  <c r="Y748" i="1"/>
  <c r="D23" i="9"/>
  <c r="Y735" i="1"/>
  <c r="E87" i="9"/>
  <c r="Y750" i="1"/>
  <c r="Y776" i="1"/>
  <c r="C215" i="9"/>
  <c r="Y741" i="1"/>
  <c r="C55" i="9"/>
  <c r="E151" i="9"/>
  <c r="Y764" i="1"/>
  <c r="H23" i="9"/>
  <c r="Y739" i="1"/>
  <c r="Y779" i="1"/>
  <c r="F215" i="9"/>
  <c r="F55" i="9"/>
  <c r="Y744" i="1"/>
  <c r="Y773" i="1"/>
  <c r="G183" i="9"/>
  <c r="Y740" i="1"/>
  <c r="I23" i="9"/>
  <c r="Y743" i="1"/>
  <c r="E55" i="9"/>
  <c r="J680" i="1"/>
  <c r="J686" i="1"/>
  <c r="J685" i="1"/>
  <c r="J644" i="1"/>
  <c r="K644" i="1" s="1"/>
  <c r="J711" i="1"/>
  <c r="J642" i="1"/>
  <c r="J707" i="1"/>
  <c r="J700" i="1"/>
  <c r="J688" i="1"/>
  <c r="J640" i="1"/>
  <c r="J638" i="1"/>
  <c r="J691" i="1"/>
  <c r="J635" i="1"/>
  <c r="J672" i="1"/>
  <c r="J704" i="1"/>
  <c r="J696" i="1"/>
  <c r="J673" i="1"/>
  <c r="J633" i="1"/>
  <c r="J671" i="1"/>
  <c r="J669" i="1"/>
  <c r="J709" i="1"/>
  <c r="J697" i="1"/>
  <c r="J702" i="1"/>
  <c r="J684" i="1"/>
  <c r="J677" i="1"/>
  <c r="J632" i="1"/>
  <c r="J647" i="1"/>
  <c r="L647" i="1" s="1"/>
  <c r="J639" i="1"/>
  <c r="J692" i="1"/>
  <c r="J689" i="1"/>
  <c r="J646" i="1"/>
  <c r="J699" i="1"/>
  <c r="J712" i="1"/>
  <c r="J631" i="1"/>
  <c r="J694" i="1"/>
  <c r="J678" i="1"/>
  <c r="J690" i="1"/>
  <c r="J645" i="1"/>
  <c r="J668" i="1"/>
  <c r="J706" i="1"/>
  <c r="J679" i="1"/>
  <c r="J643" i="1"/>
  <c r="J637" i="1"/>
  <c r="J681" i="1"/>
  <c r="J693" i="1"/>
  <c r="J682" i="1"/>
  <c r="J716" i="1"/>
  <c r="J705" i="1"/>
  <c r="J683" i="1"/>
  <c r="J670" i="1"/>
  <c r="J636" i="1"/>
  <c r="J641" i="1"/>
  <c r="J634" i="1"/>
  <c r="J674" i="1"/>
  <c r="J713" i="1"/>
  <c r="J710" i="1"/>
  <c r="J695" i="1"/>
  <c r="J676" i="1"/>
  <c r="J701" i="1"/>
  <c r="J675" i="1"/>
  <c r="J698" i="1"/>
  <c r="J703" i="1"/>
  <c r="J708" i="1"/>
  <c r="J687" i="1"/>
  <c r="Y777" i="1"/>
  <c r="D215" i="9"/>
  <c r="Y775" i="1"/>
  <c r="I183" i="9"/>
  <c r="Y772" i="1"/>
  <c r="F183" i="9"/>
  <c r="I87" i="9"/>
  <c r="Y754" i="1"/>
  <c r="Y767" i="1"/>
  <c r="H151" i="9"/>
  <c r="Y745" i="1"/>
  <c r="G55" i="9"/>
  <c r="E183" i="9"/>
  <c r="Y771" i="1"/>
  <c r="F151" i="9"/>
  <c r="Y765" i="1"/>
  <c r="I119" i="9"/>
  <c r="Y761" i="1"/>
  <c r="H87" i="9"/>
  <c r="Y753" i="1"/>
  <c r="G87" i="9"/>
  <c r="Y752" i="1"/>
  <c r="G715" i="1"/>
  <c r="Y749" i="1"/>
  <c r="D87" i="9"/>
  <c r="F119" i="9"/>
  <c r="Y758" i="1"/>
  <c r="G119" i="9"/>
  <c r="Y759" i="1"/>
  <c r="Y778" i="1"/>
  <c r="E215" i="9"/>
  <c r="Y746" i="1"/>
  <c r="H55" i="9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9" i="10"/>
  <c r="G701" i="10"/>
  <c r="G693" i="10"/>
  <c r="G685" i="10"/>
  <c r="G683" i="10"/>
  <c r="G679" i="10"/>
  <c r="G675" i="10"/>
  <c r="G671" i="10"/>
  <c r="G708" i="10"/>
  <c r="G700" i="10"/>
  <c r="G692" i="10"/>
  <c r="G684" i="10"/>
  <c r="G680" i="10"/>
  <c r="G676" i="10"/>
  <c r="G672" i="10"/>
  <c r="G713" i="10"/>
  <c r="G705" i="10"/>
  <c r="G697" i="10"/>
  <c r="G689" i="10"/>
  <c r="G681" i="10"/>
  <c r="G677" i="10"/>
  <c r="G673" i="10"/>
  <c r="G669" i="10"/>
  <c r="G688" i="10"/>
  <c r="G682" i="10"/>
  <c r="G668" i="10"/>
  <c r="G645" i="10"/>
  <c r="G629" i="10"/>
  <c r="G626" i="10"/>
  <c r="G696" i="10"/>
  <c r="G670" i="10"/>
  <c r="G646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4" i="10"/>
  <c r="G674" i="10"/>
  <c r="G628" i="10"/>
  <c r="G712" i="10"/>
  <c r="G647" i="10"/>
  <c r="G678" i="10"/>
  <c r="G627" i="10"/>
  <c r="J715" i="1" l="1"/>
  <c r="K716" i="1"/>
  <c r="K670" i="1"/>
  <c r="K672" i="1"/>
  <c r="K679" i="1"/>
  <c r="K711" i="1"/>
  <c r="K703" i="1"/>
  <c r="K700" i="1"/>
  <c r="K688" i="1"/>
  <c r="K687" i="1"/>
  <c r="K685" i="1"/>
  <c r="K676" i="1"/>
  <c r="K701" i="1"/>
  <c r="K689" i="1"/>
  <c r="K706" i="1"/>
  <c r="K696" i="1"/>
  <c r="K673" i="1"/>
  <c r="K677" i="1"/>
  <c r="K709" i="1"/>
  <c r="K698" i="1"/>
  <c r="K671" i="1"/>
  <c r="K702" i="1"/>
  <c r="K680" i="1"/>
  <c r="K690" i="1"/>
  <c r="K707" i="1"/>
  <c r="K699" i="1"/>
  <c r="K669" i="1"/>
  <c r="K678" i="1"/>
  <c r="K693" i="1"/>
  <c r="K704" i="1"/>
  <c r="K684" i="1"/>
  <c r="K713" i="1"/>
  <c r="K691" i="1"/>
  <c r="K683" i="1"/>
  <c r="K681" i="1"/>
  <c r="K668" i="1"/>
  <c r="K715" i="1" s="1"/>
  <c r="K705" i="1"/>
  <c r="K710" i="1"/>
  <c r="K675" i="1"/>
  <c r="K674" i="1"/>
  <c r="K694" i="1"/>
  <c r="K682" i="1"/>
  <c r="K686" i="1"/>
  <c r="K712" i="1"/>
  <c r="K697" i="1"/>
  <c r="K708" i="1"/>
  <c r="K692" i="1"/>
  <c r="K695" i="1"/>
  <c r="H684" i="1"/>
  <c r="H699" i="1"/>
  <c r="H705" i="1"/>
  <c r="H701" i="1"/>
  <c r="H690" i="1"/>
  <c r="H670" i="1"/>
  <c r="H637" i="1"/>
  <c r="H629" i="1"/>
  <c r="H695" i="1"/>
  <c r="H704" i="1"/>
  <c r="H644" i="1"/>
  <c r="H632" i="1"/>
  <c r="H638" i="1"/>
  <c r="H706" i="1"/>
  <c r="H712" i="1"/>
  <c r="H707" i="1"/>
  <c r="H716" i="1"/>
  <c r="H641" i="1"/>
  <c r="H671" i="1"/>
  <c r="H688" i="1"/>
  <c r="H713" i="1"/>
  <c r="H683" i="1"/>
  <c r="H697" i="1"/>
  <c r="H686" i="1"/>
  <c r="H680" i="1"/>
  <c r="H687" i="1"/>
  <c r="H676" i="1"/>
  <c r="H647" i="1"/>
  <c r="H710" i="1"/>
  <c r="H635" i="1"/>
  <c r="H709" i="1"/>
  <c r="H673" i="1"/>
  <c r="H645" i="1"/>
  <c r="H643" i="1"/>
  <c r="H678" i="1"/>
  <c r="H639" i="1"/>
  <c r="H708" i="1"/>
  <c r="H636" i="1"/>
  <c r="H702" i="1"/>
  <c r="H692" i="1"/>
  <c r="H698" i="1"/>
  <c r="H631" i="1"/>
  <c r="H640" i="1"/>
  <c r="H669" i="1"/>
  <c r="H700" i="1"/>
  <c r="H646" i="1"/>
  <c r="H677" i="1"/>
  <c r="H630" i="1"/>
  <c r="H672" i="1"/>
  <c r="H679" i="1"/>
  <c r="H633" i="1"/>
  <c r="H694" i="1"/>
  <c r="H675" i="1"/>
  <c r="H674" i="1"/>
  <c r="H668" i="1"/>
  <c r="H682" i="1"/>
  <c r="H634" i="1"/>
  <c r="H689" i="1"/>
  <c r="H703" i="1"/>
  <c r="H681" i="1"/>
  <c r="H693" i="1"/>
  <c r="H711" i="1"/>
  <c r="H685" i="1"/>
  <c r="H691" i="1"/>
  <c r="H642" i="1"/>
  <c r="H696" i="1"/>
  <c r="L672" i="1"/>
  <c r="M672" i="1" s="1"/>
  <c r="L685" i="1"/>
  <c r="L686" i="1"/>
  <c r="L701" i="1"/>
  <c r="L706" i="1"/>
  <c r="L696" i="1"/>
  <c r="M696" i="1" s="1"/>
  <c r="L697" i="1"/>
  <c r="L681" i="1"/>
  <c r="L687" i="1"/>
  <c r="L671" i="1"/>
  <c r="L677" i="1"/>
  <c r="L708" i="1"/>
  <c r="L682" i="1"/>
  <c r="L704" i="1"/>
  <c r="L710" i="1"/>
  <c r="L673" i="1"/>
  <c r="L694" i="1"/>
  <c r="M694" i="1" s="1"/>
  <c r="L691" i="1"/>
  <c r="M691" i="1" s="1"/>
  <c r="L674" i="1"/>
  <c r="L707" i="1"/>
  <c r="L683" i="1"/>
  <c r="L692" i="1"/>
  <c r="L675" i="1"/>
  <c r="L716" i="1"/>
  <c r="L698" i="1"/>
  <c r="L693" i="1"/>
  <c r="L688" i="1"/>
  <c r="L690" i="1"/>
  <c r="M690" i="1" s="1"/>
  <c r="L670" i="1"/>
  <c r="M670" i="1" s="1"/>
  <c r="L689" i="1"/>
  <c r="L699" i="1"/>
  <c r="L679" i="1"/>
  <c r="L684" i="1"/>
  <c r="L678" i="1"/>
  <c r="L711" i="1"/>
  <c r="L700" i="1"/>
  <c r="M700" i="1" s="1"/>
  <c r="L669" i="1"/>
  <c r="L676" i="1"/>
  <c r="M676" i="1" s="1"/>
  <c r="L703" i="1"/>
  <c r="M703" i="1" s="1"/>
  <c r="L705" i="1"/>
  <c r="L712" i="1"/>
  <c r="L680" i="1"/>
  <c r="L702" i="1"/>
  <c r="M702" i="1" s="1"/>
  <c r="L668" i="1"/>
  <c r="L713" i="1"/>
  <c r="L709" i="1"/>
  <c r="L695" i="1"/>
  <c r="H628" i="10"/>
  <c r="G715" i="10"/>
  <c r="H119" i="9" l="1"/>
  <c r="Y760" i="1"/>
  <c r="Y742" i="1"/>
  <c r="D55" i="9"/>
  <c r="E119" i="9"/>
  <c r="Y757" i="1"/>
  <c r="Y762" i="1"/>
  <c r="C151" i="9"/>
  <c r="H715" i="1"/>
  <c r="I629" i="1"/>
  <c r="Y736" i="1"/>
  <c r="E23" i="9"/>
  <c r="Y766" i="1"/>
  <c r="G151" i="9"/>
  <c r="G23" i="9"/>
  <c r="Y738" i="1"/>
  <c r="L715" i="1"/>
  <c r="M668" i="1"/>
  <c r="Y756" i="1"/>
  <c r="D119" i="9"/>
  <c r="I151" i="9"/>
  <c r="Y768" i="1"/>
  <c r="C183" i="9"/>
  <c r="Y769" i="1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6" i="10"/>
  <c r="H698" i="10"/>
  <c r="H690" i="10"/>
  <c r="H684" i="10"/>
  <c r="H680" i="10"/>
  <c r="H676" i="10"/>
  <c r="H672" i="10"/>
  <c r="H713" i="10"/>
  <c r="H705" i="10"/>
  <c r="H697" i="10"/>
  <c r="H689" i="10"/>
  <c r="H681" i="10"/>
  <c r="H677" i="10"/>
  <c r="H673" i="10"/>
  <c r="H669" i="10"/>
  <c r="H710" i="10"/>
  <c r="H702" i="10"/>
  <c r="H694" i="10"/>
  <c r="H686" i="10"/>
  <c r="H682" i="10"/>
  <c r="H678" i="10"/>
  <c r="H674" i="10"/>
  <c r="H670" i="10"/>
  <c r="H647" i="10"/>
  <c r="H646" i="10"/>
  <c r="H685" i="10"/>
  <c r="H679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93" i="10"/>
  <c r="H683" i="10"/>
  <c r="H701" i="10"/>
  <c r="H671" i="10"/>
  <c r="H675" i="10"/>
  <c r="H709" i="10"/>
  <c r="H668" i="10"/>
  <c r="H645" i="10"/>
  <c r="H629" i="10"/>
  <c r="M715" i="1" l="1"/>
  <c r="C23" i="9"/>
  <c r="Y734" i="1"/>
  <c r="Y815" i="1" s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71" i="1"/>
  <c r="I678" i="1"/>
  <c r="I646" i="1"/>
  <c r="I696" i="1"/>
  <c r="I692" i="1"/>
  <c r="I675" i="1"/>
  <c r="I680" i="1"/>
  <c r="I676" i="1"/>
  <c r="I686" i="1"/>
  <c r="I713" i="1"/>
  <c r="I640" i="1"/>
  <c r="I631" i="1"/>
  <c r="I630" i="1"/>
  <c r="I668" i="1"/>
  <c r="I670" i="1"/>
  <c r="I699" i="1"/>
  <c r="I682" i="1"/>
  <c r="I681" i="1"/>
  <c r="I688" i="1"/>
  <c r="I710" i="1"/>
  <c r="I711" i="1"/>
  <c r="I701" i="1"/>
  <c r="I706" i="1"/>
  <c r="I634" i="1"/>
  <c r="I632" i="1"/>
  <c r="I635" i="1"/>
  <c r="I637" i="1"/>
  <c r="I685" i="1"/>
  <c r="I644" i="1"/>
  <c r="I647" i="1"/>
  <c r="I690" i="1"/>
  <c r="I695" i="1"/>
  <c r="I672" i="1"/>
  <c r="I639" i="1"/>
  <c r="I643" i="1"/>
  <c r="I709" i="1"/>
  <c r="I638" i="1"/>
  <c r="I633" i="1"/>
  <c r="I645" i="1"/>
  <c r="I700" i="1"/>
  <c r="I703" i="1"/>
  <c r="I642" i="1"/>
  <c r="I691" i="1"/>
  <c r="I687" i="1"/>
  <c r="I684" i="1"/>
  <c r="I698" i="1"/>
  <c r="I693" i="1"/>
  <c r="I679" i="1"/>
  <c r="I707" i="1"/>
  <c r="H715" i="10"/>
  <c r="I629" i="10"/>
  <c r="I715" i="1" l="1"/>
  <c r="I716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11" i="10"/>
  <c r="I703" i="10"/>
  <c r="I695" i="10"/>
  <c r="I687" i="10"/>
  <c r="I681" i="10"/>
  <c r="I677" i="10"/>
  <c r="I673" i="10"/>
  <c r="I669" i="10"/>
  <c r="I710" i="10"/>
  <c r="I702" i="10"/>
  <c r="I694" i="10"/>
  <c r="I686" i="10"/>
  <c r="I682" i="10"/>
  <c r="I678" i="10"/>
  <c r="I674" i="10"/>
  <c r="I670" i="10"/>
  <c r="I707" i="10"/>
  <c r="I699" i="10"/>
  <c r="I691" i="10"/>
  <c r="I683" i="10"/>
  <c r="I679" i="10"/>
  <c r="I675" i="10"/>
  <c r="I671" i="10"/>
  <c r="I676" i="10"/>
  <c r="I646" i="10"/>
  <c r="I690" i="10"/>
  <c r="I680" i="10"/>
  <c r="I698" i="10"/>
  <c r="I684" i="10"/>
  <c r="I668" i="10"/>
  <c r="I647" i="10"/>
  <c r="I645" i="10"/>
  <c r="I644" i="10"/>
  <c r="I642" i="10"/>
  <c r="I640" i="10"/>
  <c r="I638" i="10"/>
  <c r="I636" i="10"/>
  <c r="I634" i="10"/>
  <c r="I632" i="10"/>
  <c r="I630" i="10"/>
  <c r="I706" i="10"/>
  <c r="I672" i="10"/>
  <c r="I641" i="10"/>
  <c r="I633" i="10"/>
  <c r="I639" i="10"/>
  <c r="I631" i="10"/>
  <c r="I637" i="10"/>
  <c r="I643" i="10"/>
  <c r="I635" i="10"/>
  <c r="I715" i="10" l="1"/>
  <c r="J630" i="10"/>
  <c r="J713" i="10" l="1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708" i="10"/>
  <c r="J700" i="10"/>
  <c r="J692" i="10"/>
  <c r="J682" i="10"/>
  <c r="J678" i="10"/>
  <c r="J674" i="10"/>
  <c r="J670" i="10"/>
  <c r="J707" i="10"/>
  <c r="J699" i="10"/>
  <c r="J691" i="10"/>
  <c r="J683" i="10"/>
  <c r="J679" i="10"/>
  <c r="J675" i="10"/>
  <c r="J671" i="10"/>
  <c r="J712" i="10"/>
  <c r="J704" i="10"/>
  <c r="J696" i="10"/>
  <c r="J688" i="10"/>
  <c r="J684" i="10"/>
  <c r="J680" i="10"/>
  <c r="J676" i="10"/>
  <c r="J672" i="10"/>
  <c r="J668" i="10"/>
  <c r="J711" i="10"/>
  <c r="J673" i="10"/>
  <c r="J687" i="10"/>
  <c r="J677" i="10"/>
  <c r="J647" i="10"/>
  <c r="J645" i="10"/>
  <c r="J695" i="10"/>
  <c r="J68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69" i="10"/>
  <c r="J646" i="10"/>
  <c r="J703" i="10"/>
  <c r="J715" i="10" l="1"/>
  <c r="K644" i="10"/>
  <c r="L647" i="10"/>
  <c r="K710" i="10" l="1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3" i="10"/>
  <c r="K705" i="10"/>
  <c r="K697" i="10"/>
  <c r="K689" i="10"/>
  <c r="K683" i="10"/>
  <c r="K679" i="10"/>
  <c r="K675" i="10"/>
  <c r="K671" i="10"/>
  <c r="K712" i="10"/>
  <c r="K704" i="10"/>
  <c r="K696" i="10"/>
  <c r="K688" i="10"/>
  <c r="K684" i="10"/>
  <c r="K680" i="10"/>
  <c r="K676" i="10"/>
  <c r="K672" i="10"/>
  <c r="K709" i="10"/>
  <c r="K701" i="10"/>
  <c r="K693" i="10"/>
  <c r="K685" i="10"/>
  <c r="K681" i="10"/>
  <c r="K677" i="10"/>
  <c r="K673" i="10"/>
  <c r="K669" i="10"/>
  <c r="K708" i="10"/>
  <c r="K670" i="10"/>
  <c r="K674" i="10"/>
  <c r="K668" i="10"/>
  <c r="K692" i="10"/>
  <c r="K678" i="10"/>
  <c r="K700" i="10"/>
  <c r="K682" i="10"/>
  <c r="L716" i="10"/>
  <c r="L711" i="10"/>
  <c r="M711" i="10" s="1"/>
  <c r="Z777" i="10" s="1"/>
  <c r="L707" i="10"/>
  <c r="M707" i="10" s="1"/>
  <c r="Z773" i="10" s="1"/>
  <c r="L703" i="10"/>
  <c r="M703" i="10" s="1"/>
  <c r="Z769" i="10" s="1"/>
  <c r="L699" i="10"/>
  <c r="M699" i="10" s="1"/>
  <c r="Z765" i="10" s="1"/>
  <c r="L695" i="10"/>
  <c r="M695" i="10" s="1"/>
  <c r="Z761" i="10" s="1"/>
  <c r="L691" i="10"/>
  <c r="M691" i="10" s="1"/>
  <c r="Z757" i="10" s="1"/>
  <c r="L687" i="10"/>
  <c r="M687" i="10" s="1"/>
  <c r="Z753" i="10" s="1"/>
  <c r="L712" i="10"/>
  <c r="M712" i="10" s="1"/>
  <c r="Z778" i="10" s="1"/>
  <c r="L708" i="10"/>
  <c r="L704" i="10"/>
  <c r="L700" i="10"/>
  <c r="L696" i="10"/>
  <c r="M696" i="10" s="1"/>
  <c r="Z762" i="10" s="1"/>
  <c r="L692" i="10"/>
  <c r="L688" i="10"/>
  <c r="L710" i="10"/>
  <c r="M710" i="10" s="1"/>
  <c r="Z776" i="10" s="1"/>
  <c r="L702" i="10"/>
  <c r="L694" i="10"/>
  <c r="M694" i="10" s="1"/>
  <c r="Z760" i="10" s="1"/>
  <c r="L686" i="10"/>
  <c r="L684" i="10"/>
  <c r="L680" i="10"/>
  <c r="L676" i="10"/>
  <c r="L672" i="10"/>
  <c r="L709" i="10"/>
  <c r="L701" i="10"/>
  <c r="L693" i="10"/>
  <c r="L685" i="10"/>
  <c r="L681" i="10"/>
  <c r="L677" i="10"/>
  <c r="L673" i="10"/>
  <c r="L669" i="10"/>
  <c r="L706" i="10"/>
  <c r="L698" i="10"/>
  <c r="M698" i="10" s="1"/>
  <c r="Z764" i="10" s="1"/>
  <c r="L690" i="10"/>
  <c r="L682" i="10"/>
  <c r="L678" i="10"/>
  <c r="M678" i="10" s="1"/>
  <c r="Z744" i="10" s="1"/>
  <c r="L674" i="10"/>
  <c r="M674" i="10" s="1"/>
  <c r="Z740" i="10" s="1"/>
  <c r="L670" i="10"/>
  <c r="M670" i="10" s="1"/>
  <c r="Z736" i="10" s="1"/>
  <c r="L705" i="10"/>
  <c r="L683" i="10"/>
  <c r="L668" i="10"/>
  <c r="L713" i="10"/>
  <c r="M713" i="10" s="1"/>
  <c r="L671" i="10"/>
  <c r="L689" i="10"/>
  <c r="M689" i="10" s="1"/>
  <c r="Z755" i="10" s="1"/>
  <c r="L675" i="10"/>
  <c r="M675" i="10" s="1"/>
  <c r="Z741" i="10" s="1"/>
  <c r="L697" i="10"/>
  <c r="L679" i="10"/>
  <c r="M683" i="10" l="1"/>
  <c r="Z749" i="10" s="1"/>
  <c r="M706" i="10"/>
  <c r="Z772" i="10" s="1"/>
  <c r="M681" i="10"/>
  <c r="Z747" i="10" s="1"/>
  <c r="M709" i="10"/>
  <c r="Z775" i="10" s="1"/>
  <c r="M684" i="10"/>
  <c r="Z750" i="10" s="1"/>
  <c r="M700" i="10"/>
  <c r="Z766" i="10" s="1"/>
  <c r="M697" i="10"/>
  <c r="Z763" i="10" s="1"/>
  <c r="M690" i="10"/>
  <c r="Z756" i="10" s="1"/>
  <c r="M673" i="10"/>
  <c r="Z739" i="10" s="1"/>
  <c r="M693" i="10"/>
  <c r="Z759" i="10" s="1"/>
  <c r="M676" i="10"/>
  <c r="Z742" i="10" s="1"/>
  <c r="M692" i="10"/>
  <c r="Z758" i="10" s="1"/>
  <c r="M708" i="10"/>
  <c r="Z774" i="10" s="1"/>
  <c r="L715" i="10"/>
  <c r="M668" i="10"/>
  <c r="M677" i="10"/>
  <c r="Z743" i="10" s="1"/>
  <c r="M701" i="10"/>
  <c r="Z767" i="10" s="1"/>
  <c r="M680" i="10"/>
  <c r="Z746" i="10" s="1"/>
  <c r="M702" i="10"/>
  <c r="Z768" i="10" s="1"/>
  <c r="K715" i="10"/>
  <c r="M679" i="10"/>
  <c r="Z745" i="10" s="1"/>
  <c r="M671" i="10"/>
  <c r="Z737" i="10" s="1"/>
  <c r="M705" i="10"/>
  <c r="Z771" i="10" s="1"/>
  <c r="M682" i="10"/>
  <c r="Z748" i="10" s="1"/>
  <c r="M669" i="10"/>
  <c r="Z735" i="10" s="1"/>
  <c r="M685" i="10"/>
  <c r="Z751" i="10" s="1"/>
  <c r="M672" i="10"/>
  <c r="Z738" i="10" s="1"/>
  <c r="M686" i="10"/>
  <c r="Z752" i="10" s="1"/>
  <c r="M688" i="10"/>
  <c r="Z754" i="10" s="1"/>
  <c r="M704" i="10"/>
  <c r="Z770" i="10" s="1"/>
  <c r="M715" i="10" l="1"/>
  <c r="Z815" i="10" s="1"/>
  <c r="Z734" i="10"/>
  <c r="Z814" i="10" s="1"/>
</calcChain>
</file>

<file path=xl/sharedStrings.xml><?xml version="1.0" encoding="utf-8"?>
<sst xmlns="http://schemas.openxmlformats.org/spreadsheetml/2006/main" count="4936" uniqueCount="1279">
  <si>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</si>
  <si>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</si>
  <si>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</si>
  <si>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</si>
  <si>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</si>
  <si>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</si>
  <si>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</si>
  <si>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</si>
  <si>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</si>
  <si>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</si>
  <si>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</si>
  <si>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</si>
  <si>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</si>
  <si>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</si>
  <si>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</si>
  <si>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</si>
  <si>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</si>
  <si>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</si>
  <si>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</si>
  <si>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</si>
  <si>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</si>
  <si>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</si>
  <si>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</si>
  <si>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</si>
  <si>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</si>
  <si>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</si>
  <si>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</si>
  <si>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</si>
  <si>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</si>
  <si>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</si>
  <si>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</si>
  <si>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</si>
  <si>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</si>
  <si>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</si>
  <si>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</si>
  <si>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</si>
  <si>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</si>
  <si>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</si>
  <si>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</si>
  <si>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</si>
  <si>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</si>
  <si>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</si>
  <si>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</si>
  <si>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</si>
  <si>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</si>
  <si>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</si>
  <si>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</si>
  <si>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</si>
  <si>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</si>
  <si>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</si>
  <si>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</si>
  <si>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</si>
  <si>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</si>
  <si>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</si>
  <si>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</si>
  <si>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</si>
  <si>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</si>
  <si>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</si>
  <si>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</si>
  <si>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</si>
  <si>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</si>
  <si>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</si>
  <si>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</si>
  <si>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</si>
  <si>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</si>
  <si>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</si>
  <si>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</si>
  <si>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</si>
  <si>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</si>
  <si>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</si>
  <si>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</si>
  <si>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</si>
  <si>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</si>
  <si>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</si>
  <si>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</si>
  <si>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</si>
  <si>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</si>
  <si>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</si>
  <si>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</si>
  <si>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</si>
  <si>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</si>
  <si>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</si>
  <si>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</si>
  <si>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</si>
  <si>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</si>
  <si>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</si>
  <si>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</si>
  <si>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</si>
  <si>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</si>
  <si>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</si>
  <si>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</si>
  <si>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</si>
  <si>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</si>
  <si>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</si>
  <si>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</si>
  <si>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</si>
  <si>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</si>
  <si>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</si>
  <si>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</si>
  <si>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</si>
  <si>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</si>
  <si>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</si>
  <si>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</si>
  <si>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</si>
  <si>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</si>
  <si>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</si>
  <si>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</si>
  <si>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</si>
  <si>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</si>
  <si>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</si>
  <si>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</si>
  <si>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</si>
  <si>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</si>
  <si>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</si>
  <si>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</si>
  <si>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</si>
  <si>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</si>
  <si>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</si>
  <si>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</si>
  <si>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</si>
  <si>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</si>
  <si>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</si>
  <si>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</si>
  <si>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</si>
  <si>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</si>
  <si>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</si>
  <si>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</si>
  <si>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</si>
  <si>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</si>
  <si>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</si>
  <si>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</si>
  <si>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</si>
  <si>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</si>
  <si>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</si>
  <si>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</si>
  <si>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</si>
  <si>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</si>
  <si>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</si>
  <si>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</si>
  <si>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</si>
  <si>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</si>
  <si>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</si>
  <si>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</si>
  <si>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</si>
  <si>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</si>
  <si>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</si>
  <si>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</si>
  <si>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</si>
  <si>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</si>
  <si>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</si>
  <si>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</si>
  <si>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</si>
  <si>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</si>
  <si>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</si>
  <si>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</si>
  <si>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</si>
  <si>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</si>
  <si>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</si>
  <si>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</si>
  <si>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</si>
  <si>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</si>
  <si>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</si>
  <si>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</si>
  <si>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</si>
  <si>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</si>
  <si>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</si>
  <si>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</si>
  <si>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</si>
  <si>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</si>
  <si>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</si>
  <si>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</si>
  <si>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</si>
  <si>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</si>
  <si>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</si>
  <si>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</si>
  <si>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</si>
  <si>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</si>
  <si>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</si>
  <si>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</si>
  <si>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</si>
  <si>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</si>
  <si>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</si>
  <si>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</si>
  <si>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</si>
  <si>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</si>
  <si>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</si>
  <si>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</si>
  <si>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</si>
  <si>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</si>
  <si>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</si>
  <si>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</si>
  <si>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</si>
  <si>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</si>
  <si>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</si>
  <si>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</si>
  <si>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</si>
  <si>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</si>
  <si>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</si>
  <si>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</si>
  <si>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</si>
  <si>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</si>
  <si>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</si>
  <si>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</si>
  <si>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</si>
  <si>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</si>
  <si>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</si>
  <si>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</si>
  <si>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</si>
  <si>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</si>
  <si>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</si>
  <si>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</si>
  <si>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</si>
  <si>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</si>
  <si>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</si>
  <si>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</si>
  <si>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</si>
  <si>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</si>
  <si>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</si>
  <si>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</si>
  <si>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</si>
  <si>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</si>
  <si>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</si>
  <si>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</si>
  <si>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</si>
  <si>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</si>
  <si>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</si>
  <si>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</si>
  <si>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</si>
  <si>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</si>
  <si>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</si>
  <si>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</si>
  <si>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</si>
  <si>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</si>
  <si>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</si>
  <si>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</si>
  <si>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</si>
  <si>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</si>
  <si>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</si>
  <si>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</si>
  <si>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</si>
  <si>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</si>
  <si>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</si>
  <si>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</si>
  <si>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</si>
  <si>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</si>
  <si>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</si>
  <si>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</si>
  <si>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</si>
  <si>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</si>
  <si>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</si>
  <si>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</si>
  <si>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</si>
  <si>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</si>
  <si>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</si>
  <si>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</si>
  <si>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</si>
  <si>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</si>
  <si>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</si>
  <si>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</si>
  <si>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</si>
  <si>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</si>
  <si>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</si>
  <si>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</si>
  <si>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</si>
  <si>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</si>
  <si>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</si>
  <si>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</si>
  <si>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</si>
  <si>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</si>
  <si>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</si>
  <si>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</si>
  <si>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</si>
  <si>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</si>
  <si>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</si>
  <si>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</si>
  <si>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</si>
  <si>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</si>
  <si>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</si>
  <si>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</si>
  <si>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</si>
  <si>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</si>
  <si>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</si>
  <si>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</si>
  <si>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</si>
  <si>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</si>
  <si>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</si>
  <si>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</si>
  <si>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</si>
  <si>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</si>
  <si>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</si>
  <si>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</si>
  <si>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</si>
  <si>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</si>
  <si>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</si>
  <si>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</si>
  <si>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</si>
  <si>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</si>
  <si>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</si>
  <si>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</si>
  <si>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</si>
  <si>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</si>
  <si>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</si>
  <si>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</si>
  <si>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</si>
  <si>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</si>
  <si>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</si>
  <si>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</si>
  <si>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</si>
  <si>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</si>
  <si>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</si>
  <si>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</si>
  <si>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</si>
  <si>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</si>
  <si>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</si>
  <si>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</si>
  <si>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</si>
  <si>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</si>
  <si>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</si>
  <si>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</si>
  <si>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</si>
  <si>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</si>
  <si>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</si>
  <si>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</si>
  <si>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</si>
  <si>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</si>
  <si>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</si>
  <si>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</si>
  <si>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</si>
  <si>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</si>
  <si>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</si>
  <si>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</si>
  <si>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</si>
  <si>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</si>
  <si>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</si>
  <si>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</si>
  <si>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</si>
  <si>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</si>
  <si>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</si>
  <si>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</si>
  <si>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</si>
  <si>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</si>
  <si>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</si>
  <si>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</si>
  <si>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</si>
  <si>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</si>
  <si>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</si>
  <si>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</si>
  <si>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</si>
  <si>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</si>
  <si>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</si>
  <si>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</si>
  <si>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</si>
  <si>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</si>
  <si>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</si>
  <si>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</si>
  <si>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</si>
  <si>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</si>
  <si>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</si>
  <si>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</si>
  <si>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</si>
  <si>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</si>
  <si>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</si>
  <si>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</si>
  <si>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</si>
  <si>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</si>
  <si>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</si>
  <si>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</si>
  <si>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</si>
  <si>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</si>
  <si>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</si>
  <si>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</si>
  <si>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</si>
  <si>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</si>
  <si>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</si>
  <si>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</si>
  <si>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</si>
  <si>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</si>
  <si>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</si>
  <si>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</si>
  <si>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</si>
  <si>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</si>
  <si>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</si>
  <si>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</si>
  <si>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</si>
  <si>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</si>
  <si>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</si>
  <si>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</si>
  <si>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</si>
  <si>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</si>
  <si>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</si>
  <si>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</si>
  <si>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</si>
  <si>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</si>
  <si>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</si>
  <si>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</si>
  <si>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</si>
  <si>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</si>
  <si>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</si>
  <si>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</si>
  <si>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</si>
  <si>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</si>
  <si>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</si>
  <si>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</si>
  <si>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</si>
  <si>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</si>
  <si>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</si>
  <si>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</si>
  <si>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</si>
  <si>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</si>
  <si>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</si>
  <si>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</si>
  <si>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</si>
  <si>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</si>
  <si>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</si>
  <si>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</si>
  <si>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</si>
  <si>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</si>
  <si>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</si>
  <si>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</si>
  <si>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</si>
  <si>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</si>
  <si>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</si>
  <si>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</si>
  <si>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</si>
  <si>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</si>
  <si>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</si>
  <si>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</si>
  <si>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</si>
  <si>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</si>
  <si>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</si>
  <si>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</si>
  <si>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</si>
  <si>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</si>
  <si>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</si>
  <si>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</si>
  <si>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</si>
  <si>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</si>
  <si>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</si>
  <si>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</si>
  <si>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</si>
  <si>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</si>
  <si>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</si>
  <si>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</si>
  <si>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</si>
  <si>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</si>
  <si>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</si>
  <si>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</si>
  <si>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</si>
  <si>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</si>
  <si>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</si>
  <si>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</si>
  <si>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</si>
  <si>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</si>
  <si>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</si>
  <si>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</si>
  <si>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</si>
  <si>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</si>
  <si>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</si>
  <si>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</si>
  <si>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</si>
  <si>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</si>
  <si>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</si>
  <si>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</si>
  <si>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</si>
  <si>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</si>
  <si>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</si>
  <si>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</si>
  <si>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</si>
  <si>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</si>
  <si>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</si>
  <si>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</si>
  <si>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</si>
  <si>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</si>
  <si>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</si>
  <si>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</si>
  <si>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</si>
  <si>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</si>
  <si>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</si>
  <si>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</si>
  <si>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</si>
  <si>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</si>
  <si>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</si>
  <si>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</si>
  <si>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</si>
  <si>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</si>
  <si>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</si>
  <si>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</si>
  <si>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</si>
  <si>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</si>
  <si>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</si>
  <si>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</si>
  <si>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</si>
  <si>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</si>
  <si>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</si>
  <si>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</si>
  <si>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</si>
  <si>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</si>
  <si>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</si>
  <si>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</si>
  <si>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</si>
  <si>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</si>
  <si>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</si>
  <si>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</si>
  <si>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</si>
  <si>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</si>
  <si>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</si>
  <si>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</si>
  <si>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</si>
  <si>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</si>
  <si>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</si>
  <si>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</si>
  <si>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</si>
  <si>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</si>
  <si>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</si>
  <si>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</si>
  <si>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</si>
  <si>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</si>
  <si>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</si>
  <si>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</si>
  <si>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</si>
  <si>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</si>
  <si>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</si>
  <si>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</si>
  <si>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</si>
  <si>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</si>
  <si>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</si>
  <si>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</si>
  <si>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</si>
  <si>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</si>
  <si>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</si>
  <si>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</si>
  <si>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</si>
  <si>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</si>
  <si>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</si>
  <si>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</si>
  <si>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</si>
  <si>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</si>
  <si>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</si>
  <si>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</si>
  <si>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</si>
  <si>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</si>
  <si>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</si>
  <si>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</si>
  <si>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</si>
  <si>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</si>
  <si>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</si>
  <si>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</si>
  <si>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</si>
  <si>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</si>
  <si>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</si>
  <si>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</si>
  <si>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</si>
  <si>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</si>
  <si>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</si>
  <si>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</si>
  <si>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</si>
  <si>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</si>
  <si>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</si>
  <si>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</si>
  <si>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</si>
  <si>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</si>
  <si>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</si>
  <si>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</si>
  <si>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</si>
  <si>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</si>
  <si>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</si>
  <si>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</si>
  <si>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</si>
  <si>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</si>
  <si>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</si>
  <si>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</si>
  <si>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</si>
  <si>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</si>
  <si>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</si>
  <si>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</si>
  <si>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</si>
  <si>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</si>
  <si>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</si>
  <si>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</si>
  <si>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</si>
  <si>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</si>
  <si>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</si>
  <si>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</si>
  <si>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</si>
  <si>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</si>
  <si>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</si>
  <si>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</si>
  <si>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</si>
  <si>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</si>
  <si>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</si>
  <si>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</si>
  <si>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</si>
  <si>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</si>
  <si>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</si>
  <si>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</si>
  <si>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</si>
  <si>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</si>
  <si>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</si>
  <si>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</si>
  <si>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</si>
  <si>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</si>
  <si>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</si>
  <si>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</si>
  <si>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</si>
  <si>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</si>
  <si>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</si>
  <si>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</si>
  <si>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</si>
  <si>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</si>
  <si>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</si>
  <si>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</si>
  <si>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</si>
  <si>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</si>
  <si>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</si>
  <si>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</si>
  <si>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</si>
  <si>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</si>
  <si>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</si>
  <si>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</si>
  <si>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</si>
  <si>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</si>
  <si>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</si>
  <si>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</si>
  <si>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</si>
  <si>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</si>
  <si>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</si>
  <si>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</si>
  <si>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</si>
  <si>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</si>
  <si>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</si>
  <si>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</si>
  <si>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</si>
  <si>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</si>
  <si>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</si>
  <si>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</si>
  <si>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</si>
  <si>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</si>
  <si>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</si>
  <si>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</si>
  <si>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</si>
  <si>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</si>
  <si>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</si>
  <si>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</si>
  <si>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</si>
  <si>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</si>
  <si>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</si>
  <si>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</si>
  <si>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</si>
  <si>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</si>
  <si>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</si>
  <si>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</si>
  <si>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</si>
  <si>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</si>
  <si>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</si>
  <si>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</si>
  <si>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</si>
  <si>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</si>
  <si>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</si>
  <si>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</si>
  <si>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</si>
  <si>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</si>
  <si>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</si>
  <si>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</si>
  <si>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</si>
  <si>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</si>
  <si>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</si>
  <si>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</si>
  <si>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</si>
  <si>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</si>
  <si>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</si>
  <si>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</si>
  <si>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</si>
  <si>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</si>
  <si>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</si>
  <si>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</si>
  <si>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</si>
  <si>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</si>
  <si>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</si>
  <si>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</si>
  <si>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</si>
  <si>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</si>
  <si>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</si>
  <si>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</si>
  <si>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</si>
  <si>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</si>
  <si>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</si>
  <si>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</si>
  <si>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</si>
  <si>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</si>
  <si>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</si>
  <si>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</si>
  <si>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</si>
  <si>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</si>
  <si>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</si>
  <si>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</si>
  <si>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</si>
  <si>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</si>
  <si>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</si>
  <si>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</si>
  <si>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</si>
  <si>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</si>
  <si>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</si>
  <si>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</si>
  <si>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</si>
  <si>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</si>
  <si>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</si>
  <si>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</si>
  <si>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</si>
  <si>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</si>
  <si>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</si>
  <si>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</si>
  <si>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</si>
  <si>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</si>
  <si>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</si>
  <si>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</si>
  <si>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</si>
  <si>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</si>
  <si>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</si>
  <si>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</si>
  <si>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</si>
  <si>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</si>
  <si>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</si>
  <si>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</si>
  <si>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</si>
  <si>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</si>
  <si>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</si>
  <si>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</si>
  <si>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</si>
  <si>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</si>
  <si>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</si>
  <si>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</si>
  <si>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</si>
  <si>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</si>
  <si>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</si>
  <si>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</si>
  <si>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</si>
  <si>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</si>
  <si>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</si>
  <si>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</si>
  <si>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</si>
  <si>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</si>
  <si>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</si>
  <si>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</si>
  <si>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</si>
  <si>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</si>
  <si>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</si>
  <si>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</si>
  <si>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</si>
  <si>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</si>
  <si>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</si>
  <si>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</si>
  <si>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</si>
  <si>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</si>
  <si>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</si>
  <si>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</si>
  <si>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</si>
  <si>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</si>
  <si>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</si>
  <si>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</si>
  <si>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</si>
  <si>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</si>
  <si>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</si>
  <si>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</si>
  <si>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</si>
  <si>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</si>
  <si>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</si>
  <si>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</si>
  <si>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</si>
  <si>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</si>
  <si>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</si>
  <si>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</si>
  <si>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</si>
  <si>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</si>
  <si>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</si>
  <si>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</si>
  <si>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</si>
  <si>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</si>
  <si>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</si>
  <si>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</si>
  <si>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</si>
  <si>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</si>
  <si>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</si>
  <si>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</si>
  <si>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</si>
  <si>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</si>
  <si>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</si>
  <si>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</si>
  <si>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</si>
  <si>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</si>
  <si>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</si>
  <si>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</si>
  <si>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</si>
  <si>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</si>
  <si>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</si>
  <si>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</si>
  <si>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</si>
  <si>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</si>
  <si>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</si>
  <si>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</si>
  <si>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</si>
  <si>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</si>
  <si>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</si>
  <si>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</si>
  <si>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</si>
  <si>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</si>
  <si>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</si>
  <si>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</si>
  <si>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</si>
  <si>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</si>
  <si>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</si>
  <si>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</si>
  <si>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</si>
  <si>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</si>
  <si>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</si>
  <si>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</si>
  <si>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</si>
  <si>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</si>
  <si>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</si>
  <si>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</si>
  <si>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</si>
  <si>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</si>
  <si>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</si>
  <si>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</si>
  <si>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</si>
  <si>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</si>
  <si>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</si>
  <si>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</si>
  <si>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</si>
  <si>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</si>
  <si>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</si>
  <si>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</si>
  <si>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</si>
  <si>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</si>
  <si>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</si>
  <si>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</si>
  <si>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</si>
  <si>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</si>
  <si>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</si>
  <si>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</si>
  <si>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</si>
  <si>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</si>
  <si>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</si>
  <si>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</si>
  <si>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</si>
  <si>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</si>
  <si>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</si>
  <si>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</si>
  <si>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</si>
  <si>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</si>
  <si>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</si>
  <si>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</si>
  <si>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</si>
  <si>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</si>
  <si>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</si>
  <si>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</si>
  <si>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</si>
  <si>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</si>
  <si>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</si>
  <si>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</si>
  <si>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</si>
  <si>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</si>
  <si>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</si>
  <si>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</si>
  <si>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</si>
  <si>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</si>
  <si>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</si>
  <si>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</si>
  <si>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</si>
  <si>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</si>
  <si>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</si>
  <si>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</si>
  <si>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</si>
  <si>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</si>
  <si>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</si>
  <si>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</si>
  <si>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</si>
  <si>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</si>
  <si>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</si>
  <si>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</si>
  <si>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</si>
  <si>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</si>
  <si>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</si>
  <si>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</si>
  <si>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</si>
  <si>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</si>
  <si>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</si>
  <si>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</si>
  <si>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</si>
  <si>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</si>
  <si>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</si>
  <si>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</si>
  <si>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</si>
  <si>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</si>
  <si>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</si>
  <si>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</si>
  <si>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</si>
  <si>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</si>
  <si>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</si>
  <si>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</si>
  <si>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</si>
  <si>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</si>
  <si>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</si>
  <si>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</si>
  <si>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</si>
  <si>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</si>
  <si>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</si>
  <si>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</si>
  <si>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</si>
  <si>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</si>
  <si>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</si>
  <si>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</si>
  <si>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</si>
  <si>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</si>
  <si>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</si>
  <si>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</si>
  <si>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</si>
  <si>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</si>
  <si>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</si>
  <si>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</si>
  <si>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</si>
  <si>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</si>
  <si>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</si>
  <si>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</si>
  <si>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</si>
  <si>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</si>
  <si>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</si>
  <si>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</si>
  <si>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</si>
  <si>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</si>
  <si>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</si>
  <si>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</si>
  <si>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</si>
  <si>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</si>
  <si>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</si>
  <si>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</si>
  <si>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</si>
  <si>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</si>
  <si>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</si>
  <si>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</si>
  <si>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</si>
  <si>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</si>
  <si>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</si>
  <si>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</si>
  <si>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</si>
  <si>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</si>
  <si>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</si>
  <si>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</si>
  <si>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</si>
  <si>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</si>
  <si>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</si>
  <si>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</si>
  <si>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</si>
  <si>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</si>
  <si>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</si>
  <si>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</si>
  <si>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</si>
  <si>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</si>
  <si>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</si>
  <si>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</si>
  <si>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</si>
  <si>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</si>
  <si>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</si>
  <si>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</si>
  <si>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</si>
  <si>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</si>
  <si>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</si>
  <si>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</si>
  <si>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</si>
  <si>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</si>
  <si>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</si>
  <si>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</si>
  <si>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</si>
  <si>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</si>
  <si>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</si>
  <si>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</si>
  <si>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</si>
  <si>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</si>
  <si>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</si>
  <si>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</si>
  <si>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</si>
  <si>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</si>
  <si>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</si>
  <si>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</si>
  <si>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</si>
  <si>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</si>
  <si>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</si>
  <si>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</si>
  <si>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</si>
  <si>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</si>
  <si>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</si>
  <si>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</si>
  <si>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</si>
  <si>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</si>
  <si>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</si>
  <si>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</si>
  <si>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</si>
  <si>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</si>
  <si>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</si>
  <si>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</si>
  <si>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</si>
  <si>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</si>
  <si>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</si>
  <si>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</si>
  <si>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</si>
  <si>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</si>
  <si>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</si>
  <si>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</si>
  <si>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</si>
  <si>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</si>
  <si>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</si>
  <si>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</si>
  <si>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</si>
  <si>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</si>
  <si>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</si>
  <si>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</si>
  <si>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</si>
  <si>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</si>
  <si>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</si>
  <si>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</si>
  <si>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</si>
  <si>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</si>
  <si>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</si>
  <si>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</si>
  <si>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</si>
  <si>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</si>
  <si>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</si>
  <si>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</si>
  <si>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</si>
  <si>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</si>
  <si>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</si>
  <si>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</si>
  <si>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</si>
  <si>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</si>
  <si>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</si>
  <si>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</si>
  <si>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</si>
  <si>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</si>
  <si>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</si>
  <si>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</si>
  <si>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</si>
  <si>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</si>
  <si>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</si>
  <si>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</si>
  <si>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</si>
  <si>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</si>
  <si>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</si>
  <si>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</si>
  <si>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</si>
  <si>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</si>
  <si>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</si>
  <si>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</si>
  <si>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</si>
  <si>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</si>
  <si>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</si>
  <si>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</si>
  <si>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</si>
  <si>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</si>
  <si>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</si>
  <si>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</si>
  <si>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</si>
  <si>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</si>
  <si>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</si>
  <si>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</si>
  <si>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</si>
  <si>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</si>
  <si>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</si>
  <si>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</si>
  <si>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</si>
  <si>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</si>
  <si>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</si>
  <si>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</si>
  <si>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</si>
  <si>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</si>
  <si>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</si>
  <si>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</si>
  <si>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</si>
  <si>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</si>
  <si>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</si>
  <si>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</si>
  <si>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</si>
  <si>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</si>
  <si>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</si>
  <si>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</si>
  <si>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</si>
  <si>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</si>
  <si>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</si>
  <si>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</si>
  <si>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</si>
  <si>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</si>
  <si>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</si>
  <si>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</si>
  <si>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</si>
  <si>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</si>
  <si>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</si>
  <si>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</si>
  <si>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</si>
  <si>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</si>
  <si>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</si>
  <si>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</si>
  <si>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</si>
  <si>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</si>
  <si>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</si>
  <si>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</si>
  <si>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</si>
  <si>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</si>
  <si>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</si>
  <si>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</si>
  <si>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</si>
  <si>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</si>
  <si>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</si>
  <si>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</si>
  <si>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</si>
  <si>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</si>
  <si>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</si>
  <si>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</si>
  <si>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</si>
  <si>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</si>
  <si>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</si>
  <si>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</si>
  <si>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</si>
  <si>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</si>
  <si>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</si>
  <si>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</si>
  <si>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</si>
  <si>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</si>
  <si>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</si>
  <si>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</si>
  <si>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</si>
  <si>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</si>
  <si>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</si>
  <si>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</si>
  <si>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</si>
  <si>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</si>
  <si>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</si>
  <si>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</si>
  <si>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</si>
  <si>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</si>
  <si>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</si>
  <si>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</si>
  <si>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</si>
  <si>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</si>
  <si>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</si>
  <si>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</si>
  <si>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</si>
  <si>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</si>
  <si>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</si>
  <si>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</si>
  <si>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</si>
  <si>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</si>
  <si>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</si>
  <si>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</si>
  <si>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</si>
  <si>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</si>
  <si>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</si>
  <si>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</si>
  <si>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</si>
  <si>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</si>
  <si>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</si>
  <si>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</si>
  <si>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</si>
  <si>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</si>
  <si>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</si>
  <si>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</si>
  <si>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</si>
  <si>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</si>
  <si>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</si>
  <si>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</si>
  <si>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</si>
  <si>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</si>
  <si>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</si>
  <si>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</si>
  <si>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</si>
  <si>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</si>
  <si>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</si>
  <si>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</si>
  <si>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</si>
  <si>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</si>
  <si>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</si>
  <si>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</si>
  <si>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</si>
  <si>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</si>
  <si>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</si>
  <si>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</si>
  <si>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</si>
  <si>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</si>
  <si>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</si>
  <si>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</si>
  <si>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</si>
  <si>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</si>
  <si>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</si>
  <si>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</si>
  <si>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</si>
  <si>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</si>
  <si>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</si>
  <si>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</si>
  <si>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</si>
  <si>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</si>
  <si>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</si>
  <si>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</si>
  <si>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</si>
  <si>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</si>
  <si>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</si>
  <si>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</si>
  <si>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</si>
  <si>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</si>
  <si>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</si>
  <si>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</si>
  <si>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</si>
  <si>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</si>
  <si>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</si>
  <si>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</si>
  <si>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</si>
  <si>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</si>
  <si>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</si>
  <si>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</si>
  <si>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</si>
  <si>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</si>
  <si>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</si>
  <si>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</si>
  <si>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</si>
  <si>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</si>
  <si>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</si>
  <si>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</si>
  <si>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</si>
  <si>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</si>
  <si>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</si>
  <si>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</si>
  <si>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</si>
  <si>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</si>
  <si>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</si>
  <si>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</si>
  <si>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</si>
  <si>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</si>
  <si>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</si>
  <si>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</si>
  <si>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</si>
  <si>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</si>
  <si>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</si>
  <si>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</si>
  <si>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</si>
  <si>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</si>
  <si>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</si>
  <si>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</si>
  <si>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</si>
  <si>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</si>
  <si>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</si>
  <si>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</si>
  <si>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</si>
  <si>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</si>
  <si>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</si>
  <si>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</si>
  <si>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</si>
  <si>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</si>
  <si>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</si>
  <si>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</si>
  <si>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</si>
  <si>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</si>
  <si>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</si>
  <si>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</si>
  <si>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</si>
  <si>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</si>
  <si>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</si>
  <si>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</si>
  <si>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</si>
  <si>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</si>
  <si>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</si>
  <si>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</si>
  <si>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</si>
  <si>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12/31/2019</t>
  </si>
  <si>
    <t>137</t>
  </si>
  <si>
    <t>LINCOLN COUNTY HOSPITAL DISTRICT # 3</t>
  </si>
  <si>
    <t>10 NICHOLS STREET</t>
  </si>
  <si>
    <t>DAVENPORT, WA 99122</t>
  </si>
  <si>
    <t>LINCOLN COUNTY</t>
  </si>
  <si>
    <t>TYSON LACY</t>
  </si>
  <si>
    <t>TIM O'CONNELL</t>
  </si>
  <si>
    <t>ROXANN SHERWOOD</t>
  </si>
  <si>
    <t>509-725-7101</t>
  </si>
  <si>
    <t>509-725-2112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</si>
</sst>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3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SQA\CHS\CHSShare\Charity%20Care%20and%20Hospital%20Financial\YearEnd\YearEnd_2019\YE137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E59">
            <v>1223</v>
          </cell>
          <cell r="L59">
            <v>4124</v>
          </cell>
          <cell r="P59">
            <v>16578</v>
          </cell>
          <cell r="Q59">
            <v>24870</v>
          </cell>
          <cell r="R59">
            <v>33655</v>
          </cell>
          <cell r="U59">
            <v>50013</v>
          </cell>
          <cell r="V59">
            <v>247</v>
          </cell>
          <cell r="W59">
            <v>352</v>
          </cell>
          <cell r="X59">
            <v>1373</v>
          </cell>
          <cell r="Y59">
            <v>6217</v>
          </cell>
          <cell r="AE59">
            <v>8849</v>
          </cell>
          <cell r="AG59">
            <v>2823</v>
          </cell>
          <cell r="AJ59">
            <v>20595</v>
          </cell>
          <cell r="AY59">
            <v>15797</v>
          </cell>
          <cell r="BE59">
            <v>41043</v>
          </cell>
        </row>
        <row r="71">
          <cell r="D71">
            <v>0</v>
          </cell>
          <cell r="E71">
            <v>2674362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1570687</v>
          </cell>
          <cell r="M71">
            <v>0</v>
          </cell>
          <cell r="N71">
            <v>0</v>
          </cell>
          <cell r="O71">
            <v>0</v>
          </cell>
          <cell r="P71">
            <v>647736.94999999995</v>
          </cell>
          <cell r="Q71">
            <v>269465</v>
          </cell>
          <cell r="R71">
            <v>549434</v>
          </cell>
          <cell r="S71">
            <v>153019</v>
          </cell>
          <cell r="T71">
            <v>0</v>
          </cell>
          <cell r="U71">
            <v>1082339</v>
          </cell>
          <cell r="V71">
            <v>314</v>
          </cell>
          <cell r="W71">
            <v>136195</v>
          </cell>
          <cell r="X71">
            <v>230747</v>
          </cell>
          <cell r="Y71">
            <v>793687</v>
          </cell>
          <cell r="Z71">
            <v>0</v>
          </cell>
          <cell r="AA71">
            <v>0</v>
          </cell>
          <cell r="AB71">
            <v>908116</v>
          </cell>
          <cell r="AC71">
            <v>221629</v>
          </cell>
          <cell r="AD71">
            <v>0</v>
          </cell>
          <cell r="AE71">
            <v>842713</v>
          </cell>
          <cell r="AF71">
            <v>0</v>
          </cell>
          <cell r="AG71">
            <v>1178816</v>
          </cell>
          <cell r="AH71">
            <v>262454</v>
          </cell>
          <cell r="AI71">
            <v>0</v>
          </cell>
          <cell r="AJ71">
            <v>5270954</v>
          </cell>
          <cell r="AK71">
            <v>87732</v>
          </cell>
          <cell r="AL71">
            <v>30525</v>
          </cell>
          <cell r="AM71">
            <v>51121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174751</v>
          </cell>
          <cell r="AW71">
            <v>0</v>
          </cell>
          <cell r="AX71">
            <v>0</v>
          </cell>
          <cell r="AY71">
            <v>687596</v>
          </cell>
          <cell r="AZ71">
            <v>0</v>
          </cell>
          <cell r="BA71">
            <v>59756</v>
          </cell>
          <cell r="BB71">
            <v>95357</v>
          </cell>
          <cell r="BC71">
            <v>0</v>
          </cell>
          <cell r="BD71">
            <v>0</v>
          </cell>
          <cell r="BE71">
            <v>701872</v>
          </cell>
          <cell r="BF71">
            <v>381810</v>
          </cell>
          <cell r="BG71">
            <v>0</v>
          </cell>
          <cell r="BH71">
            <v>0</v>
          </cell>
          <cell r="BI71">
            <v>0</v>
          </cell>
          <cell r="BJ71">
            <v>395506</v>
          </cell>
          <cell r="BK71">
            <v>841349</v>
          </cell>
          <cell r="BL71">
            <v>684589</v>
          </cell>
          <cell r="BM71">
            <v>865225</v>
          </cell>
          <cell r="BN71">
            <v>1377286</v>
          </cell>
          <cell r="BO71">
            <v>0</v>
          </cell>
          <cell r="BP71">
            <v>0</v>
          </cell>
          <cell r="BQ71">
            <v>0</v>
          </cell>
          <cell r="BR71">
            <v>303023</v>
          </cell>
          <cell r="BS71">
            <v>0</v>
          </cell>
          <cell r="BT71">
            <v>0</v>
          </cell>
          <cell r="BU71">
            <v>0</v>
          </cell>
          <cell r="BV71">
            <v>382753</v>
          </cell>
          <cell r="BW71">
            <v>0</v>
          </cell>
          <cell r="BX71">
            <v>0</v>
          </cell>
          <cell r="BY71">
            <v>252</v>
          </cell>
          <cell r="BZ71">
            <v>0</v>
          </cell>
          <cell r="CA71">
            <v>7860</v>
          </cell>
          <cell r="CB71">
            <v>0</v>
          </cell>
          <cell r="CC71">
            <v>577</v>
          </cell>
          <cell r="CD71">
            <v>-541424</v>
          </cell>
        </row>
        <row r="82">
          <cell r="C82" t="str">
            <v>12/31/2018</v>
          </cell>
        </row>
        <row r="83">
          <cell r="C83" t="str">
            <v>137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0" transitionEvaluation="1" transitionEntry="1" codeName="Sheet1">
    <pageSetUpPr autoPageBreaks="0" fitToPage="1"/>
  </sheetPr>
  <dimension ref="A1:CF817"/>
  <sheetViews>
    <sheetView showGridLines="0" tabSelected="1" topLeftCell="A70" zoomScale="75" zoomScaleNormal="75" workbookViewId="0">
      <selection activeCell="B47" sqref="B4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29" t="s">
        <v>1231</v>
      </c>
      <c r="B1" s="230"/>
      <c r="C1" s="230"/>
      <c r="D1" s="230"/>
      <c r="E1" s="230"/>
      <c r="F1" s="230"/>
    </row>
    <row r="2" spans="1:6" ht="12.75" customHeight="1" x14ac:dyDescent="0.35">
      <c r="A2" s="230" t="s">
        <v>1232</v>
      </c>
      <c r="B2" s="230"/>
      <c r="C2" s="231"/>
      <c r="D2" s="230"/>
      <c r="E2" s="230"/>
      <c r="F2" s="230"/>
    </row>
    <row r="3" spans="1:6" ht="12.75" customHeight="1" x14ac:dyDescent="0.35">
      <c r="A3" s="199"/>
      <c r="C3" s="232"/>
    </row>
    <row r="4" spans="1:6" ht="12.75" customHeight="1" x14ac:dyDescent="0.35">
      <c r="C4" s="232"/>
    </row>
    <row r="5" spans="1:6" ht="12.75" customHeight="1" x14ac:dyDescent="0.35">
      <c r="A5" s="199" t="s">
        <v>1257</v>
      </c>
      <c r="C5" s="232"/>
    </row>
    <row r="6" spans="1:6" ht="12.75" customHeight="1" x14ac:dyDescent="0.35">
      <c r="A6" s="199" t="s">
        <v>0</v>
      </c>
      <c r="C6" s="232"/>
    </row>
    <row r="7" spans="1:6" ht="12.75" customHeight="1" x14ac:dyDescent="0.35">
      <c r="A7" s="199" t="s">
        <v>1</v>
      </c>
      <c r="C7" s="232"/>
    </row>
    <row r="8" spans="1:6" ht="12.75" customHeight="1" x14ac:dyDescent="0.35">
      <c r="C8" s="232"/>
    </row>
    <row r="9" spans="1:6" ht="12.75" customHeight="1" x14ac:dyDescent="0.35">
      <c r="C9" s="232"/>
    </row>
    <row r="10" spans="1:6" ht="12.75" customHeight="1" x14ac:dyDescent="0.35">
      <c r="A10" s="198" t="s">
        <v>1228</v>
      </c>
      <c r="C10" s="232"/>
    </row>
    <row r="11" spans="1:6" ht="12.75" customHeight="1" x14ac:dyDescent="0.35">
      <c r="A11" s="198" t="s">
        <v>1230</v>
      </c>
      <c r="C11" s="232"/>
    </row>
    <row r="12" spans="1:6" ht="12.75" customHeight="1" x14ac:dyDescent="0.35">
      <c r="C12" s="232"/>
    </row>
    <row r="13" spans="1:6" ht="12.75" customHeight="1" x14ac:dyDescent="0.35">
      <c r="C13" s="232"/>
    </row>
    <row r="14" spans="1:6" ht="12.75" customHeight="1" x14ac:dyDescent="0.35">
      <c r="A14" s="199" t="s">
        <v>2</v>
      </c>
      <c r="C14" s="232"/>
    </row>
    <row r="15" spans="1:6" ht="12.75" customHeight="1" x14ac:dyDescent="0.35">
      <c r="A15" s="288"/>
      <c r="C15" s="232"/>
    </row>
    <row r="16" spans="1:6" ht="12.75" customHeight="1" x14ac:dyDescent="0.35">
      <c r="A16" s="289" t="s">
        <v>1266</v>
      </c>
      <c r="C16" s="232"/>
      <c r="F16" s="282"/>
    </row>
    <row r="17" spans="1:6" ht="12.75" customHeight="1" x14ac:dyDescent="0.35">
      <c r="A17" s="289" t="s">
        <v>1264</v>
      </c>
      <c r="C17" s="282"/>
    </row>
    <row r="18" spans="1:6" ht="12.75" customHeight="1" x14ac:dyDescent="0.35">
      <c r="A18" s="226"/>
      <c r="C18" s="232"/>
    </row>
    <row r="19" spans="1:6" ht="12.75" customHeight="1" x14ac:dyDescent="0.35">
      <c r="C19" s="232"/>
    </row>
    <row r="20" spans="1:6" ht="12.75" customHeight="1" x14ac:dyDescent="0.35">
      <c r="A20" s="268" t="s">
        <v>1233</v>
      </c>
      <c r="B20" s="268"/>
      <c r="C20" s="283"/>
      <c r="D20" s="268"/>
      <c r="E20" s="268"/>
      <c r="F20" s="268"/>
    </row>
    <row r="21" spans="1:6" ht="22.5" customHeight="1" x14ac:dyDescent="0.35">
      <c r="A21" s="199"/>
      <c r="C21" s="232"/>
    </row>
    <row r="22" spans="1:6" ht="12.65" customHeight="1" x14ac:dyDescent="0.35">
      <c r="A22" s="234" t="s">
        <v>1253</v>
      </c>
      <c r="B22" s="235"/>
      <c r="C22" s="236"/>
      <c r="D22" s="234"/>
      <c r="E22" s="234"/>
    </row>
    <row r="23" spans="1:6" ht="12.65" customHeight="1" x14ac:dyDescent="0.35">
      <c r="B23" s="199"/>
      <c r="C23" s="232"/>
    </row>
    <row r="24" spans="1:6" ht="12.65" customHeight="1" x14ac:dyDescent="0.35">
      <c r="A24" s="237" t="s">
        <v>3</v>
      </c>
      <c r="C24" s="232"/>
    </row>
    <row r="25" spans="1:6" ht="12.65" customHeight="1" x14ac:dyDescent="0.35">
      <c r="A25" s="198" t="s">
        <v>1234</v>
      </c>
      <c r="C25" s="232"/>
    </row>
    <row r="26" spans="1:6" ht="12.65" customHeight="1" x14ac:dyDescent="0.35">
      <c r="A26" s="199" t="s">
        <v>4</v>
      </c>
      <c r="C26" s="232"/>
    </row>
    <row r="27" spans="1:6" ht="12.65" customHeight="1" x14ac:dyDescent="0.35">
      <c r="A27" s="198" t="s">
        <v>1235</v>
      </c>
      <c r="C27" s="232"/>
    </row>
    <row r="28" spans="1:6" ht="12.65" customHeight="1" x14ac:dyDescent="0.35">
      <c r="A28" s="199" t="s">
        <v>5</v>
      </c>
      <c r="C28" s="232"/>
    </row>
    <row r="29" spans="1:6" ht="12.65" customHeight="1" x14ac:dyDescent="0.35">
      <c r="A29" s="198"/>
      <c r="C29" s="232"/>
    </row>
    <row r="30" spans="1:6" ht="12.65" customHeight="1" x14ac:dyDescent="0.35">
      <c r="A30" s="180" t="s">
        <v>6</v>
      </c>
      <c r="C30" s="232"/>
    </row>
    <row r="31" spans="1:6" ht="12.65" customHeight="1" x14ac:dyDescent="0.35">
      <c r="A31" s="199" t="s">
        <v>7</v>
      </c>
      <c r="C31" s="232"/>
    </row>
    <row r="32" spans="1:6" ht="12.65" customHeight="1" x14ac:dyDescent="0.35">
      <c r="A32" s="199" t="s">
        <v>8</v>
      </c>
      <c r="C32" s="232"/>
    </row>
    <row r="33" spans="1:83" ht="12.65" customHeight="1" x14ac:dyDescent="0.35">
      <c r="A33" s="198" t="s">
        <v>1236</v>
      </c>
      <c r="C33" s="232"/>
    </row>
    <row r="34" spans="1:83" ht="12.65" customHeight="1" x14ac:dyDescent="0.35">
      <c r="A34" s="199" t="s">
        <v>9</v>
      </c>
      <c r="C34" s="232"/>
    </row>
    <row r="35" spans="1:83" ht="12.65" customHeight="1" x14ac:dyDescent="0.35">
      <c r="A35" s="199"/>
      <c r="C35" s="232"/>
    </row>
    <row r="36" spans="1:83" ht="12.65" customHeight="1" x14ac:dyDescent="0.35">
      <c r="A36" s="198" t="s">
        <v>1237</v>
      </c>
      <c r="C36" s="232"/>
    </row>
    <row r="37" spans="1:83" ht="12.65" customHeight="1" x14ac:dyDescent="0.35">
      <c r="A37" s="199" t="s">
        <v>1229</v>
      </c>
      <c r="C37" s="232"/>
    </row>
    <row r="38" spans="1:83" ht="12" customHeight="1" x14ac:dyDescent="0.35">
      <c r="A38" s="198"/>
      <c r="C38" s="232"/>
    </row>
    <row r="39" spans="1:83" ht="12.65" customHeight="1" x14ac:dyDescent="0.35">
      <c r="A39" s="199"/>
      <c r="C39" s="232"/>
    </row>
    <row r="40" spans="1:83" ht="12" customHeight="1" x14ac:dyDescent="0.35">
      <c r="A40" s="199"/>
      <c r="C40" s="232"/>
    </row>
    <row r="41" spans="1:83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35">
      <c r="A43" s="199"/>
      <c r="C43" s="232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>
        <v>430301</v>
      </c>
      <c r="F47" s="184"/>
      <c r="G47" s="184"/>
      <c r="H47" s="184"/>
      <c r="I47" s="184"/>
      <c r="J47" s="184"/>
      <c r="K47" s="184"/>
      <c r="L47" s="184">
        <v>313117</v>
      </c>
      <c r="M47" s="184"/>
      <c r="N47" s="184"/>
      <c r="O47" s="184"/>
      <c r="P47" s="184">
        <v>54590</v>
      </c>
      <c r="Q47" s="184">
        <v>50617</v>
      </c>
      <c r="R47" s="184">
        <f>43520+18075.79+432.22+148.28+3526.26+32330.31+8748.72</f>
        <v>106781.58</v>
      </c>
      <c r="S47" s="184">
        <v>33539</v>
      </c>
      <c r="T47" s="184"/>
      <c r="U47" s="184">
        <v>128703</v>
      </c>
      <c r="V47" s="184"/>
      <c r="W47" s="184"/>
      <c r="X47" s="184"/>
      <c r="Y47" s="184">
        <v>134699</v>
      </c>
      <c r="Z47" s="184"/>
      <c r="AA47" s="184"/>
      <c r="AB47" s="184">
        <v>44004</v>
      </c>
      <c r="AC47" s="184">
        <v>30902</v>
      </c>
      <c r="AD47" s="184"/>
      <c r="AE47" s="184">
        <v>122052</v>
      </c>
      <c r="AF47" s="184"/>
      <c r="AG47" s="184">
        <v>113461</v>
      </c>
      <c r="AH47" s="184">
        <v>22186</v>
      </c>
      <c r="AI47" s="184"/>
      <c r="AJ47" s="184">
        <v>736704</v>
      </c>
      <c r="AK47" s="184">
        <v>15514</v>
      </c>
      <c r="AL47" s="184">
        <v>13362</v>
      </c>
      <c r="AM47" s="184">
        <v>12846</v>
      </c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116176</v>
      </c>
      <c r="AZ47" s="184"/>
      <c r="BA47" s="184">
        <v>22657</v>
      </c>
      <c r="BB47" s="184">
        <v>18394</v>
      </c>
      <c r="BC47" s="184"/>
      <c r="BD47" s="184"/>
      <c r="BE47" s="184">
        <v>71847</v>
      </c>
      <c r="BF47" s="184">
        <v>81617</v>
      </c>
      <c r="BG47" s="184"/>
      <c r="BH47" s="184"/>
      <c r="BI47" s="184">
        <v>40115</v>
      </c>
      <c r="BJ47" s="184">
        <v>71251</v>
      </c>
      <c r="BK47" s="184">
        <f>72254+43463.3</f>
        <v>115717.3</v>
      </c>
      <c r="BL47" s="184">
        <v>153055.93</v>
      </c>
      <c r="BM47" s="184"/>
      <c r="BN47" s="184">
        <v>267430</v>
      </c>
      <c r="BO47" s="184"/>
      <c r="BP47" s="184"/>
      <c r="BQ47" s="184"/>
      <c r="BR47" s="184">
        <v>42611</v>
      </c>
      <c r="BS47" s="184"/>
      <c r="BT47" s="184"/>
      <c r="BU47" s="184"/>
      <c r="BV47" s="184">
        <v>53718</v>
      </c>
      <c r="BW47" s="184"/>
      <c r="BX47" s="184"/>
      <c r="BY47" s="184"/>
      <c r="BZ47" s="184"/>
      <c r="CA47" s="184"/>
      <c r="CB47" s="184"/>
      <c r="CC47" s="184">
        <v>10761</v>
      </c>
      <c r="CD47" s="195"/>
      <c r="CE47" s="195">
        <f>SUM(C47:CC47)</f>
        <v>3428728.81</v>
      </c>
    </row>
    <row r="48" spans="1:83" ht="12.65" customHeight="1" x14ac:dyDescent="0.35">
      <c r="A48" s="175" t="s">
        <v>205</v>
      </c>
      <c r="B48" s="183">
        <v>313902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34043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24305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4448</v>
      </c>
      <c r="Q48" s="195">
        <f>ROUND(((B48/CE61)*Q61),0)</f>
        <v>5381</v>
      </c>
      <c r="R48" s="195">
        <f>ROUND(((B48/CE61)*R61),0)</f>
        <v>16076</v>
      </c>
      <c r="S48" s="195">
        <f>ROUND(((B48/CE61)*S61),0)</f>
        <v>2245</v>
      </c>
      <c r="T48" s="195">
        <f>ROUND(((B48/CE61)*T61),0)</f>
        <v>0</v>
      </c>
      <c r="U48" s="195">
        <f>ROUND(((B48/CE61)*U61),0)</f>
        <v>10747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11349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5132</v>
      </c>
      <c r="AC48" s="195">
        <f>ROUND(((B48/CE61)*AC61),0)</f>
        <v>3236</v>
      </c>
      <c r="AD48" s="195">
        <f>ROUND(((B48/CE61)*AD61),0)</f>
        <v>0</v>
      </c>
      <c r="AE48" s="195">
        <f>ROUND(((B48/CE61)*AE61),0)</f>
        <v>11399</v>
      </c>
      <c r="AF48" s="195">
        <f>ROUND(((B48/CE61)*AF61),0)</f>
        <v>0</v>
      </c>
      <c r="AG48" s="195">
        <f>ROUND(((B48/CE61)*AG61),0)</f>
        <v>13743</v>
      </c>
      <c r="AH48" s="195">
        <f>ROUND(((B48/CE61)*AH61),0)</f>
        <v>3257</v>
      </c>
      <c r="AI48" s="195">
        <f>ROUND(((B48/CE61)*AI61),0)</f>
        <v>0</v>
      </c>
      <c r="AJ48" s="195">
        <f>ROUND(((B48/CE61)*AJ61),0)</f>
        <v>92390</v>
      </c>
      <c r="AK48" s="195">
        <f>ROUND(((B48/CE61)*AK61),0)</f>
        <v>1973</v>
      </c>
      <c r="AL48" s="195">
        <f>ROUND(((B48/CE61)*AL61),0)</f>
        <v>1228</v>
      </c>
      <c r="AM48" s="195">
        <f>ROUND(((B48/CE61)*AM61),0)</f>
        <v>884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7806</v>
      </c>
      <c r="AZ48" s="195">
        <f>ROUND(((B48/CE61)*AZ61),0)</f>
        <v>0</v>
      </c>
      <c r="BA48" s="195">
        <f>ROUND(((B48/CE61)*BA61),0)</f>
        <v>1523</v>
      </c>
      <c r="BB48" s="195">
        <f>ROUND(((B48/CE61)*BB61),0)</f>
        <v>1709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4971</v>
      </c>
      <c r="BF48" s="195">
        <f>ROUND(((B48/CE61)*BF61),0)</f>
        <v>5453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3257</v>
      </c>
      <c r="BJ48" s="195">
        <f>ROUND(((B48/CE61)*BJ61),0)</f>
        <v>5536</v>
      </c>
      <c r="BK48" s="195">
        <f>ROUND(((B48/CE61)*BK61),0)</f>
        <v>8544</v>
      </c>
      <c r="BL48" s="195">
        <f>ROUND(((B48/CE61)*BL61),0)</f>
        <v>10550</v>
      </c>
      <c r="BM48" s="195">
        <f>ROUND(((B48/CE61)*BM61),0)</f>
        <v>0</v>
      </c>
      <c r="BN48" s="195">
        <f>ROUND(((B48/CE61)*BN61),0)</f>
        <v>15508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3158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4052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313903</v>
      </c>
    </row>
    <row r="49" spans="1:84" ht="12.65" customHeight="1" x14ac:dyDescent="0.35">
      <c r="A49" s="175" t="s">
        <v>206</v>
      </c>
      <c r="B49" s="195">
        <f>B47+B48</f>
        <v>313902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>
        <v>37916</v>
      </c>
      <c r="F51" s="184"/>
      <c r="G51" s="184"/>
      <c r="H51" s="184"/>
      <c r="I51" s="184"/>
      <c r="J51" s="184"/>
      <c r="K51" s="184"/>
      <c r="L51" s="184">
        <v>19072</v>
      </c>
      <c r="M51" s="184"/>
      <c r="N51" s="184"/>
      <c r="O51" s="184"/>
      <c r="P51" s="184">
        <v>62047</v>
      </c>
      <c r="Q51" s="184"/>
      <c r="R51" s="184">
        <v>11063</v>
      </c>
      <c r="S51" s="184"/>
      <c r="T51" s="184"/>
      <c r="U51" s="184">
        <v>24687</v>
      </c>
      <c r="V51" s="184"/>
      <c r="W51" s="184"/>
      <c r="X51" s="184">
        <v>710</v>
      </c>
      <c r="Y51" s="184">
        <v>114163</v>
      </c>
      <c r="Z51" s="184"/>
      <c r="AA51" s="184"/>
      <c r="AB51" s="184">
        <v>0</v>
      </c>
      <c r="AC51" s="184">
        <v>0</v>
      </c>
      <c r="AD51" s="184"/>
      <c r="AE51" s="184">
        <v>1276</v>
      </c>
      <c r="AF51" s="184"/>
      <c r="AG51" s="184">
        <v>4823</v>
      </c>
      <c r="AH51" s="184">
        <v>8580</v>
      </c>
      <c r="AI51" s="184"/>
      <c r="AJ51" s="184">
        <v>16608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723</v>
      </c>
      <c r="AZ51" s="184"/>
      <c r="BA51" s="184">
        <v>819</v>
      </c>
      <c r="BB51" s="184">
        <v>0</v>
      </c>
      <c r="BC51" s="184"/>
      <c r="BD51" s="184"/>
      <c r="BE51" s="184">
        <v>14645</v>
      </c>
      <c r="BF51" s="184">
        <v>0</v>
      </c>
      <c r="BG51" s="184"/>
      <c r="BH51" s="184"/>
      <c r="BI51" s="184">
        <v>12833</v>
      </c>
      <c r="BJ51" s="184">
        <v>0</v>
      </c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329965</v>
      </c>
    </row>
    <row r="52" spans="1:84" ht="12.65" customHeight="1" x14ac:dyDescent="0.35">
      <c r="A52" s="171" t="s">
        <v>208</v>
      </c>
      <c r="B52" s="184">
        <f>128426+112</f>
        <v>128538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15039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19232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4394</v>
      </c>
      <c r="Q52" s="195">
        <f>ROUND((B52/(CE76+CF76)*Q76),0)</f>
        <v>0</v>
      </c>
      <c r="R52" s="195">
        <f>ROUND((B52/(CE76+CF76)*R76),0)</f>
        <v>705</v>
      </c>
      <c r="S52" s="195">
        <f>ROUND((B52/(CE76+CF76)*S76),0)</f>
        <v>2098</v>
      </c>
      <c r="T52" s="195">
        <f>ROUND((B52/(CE76+CF76)*T76),0)</f>
        <v>0</v>
      </c>
      <c r="U52" s="195">
        <f>ROUND((B52/(CE76+CF76)*U76),0)</f>
        <v>1650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4914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1190</v>
      </c>
      <c r="AC52" s="195">
        <f>ROUND((B52/(CE76+CF76)*AC76),0)</f>
        <v>125</v>
      </c>
      <c r="AD52" s="195">
        <f>ROUND((B52/(CE76+CF76)*AD76),0)</f>
        <v>0</v>
      </c>
      <c r="AE52" s="195">
        <f>ROUND((B52/(CE76+CF76)*AE76),0)</f>
        <v>4588</v>
      </c>
      <c r="AF52" s="195">
        <f>ROUND((B52/(CE76+CF76)*AF76),0)</f>
        <v>0</v>
      </c>
      <c r="AG52" s="195">
        <f>ROUND((B52/(CE76+CF76)*AG76),0)</f>
        <v>1820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20335</v>
      </c>
      <c r="AK52" s="195">
        <f>ROUND((B52/(CE76+CF76)*AK76),0)</f>
        <v>1337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11556</v>
      </c>
      <c r="AZ52" s="195">
        <f>ROUND((B52/(CE76+CF76)*AZ76),0)</f>
        <v>0</v>
      </c>
      <c r="BA52" s="195">
        <f>ROUND((B52/(CE76+CF76)*BA76),0)</f>
        <v>2687</v>
      </c>
      <c r="BB52" s="195">
        <f>ROUND((B52/(CE76+CF76)*BB76),0)</f>
        <v>401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9273</v>
      </c>
      <c r="BF52" s="195">
        <f>ROUND((B52/(CE76+CF76)*BF76),0)</f>
        <v>3292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22013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1146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225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517</v>
      </c>
      <c r="CD52" s="195"/>
      <c r="CE52" s="195">
        <f>SUM(C52:CD52)</f>
        <v>128537</v>
      </c>
    </row>
    <row r="53" spans="1:84" ht="12.65" customHeight="1" x14ac:dyDescent="0.35">
      <c r="A53" s="175" t="s">
        <v>206</v>
      </c>
      <c r="B53" s="195">
        <f>B51+B52</f>
        <v>128538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1110</v>
      </c>
      <c r="F59" s="184"/>
      <c r="G59" s="184"/>
      <c r="H59" s="184"/>
      <c r="I59" s="184"/>
      <c r="J59" s="184"/>
      <c r="K59" s="184"/>
      <c r="L59" s="184">
        <v>4421</v>
      </c>
      <c r="M59" s="184"/>
      <c r="N59" s="184"/>
      <c r="O59" s="184"/>
      <c r="P59" s="185"/>
      <c r="Q59" s="185"/>
      <c r="R59" s="185"/>
      <c r="S59" s="245"/>
      <c r="T59" s="245"/>
      <c r="U59" s="224"/>
      <c r="V59" s="185"/>
      <c r="W59" s="185"/>
      <c r="X59" s="185"/>
      <c r="Y59" s="185"/>
      <c r="Z59" s="185"/>
      <c r="AA59" s="185"/>
      <c r="AB59" s="24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/>
      <c r="AZ59" s="185"/>
      <c r="BA59" s="245"/>
      <c r="BB59" s="245"/>
      <c r="BC59" s="245"/>
      <c r="BD59" s="245"/>
      <c r="BE59" s="185">
        <v>41043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5" customHeight="1" x14ac:dyDescent="0.35">
      <c r="A60" s="247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46" t="s">
        <v>221</v>
      </c>
      <c r="CE60" s="248">
        <f t="shared" ref="CE60:CE70" si="0">SUM(C60:CD60)</f>
        <v>0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f>1998872-399654</f>
        <v>1599218</v>
      </c>
      <c r="F61" s="185"/>
      <c r="G61" s="184"/>
      <c r="H61" s="184"/>
      <c r="I61" s="185"/>
      <c r="J61" s="185"/>
      <c r="K61" s="185"/>
      <c r="L61" s="185">
        <v>1141742</v>
      </c>
      <c r="M61" s="184"/>
      <c r="N61" s="184"/>
      <c r="O61" s="184"/>
      <c r="P61" s="185">
        <v>208929</v>
      </c>
      <c r="Q61" s="185">
        <v>252757</v>
      </c>
      <c r="R61" s="185">
        <f>412903+342298.23</f>
        <v>755201.23</v>
      </c>
      <c r="S61" s="185">
        <v>105471</v>
      </c>
      <c r="T61" s="185"/>
      <c r="U61" s="185">
        <v>504845</v>
      </c>
      <c r="V61" s="185"/>
      <c r="W61" s="185"/>
      <c r="X61" s="185"/>
      <c r="Y61" s="185">
        <v>533113</v>
      </c>
      <c r="Z61" s="185"/>
      <c r="AA61" s="185"/>
      <c r="AB61" s="185">
        <v>241080</v>
      </c>
      <c r="AC61" s="185">
        <v>151991</v>
      </c>
      <c r="AD61" s="185"/>
      <c r="AE61" s="185">
        <v>535464</v>
      </c>
      <c r="AF61" s="185"/>
      <c r="AG61" s="185">
        <f>1045256-399655</f>
        <v>645601</v>
      </c>
      <c r="AH61" s="185">
        <v>152983</v>
      </c>
      <c r="AI61" s="185"/>
      <c r="AJ61" s="185">
        <v>4340126</v>
      </c>
      <c r="AK61" s="185">
        <v>92673</v>
      </c>
      <c r="AL61" s="185">
        <v>57688</v>
      </c>
      <c r="AM61" s="185">
        <v>41535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366707</v>
      </c>
      <c r="AZ61" s="185"/>
      <c r="BA61" s="185">
        <v>71563</v>
      </c>
      <c r="BB61" s="185">
        <v>80275</v>
      </c>
      <c r="BC61" s="185"/>
      <c r="BD61" s="185"/>
      <c r="BE61" s="185">
        <v>233505</v>
      </c>
      <c r="BF61" s="185">
        <v>256149</v>
      </c>
      <c r="BG61" s="185"/>
      <c r="BH61" s="185"/>
      <c r="BI61" s="185">
        <v>153001</v>
      </c>
      <c r="BJ61" s="185">
        <v>260037</v>
      </c>
      <c r="BK61" s="185">
        <f>234875+166502.32</f>
        <v>401377.32</v>
      </c>
      <c r="BL61" s="185">
        <v>495599.88</v>
      </c>
      <c r="BM61" s="185"/>
      <c r="BN61" s="185">
        <v>728506</v>
      </c>
      <c r="BO61" s="185"/>
      <c r="BP61" s="185"/>
      <c r="BQ61" s="185"/>
      <c r="BR61" s="185">
        <v>148355</v>
      </c>
      <c r="BS61" s="185"/>
      <c r="BT61" s="185"/>
      <c r="BU61" s="185"/>
      <c r="BV61" s="185">
        <v>190346</v>
      </c>
      <c r="BW61" s="185"/>
      <c r="BX61" s="185"/>
      <c r="BY61" s="185"/>
      <c r="BZ61" s="185"/>
      <c r="CA61" s="185"/>
      <c r="CB61" s="185"/>
      <c r="CC61" s="185"/>
      <c r="CD61" s="246" t="s">
        <v>221</v>
      </c>
      <c r="CE61" s="195">
        <f t="shared" si="0"/>
        <v>14745838.430000002</v>
      </c>
      <c r="CF61" s="249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464344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337422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59038</v>
      </c>
      <c r="Q62" s="195">
        <f t="shared" si="1"/>
        <v>55998</v>
      </c>
      <c r="R62" s="195">
        <f t="shared" si="1"/>
        <v>122858</v>
      </c>
      <c r="S62" s="195">
        <f t="shared" si="1"/>
        <v>35784</v>
      </c>
      <c r="T62" s="195">
        <f t="shared" si="1"/>
        <v>0</v>
      </c>
      <c r="U62" s="195">
        <f t="shared" si="1"/>
        <v>139450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146048</v>
      </c>
      <c r="Z62" s="195">
        <f t="shared" si="1"/>
        <v>0</v>
      </c>
      <c r="AA62" s="195">
        <f t="shared" si="1"/>
        <v>0</v>
      </c>
      <c r="AB62" s="195">
        <f t="shared" si="1"/>
        <v>49136</v>
      </c>
      <c r="AC62" s="195">
        <f t="shared" si="1"/>
        <v>34138</v>
      </c>
      <c r="AD62" s="195">
        <f t="shared" si="1"/>
        <v>0</v>
      </c>
      <c r="AE62" s="195">
        <f t="shared" si="1"/>
        <v>133451</v>
      </c>
      <c r="AF62" s="195">
        <f t="shared" si="1"/>
        <v>0</v>
      </c>
      <c r="AG62" s="195">
        <f t="shared" si="1"/>
        <v>127204</v>
      </c>
      <c r="AH62" s="195">
        <f t="shared" si="1"/>
        <v>25443</v>
      </c>
      <c r="AI62" s="195">
        <f t="shared" si="1"/>
        <v>0</v>
      </c>
      <c r="AJ62" s="195">
        <f t="shared" si="1"/>
        <v>829094</v>
      </c>
      <c r="AK62" s="195">
        <f t="shared" si="1"/>
        <v>17487</v>
      </c>
      <c r="AL62" s="195">
        <f t="shared" si="1"/>
        <v>14590</v>
      </c>
      <c r="AM62" s="195">
        <f t="shared" si="1"/>
        <v>13730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123982</v>
      </c>
      <c r="AZ62" s="195">
        <f>ROUND(AZ47+AZ48,0)</f>
        <v>0</v>
      </c>
      <c r="BA62" s="195">
        <f>ROUND(BA47+BA48,0)</f>
        <v>24180</v>
      </c>
      <c r="BB62" s="195">
        <f t="shared" si="1"/>
        <v>20103</v>
      </c>
      <c r="BC62" s="195">
        <f t="shared" si="1"/>
        <v>0</v>
      </c>
      <c r="BD62" s="195">
        <f t="shared" si="1"/>
        <v>0</v>
      </c>
      <c r="BE62" s="195">
        <f t="shared" si="1"/>
        <v>76818</v>
      </c>
      <c r="BF62" s="195">
        <f t="shared" si="1"/>
        <v>87070</v>
      </c>
      <c r="BG62" s="195">
        <f t="shared" si="1"/>
        <v>0</v>
      </c>
      <c r="BH62" s="195">
        <f t="shared" si="1"/>
        <v>0</v>
      </c>
      <c r="BI62" s="195">
        <f t="shared" si="1"/>
        <v>43372</v>
      </c>
      <c r="BJ62" s="195">
        <f t="shared" si="1"/>
        <v>76787</v>
      </c>
      <c r="BK62" s="195">
        <f t="shared" si="1"/>
        <v>124261</v>
      </c>
      <c r="BL62" s="195">
        <f t="shared" si="1"/>
        <v>163606</v>
      </c>
      <c r="BM62" s="195">
        <f t="shared" si="1"/>
        <v>0</v>
      </c>
      <c r="BN62" s="195">
        <f t="shared" si="1"/>
        <v>282938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45769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57770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10761</v>
      </c>
      <c r="CD62" s="246" t="s">
        <v>221</v>
      </c>
      <c r="CE62" s="195">
        <f t="shared" si="0"/>
        <v>3742632</v>
      </c>
      <c r="CF62" s="249"/>
    </row>
    <row r="63" spans="1:84" ht="12.65" customHeight="1" x14ac:dyDescent="0.35">
      <c r="A63" s="171" t="s">
        <v>236</v>
      </c>
      <c r="B63" s="175"/>
      <c r="C63" s="184"/>
      <c r="D63" s="184"/>
      <c r="E63" s="184">
        <v>10379</v>
      </c>
      <c r="F63" s="185"/>
      <c r="G63" s="184"/>
      <c r="H63" s="184"/>
      <c r="I63" s="185"/>
      <c r="J63" s="185"/>
      <c r="K63" s="185"/>
      <c r="L63" s="185">
        <v>9298</v>
      </c>
      <c r="M63" s="184"/>
      <c r="N63" s="184"/>
      <c r="O63" s="184"/>
      <c r="P63" s="185">
        <v>946</v>
      </c>
      <c r="Q63" s="185"/>
      <c r="R63" s="185"/>
      <c r="S63" s="185"/>
      <c r="T63" s="185"/>
      <c r="U63" s="185">
        <v>213088</v>
      </c>
      <c r="V63" s="185">
        <f>249852+64.8</f>
        <v>249916.79999999999</v>
      </c>
      <c r="W63" s="185"/>
      <c r="X63" s="185">
        <v>31053</v>
      </c>
      <c r="Y63" s="185">
        <v>120696</v>
      </c>
      <c r="Z63" s="185"/>
      <c r="AA63" s="185"/>
      <c r="AB63" s="185">
        <v>81333</v>
      </c>
      <c r="AC63" s="185"/>
      <c r="AD63" s="185"/>
      <c r="AE63" s="185">
        <v>0</v>
      </c>
      <c r="AF63" s="185"/>
      <c r="AG63" s="185">
        <v>0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>
        <v>0</v>
      </c>
      <c r="BJ63" s="185">
        <v>58117</v>
      </c>
      <c r="BK63" s="185">
        <v>4651</v>
      </c>
      <c r="BL63" s="185">
        <v>0</v>
      </c>
      <c r="BM63" s="185"/>
      <c r="BN63" s="185">
        <v>8548</v>
      </c>
      <c r="BO63" s="185"/>
      <c r="BP63" s="185"/>
      <c r="BQ63" s="185"/>
      <c r="BR63" s="185">
        <v>15431</v>
      </c>
      <c r="BS63" s="185"/>
      <c r="BT63" s="185"/>
      <c r="BU63" s="185"/>
      <c r="BV63" s="185">
        <v>65109</v>
      </c>
      <c r="BW63" s="185"/>
      <c r="BX63" s="185"/>
      <c r="BY63" s="185"/>
      <c r="BZ63" s="185"/>
      <c r="CA63" s="185"/>
      <c r="CB63" s="185"/>
      <c r="CC63" s="185">
        <v>127815</v>
      </c>
      <c r="CD63" s="246" t="s">
        <v>221</v>
      </c>
      <c r="CE63" s="195">
        <f t="shared" si="0"/>
        <v>996380.8</v>
      </c>
      <c r="CF63" s="249"/>
    </row>
    <row r="64" spans="1:84" ht="12.65" customHeight="1" x14ac:dyDescent="0.35">
      <c r="A64" s="171" t="s">
        <v>237</v>
      </c>
      <c r="B64" s="175"/>
      <c r="C64" s="184"/>
      <c r="D64" s="184"/>
      <c r="E64" s="185">
        <v>105914</v>
      </c>
      <c r="F64" s="185"/>
      <c r="G64" s="184"/>
      <c r="H64" s="184"/>
      <c r="I64" s="185"/>
      <c r="J64" s="185"/>
      <c r="K64" s="185"/>
      <c r="L64" s="185">
        <v>75797</v>
      </c>
      <c r="M64" s="184"/>
      <c r="N64" s="184"/>
      <c r="O64" s="184"/>
      <c r="P64" s="185">
        <v>361340</v>
      </c>
      <c r="Q64" s="185">
        <v>9465</v>
      </c>
      <c r="R64" s="185">
        <f>15027+29329.55+730.19+18084.27</f>
        <v>63171.010000000009</v>
      </c>
      <c r="S64" s="185">
        <v>104428</v>
      </c>
      <c r="T64" s="185"/>
      <c r="U64" s="185">
        <v>364626</v>
      </c>
      <c r="V64" s="185"/>
      <c r="W64" s="185"/>
      <c r="X64" s="185">
        <v>57462</v>
      </c>
      <c r="Y64" s="185">
        <v>20174</v>
      </c>
      <c r="Z64" s="185"/>
      <c r="AA64" s="185"/>
      <c r="AB64" s="185">
        <f>924843-422853</f>
        <v>501990</v>
      </c>
      <c r="AC64" s="185">
        <v>26917</v>
      </c>
      <c r="AD64" s="185"/>
      <c r="AE64" s="185">
        <v>10768</v>
      </c>
      <c r="AF64" s="185"/>
      <c r="AG64" s="185">
        <v>43045</v>
      </c>
      <c r="AH64" s="185">
        <v>23148</v>
      </c>
      <c r="AI64" s="185"/>
      <c r="AJ64" s="185">
        <v>280967</v>
      </c>
      <c r="AK64" s="185">
        <v>1836</v>
      </c>
      <c r="AL64" s="185">
        <v>327</v>
      </c>
      <c r="AM64" s="185">
        <v>91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182119</v>
      </c>
      <c r="AZ64" s="185"/>
      <c r="BA64" s="185">
        <v>725</v>
      </c>
      <c r="BB64" s="185">
        <v>24</v>
      </c>
      <c r="BC64" s="185"/>
      <c r="BD64" s="185"/>
      <c r="BE64" s="185">
        <v>52569</v>
      </c>
      <c r="BF64" s="185">
        <v>43593</v>
      </c>
      <c r="BG64" s="185"/>
      <c r="BH64" s="185"/>
      <c r="BI64" s="185">
        <v>102904</v>
      </c>
      <c r="BJ64" s="185">
        <v>2958</v>
      </c>
      <c r="BK64" s="185">
        <f>2574+37.12</f>
        <v>2611.12</v>
      </c>
      <c r="BL64" s="185">
        <v>16343.68</v>
      </c>
      <c r="BM64" s="185"/>
      <c r="BN64" s="185">
        <v>6394</v>
      </c>
      <c r="BO64" s="185"/>
      <c r="BP64" s="185"/>
      <c r="BQ64" s="185"/>
      <c r="BR64" s="185">
        <v>3482</v>
      </c>
      <c r="BS64" s="185"/>
      <c r="BT64" s="185"/>
      <c r="BU64" s="185"/>
      <c r="BV64" s="185">
        <v>5694</v>
      </c>
      <c r="BW64" s="185"/>
      <c r="BX64" s="185"/>
      <c r="BY64" s="185"/>
      <c r="BZ64" s="185"/>
      <c r="CA64" s="185">
        <v>639</v>
      </c>
      <c r="CB64" s="185"/>
      <c r="CC64" s="185"/>
      <c r="CD64" s="246" t="s">
        <v>221</v>
      </c>
      <c r="CE64" s="195">
        <f t="shared" si="0"/>
        <v>2471521.81</v>
      </c>
      <c r="CF64" s="249"/>
    </row>
    <row r="65" spans="1:84" ht="12.65" customHeight="1" x14ac:dyDescent="0.35">
      <c r="A65" s="171" t="s">
        <v>238</v>
      </c>
      <c r="B65" s="175"/>
      <c r="C65" s="184"/>
      <c r="D65" s="184"/>
      <c r="E65" s="184">
        <v>2392</v>
      </c>
      <c r="F65" s="184"/>
      <c r="G65" s="184"/>
      <c r="H65" s="184"/>
      <c r="I65" s="185"/>
      <c r="J65" s="184"/>
      <c r="K65" s="185"/>
      <c r="L65" s="185">
        <v>688</v>
      </c>
      <c r="M65" s="184"/>
      <c r="N65" s="184"/>
      <c r="O65" s="184"/>
      <c r="P65" s="185">
        <v>455</v>
      </c>
      <c r="Q65" s="185">
        <v>34</v>
      </c>
      <c r="R65" s="185">
        <f>1962+98.75</f>
        <v>2060.75</v>
      </c>
      <c r="S65" s="185">
        <v>181</v>
      </c>
      <c r="T65" s="185"/>
      <c r="U65" s="185">
        <v>964</v>
      </c>
      <c r="V65" s="185"/>
      <c r="W65" s="185"/>
      <c r="X65" s="185"/>
      <c r="Y65" s="185">
        <v>677</v>
      </c>
      <c r="Z65" s="185"/>
      <c r="AA65" s="185"/>
      <c r="AB65" s="185">
        <v>176</v>
      </c>
      <c r="AC65" s="185">
        <v>40</v>
      </c>
      <c r="AD65" s="185"/>
      <c r="AE65" s="185">
        <v>9914</v>
      </c>
      <c r="AF65" s="185"/>
      <c r="AG65" s="185">
        <v>5</v>
      </c>
      <c r="AH65" s="185">
        <v>5800</v>
      </c>
      <c r="AI65" s="185"/>
      <c r="AJ65" s="185">
        <v>67041</v>
      </c>
      <c r="AK65" s="185">
        <v>61</v>
      </c>
      <c r="AL65" s="185">
        <v>6</v>
      </c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150</v>
      </c>
      <c r="AZ65" s="185"/>
      <c r="BA65" s="185">
        <v>24</v>
      </c>
      <c r="BB65" s="185">
        <v>130</v>
      </c>
      <c r="BC65" s="185"/>
      <c r="BD65" s="185"/>
      <c r="BE65" s="185">
        <v>259662</v>
      </c>
      <c r="BF65" s="185">
        <v>72</v>
      </c>
      <c r="BG65" s="185"/>
      <c r="BH65" s="185"/>
      <c r="BI65" s="185">
        <v>88211</v>
      </c>
      <c r="BJ65" s="185">
        <v>229</v>
      </c>
      <c r="BK65" s="185">
        <f>3011+74.16</f>
        <v>3085.16</v>
      </c>
      <c r="BL65" s="185">
        <v>376.32</v>
      </c>
      <c r="BM65" s="185"/>
      <c r="BN65" s="185">
        <v>403</v>
      </c>
      <c r="BO65" s="185"/>
      <c r="BP65" s="185"/>
      <c r="BQ65" s="185"/>
      <c r="BR65" s="185">
        <v>478</v>
      </c>
      <c r="BS65" s="185"/>
      <c r="BT65" s="185"/>
      <c r="BU65" s="185"/>
      <c r="BV65" s="185">
        <v>877</v>
      </c>
      <c r="BW65" s="185"/>
      <c r="BX65" s="185"/>
      <c r="BY65" s="185"/>
      <c r="BZ65" s="185"/>
      <c r="CA65" s="185"/>
      <c r="CB65" s="185"/>
      <c r="CC65" s="185">
        <v>-270</v>
      </c>
      <c r="CD65" s="246" t="s">
        <v>221</v>
      </c>
      <c r="CE65" s="195">
        <f t="shared" si="0"/>
        <v>443922.23</v>
      </c>
      <c r="CF65" s="249"/>
    </row>
    <row r="66" spans="1:84" ht="12.65" customHeight="1" x14ac:dyDescent="0.35">
      <c r="A66" s="171" t="s">
        <v>239</v>
      </c>
      <c r="B66" s="175"/>
      <c r="C66" s="184"/>
      <c r="D66" s="184"/>
      <c r="E66" s="184">
        <v>101017</v>
      </c>
      <c r="F66" s="184"/>
      <c r="G66" s="184"/>
      <c r="H66" s="184"/>
      <c r="I66" s="184"/>
      <c r="J66" s="184"/>
      <c r="K66" s="185"/>
      <c r="L66" s="185">
        <v>2675</v>
      </c>
      <c r="M66" s="184"/>
      <c r="N66" s="184"/>
      <c r="O66" s="185"/>
      <c r="P66" s="185">
        <v>44930</v>
      </c>
      <c r="Q66" s="185"/>
      <c r="R66" s="185">
        <f>3726+1134.44</f>
        <v>4860.4400000000005</v>
      </c>
      <c r="S66" s="184">
        <v>11</v>
      </c>
      <c r="T66" s="184"/>
      <c r="U66" s="185">
        <v>34463</v>
      </c>
      <c r="V66" s="185"/>
      <c r="W66" s="185"/>
      <c r="X66" s="185">
        <v>80457</v>
      </c>
      <c r="Y66" s="185">
        <v>52563</v>
      </c>
      <c r="Z66" s="185"/>
      <c r="AA66" s="185"/>
      <c r="AB66" s="185">
        <v>11071</v>
      </c>
      <c r="AC66" s="185">
        <v>1844</v>
      </c>
      <c r="AD66" s="185"/>
      <c r="AE66" s="185">
        <v>26353</v>
      </c>
      <c r="AF66" s="185"/>
      <c r="AG66" s="185">
        <v>4348</v>
      </c>
      <c r="AH66" s="185">
        <v>14236</v>
      </c>
      <c r="AI66" s="185"/>
      <c r="AJ66" s="185">
        <v>83111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3935</v>
      </c>
      <c r="AZ66" s="185"/>
      <c r="BA66" s="185">
        <v>1343</v>
      </c>
      <c r="BB66" s="185"/>
      <c r="BC66" s="185"/>
      <c r="BD66" s="185"/>
      <c r="BE66" s="185">
        <v>71917</v>
      </c>
      <c r="BF66" s="185">
        <v>535</v>
      </c>
      <c r="BG66" s="185"/>
      <c r="BH66" s="185"/>
      <c r="BI66" s="185">
        <f>563157+299</f>
        <v>563456</v>
      </c>
      <c r="BJ66" s="185">
        <v>8282</v>
      </c>
      <c r="BK66" s="185">
        <f>333919+2031.39</f>
        <v>335950.39</v>
      </c>
      <c r="BL66" s="185">
        <v>168.08</v>
      </c>
      <c r="BM66" s="185"/>
      <c r="BN66" s="185">
        <f>31016+824169</f>
        <v>855185</v>
      </c>
      <c r="BO66" s="185"/>
      <c r="BP66" s="185"/>
      <c r="BQ66" s="185"/>
      <c r="BR66" s="185">
        <v>84691</v>
      </c>
      <c r="BS66" s="185"/>
      <c r="BT66" s="185"/>
      <c r="BU66" s="185"/>
      <c r="BV66" s="185">
        <v>38436</v>
      </c>
      <c r="BW66" s="185"/>
      <c r="BX66" s="185"/>
      <c r="BY66" s="185"/>
      <c r="BZ66" s="185"/>
      <c r="CA66" s="185"/>
      <c r="CB66" s="185"/>
      <c r="CC66" s="185"/>
      <c r="CD66" s="246" t="s">
        <v>221</v>
      </c>
      <c r="CE66" s="195">
        <f t="shared" si="0"/>
        <v>2425837.91</v>
      </c>
      <c r="CF66" s="249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52955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38304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66441</v>
      </c>
      <c r="Q67" s="195">
        <f t="shared" si="3"/>
        <v>0</v>
      </c>
      <c r="R67" s="195">
        <f t="shared" si="3"/>
        <v>11768</v>
      </c>
      <c r="S67" s="195">
        <f t="shared" si="3"/>
        <v>2098</v>
      </c>
      <c r="T67" s="195">
        <f t="shared" si="3"/>
        <v>0</v>
      </c>
      <c r="U67" s="195">
        <f t="shared" si="3"/>
        <v>26337</v>
      </c>
      <c r="V67" s="195">
        <f t="shared" si="3"/>
        <v>0</v>
      </c>
      <c r="W67" s="195">
        <f t="shared" si="3"/>
        <v>0</v>
      </c>
      <c r="X67" s="195">
        <f t="shared" si="3"/>
        <v>710</v>
      </c>
      <c r="Y67" s="195">
        <f t="shared" si="3"/>
        <v>119077</v>
      </c>
      <c r="Z67" s="195">
        <f t="shared" si="3"/>
        <v>0</v>
      </c>
      <c r="AA67" s="195">
        <f t="shared" si="3"/>
        <v>0</v>
      </c>
      <c r="AB67" s="195">
        <f t="shared" si="3"/>
        <v>1190</v>
      </c>
      <c r="AC67" s="195">
        <f t="shared" si="3"/>
        <v>125</v>
      </c>
      <c r="AD67" s="195">
        <f t="shared" si="3"/>
        <v>0</v>
      </c>
      <c r="AE67" s="195">
        <f t="shared" si="3"/>
        <v>5864</v>
      </c>
      <c r="AF67" s="195">
        <f t="shared" si="3"/>
        <v>0</v>
      </c>
      <c r="AG67" s="195">
        <f t="shared" si="3"/>
        <v>6643</v>
      </c>
      <c r="AH67" s="195">
        <f t="shared" si="3"/>
        <v>8580</v>
      </c>
      <c r="AI67" s="195">
        <f t="shared" si="3"/>
        <v>0</v>
      </c>
      <c r="AJ67" s="195">
        <f t="shared" si="3"/>
        <v>36943</v>
      </c>
      <c r="AK67" s="195">
        <f t="shared" si="3"/>
        <v>1337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12279</v>
      </c>
      <c r="AZ67" s="195">
        <f>ROUND(AZ51+AZ52,0)</f>
        <v>0</v>
      </c>
      <c r="BA67" s="195">
        <f>ROUND(BA51+BA52,0)</f>
        <v>3506</v>
      </c>
      <c r="BB67" s="195">
        <f t="shared" si="3"/>
        <v>401</v>
      </c>
      <c r="BC67" s="195">
        <f t="shared" si="3"/>
        <v>0</v>
      </c>
      <c r="BD67" s="195">
        <f t="shared" si="3"/>
        <v>0</v>
      </c>
      <c r="BE67" s="195">
        <f t="shared" si="3"/>
        <v>23918</v>
      </c>
      <c r="BF67" s="195">
        <f t="shared" si="3"/>
        <v>3292</v>
      </c>
      <c r="BG67" s="195">
        <f t="shared" si="3"/>
        <v>0</v>
      </c>
      <c r="BH67" s="195">
        <f t="shared" si="3"/>
        <v>0</v>
      </c>
      <c r="BI67" s="195">
        <f t="shared" si="3"/>
        <v>12833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22013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1146</v>
      </c>
      <c r="BW67" s="195">
        <f t="shared" si="4"/>
        <v>0</v>
      </c>
      <c r="BX67" s="195">
        <f t="shared" si="4"/>
        <v>0</v>
      </c>
      <c r="BY67" s="195">
        <f t="shared" si="4"/>
        <v>225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517</v>
      </c>
      <c r="CD67" s="246" t="s">
        <v>221</v>
      </c>
      <c r="CE67" s="195">
        <f t="shared" si="0"/>
        <v>458502</v>
      </c>
      <c r="CF67" s="249"/>
    </row>
    <row r="68" spans="1:84" ht="12.65" customHeight="1" x14ac:dyDescent="0.35">
      <c r="A68" s="171" t="s">
        <v>240</v>
      </c>
      <c r="B68" s="175"/>
      <c r="C68" s="184"/>
      <c r="D68" s="184"/>
      <c r="E68" s="184">
        <v>18417</v>
      </c>
      <c r="F68" s="184"/>
      <c r="G68" s="184"/>
      <c r="H68" s="184"/>
      <c r="I68" s="184"/>
      <c r="J68" s="184"/>
      <c r="K68" s="185"/>
      <c r="L68" s="185">
        <v>10934</v>
      </c>
      <c r="M68" s="184"/>
      <c r="N68" s="184"/>
      <c r="O68" s="184"/>
      <c r="P68" s="185">
        <v>2266</v>
      </c>
      <c r="Q68" s="185"/>
      <c r="R68" s="185">
        <f>7674+3742.2</f>
        <v>11416.2</v>
      </c>
      <c r="S68" s="185"/>
      <c r="T68" s="185"/>
      <c r="U68" s="185">
        <v>3840</v>
      </c>
      <c r="V68" s="185"/>
      <c r="W68" s="185"/>
      <c r="X68" s="185"/>
      <c r="Y68" s="185">
        <v>796</v>
      </c>
      <c r="Z68" s="185"/>
      <c r="AA68" s="185"/>
      <c r="AB68" s="185">
        <v>8423</v>
      </c>
      <c r="AC68" s="185">
        <v>3325</v>
      </c>
      <c r="AD68" s="185"/>
      <c r="AE68" s="185">
        <v>25200</v>
      </c>
      <c r="AF68" s="185"/>
      <c r="AG68" s="185">
        <v>5988</v>
      </c>
      <c r="AH68" s="185">
        <v>0</v>
      </c>
      <c r="AI68" s="185"/>
      <c r="AJ68" s="185">
        <v>157654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>
        <v>65</v>
      </c>
      <c r="BG68" s="185"/>
      <c r="BH68" s="185"/>
      <c r="BI68" s="185">
        <v>0</v>
      </c>
      <c r="BJ68" s="185">
        <v>0</v>
      </c>
      <c r="BK68" s="185">
        <v>7418</v>
      </c>
      <c r="BL68" s="185">
        <v>0</v>
      </c>
      <c r="BM68" s="185"/>
      <c r="BN68" s="185">
        <v>0</v>
      </c>
      <c r="BO68" s="185"/>
      <c r="BP68" s="185"/>
      <c r="BQ68" s="185"/>
      <c r="BR68" s="185">
        <v>25</v>
      </c>
      <c r="BS68" s="185"/>
      <c r="BT68" s="185"/>
      <c r="BU68" s="185"/>
      <c r="BV68" s="185">
        <f>3497+399</f>
        <v>3896</v>
      </c>
      <c r="BW68" s="185"/>
      <c r="BX68" s="185"/>
      <c r="BY68" s="185"/>
      <c r="BZ68" s="185"/>
      <c r="CA68" s="185"/>
      <c r="CB68" s="185"/>
      <c r="CC68" s="185"/>
      <c r="CD68" s="246" t="s">
        <v>221</v>
      </c>
      <c r="CE68" s="195">
        <f t="shared" si="0"/>
        <v>259663.2</v>
      </c>
      <c r="CF68" s="249"/>
    </row>
    <row r="69" spans="1:84" ht="12.65" customHeight="1" x14ac:dyDescent="0.35">
      <c r="A69" s="171" t="s">
        <v>241</v>
      </c>
      <c r="B69" s="175"/>
      <c r="C69" s="184"/>
      <c r="D69" s="184"/>
      <c r="E69" s="185">
        <v>9562</v>
      </c>
      <c r="F69" s="185"/>
      <c r="G69" s="184"/>
      <c r="H69" s="184"/>
      <c r="I69" s="185"/>
      <c r="J69" s="185"/>
      <c r="K69" s="185"/>
      <c r="L69" s="185">
        <f>1658252-1141742-9298-75797-688-2675-19072-313117-10934</f>
        <v>84929</v>
      </c>
      <c r="M69" s="184"/>
      <c r="N69" s="184"/>
      <c r="O69" s="184"/>
      <c r="P69" s="185">
        <v>931</v>
      </c>
      <c r="Q69" s="185"/>
      <c r="R69" s="224">
        <f>1668+115+625.08+276.58+80.68</f>
        <v>2765.3399999999997</v>
      </c>
      <c r="S69" s="185"/>
      <c r="T69" s="184"/>
      <c r="U69" s="185">
        <v>2933</v>
      </c>
      <c r="V69" s="185"/>
      <c r="W69" s="184"/>
      <c r="X69" s="185"/>
      <c r="Y69" s="185">
        <v>2707</v>
      </c>
      <c r="Z69" s="185"/>
      <c r="AA69" s="185"/>
      <c r="AB69" s="185">
        <v>47199</v>
      </c>
      <c r="AC69" s="185">
        <v>62</v>
      </c>
      <c r="AD69" s="185"/>
      <c r="AE69" s="185">
        <v>759</v>
      </c>
      <c r="AF69" s="185"/>
      <c r="AG69" s="185">
        <v>0</v>
      </c>
      <c r="AH69" s="185">
        <v>1002</v>
      </c>
      <c r="AI69" s="185"/>
      <c r="AJ69" s="185">
        <v>47008</v>
      </c>
      <c r="AK69" s="185">
        <v>541</v>
      </c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600</v>
      </c>
      <c r="AZ69" s="185"/>
      <c r="BA69" s="185"/>
      <c r="BB69" s="185"/>
      <c r="BC69" s="185"/>
      <c r="BD69" s="185"/>
      <c r="BE69" s="185">
        <v>4044</v>
      </c>
      <c r="BF69" s="185">
        <v>68</v>
      </c>
      <c r="BG69" s="185"/>
      <c r="BH69" s="224"/>
      <c r="BI69" s="185">
        <v>6051</v>
      </c>
      <c r="BJ69" s="185">
        <v>468</v>
      </c>
      <c r="BK69" s="185">
        <v>850</v>
      </c>
      <c r="BL69" s="185">
        <v>188.32</v>
      </c>
      <c r="BM69" s="185"/>
      <c r="BN69" s="185">
        <f>246604-94831</f>
        <v>151773</v>
      </c>
      <c r="BO69" s="185"/>
      <c r="BP69" s="185"/>
      <c r="BQ69" s="185"/>
      <c r="BR69" s="185">
        <v>5685</v>
      </c>
      <c r="BS69" s="185"/>
      <c r="BT69" s="185"/>
      <c r="BU69" s="185"/>
      <c r="BV69" s="185">
        <v>1437</v>
      </c>
      <c r="BW69" s="185"/>
      <c r="BX69" s="185"/>
      <c r="BY69" s="185"/>
      <c r="BZ69" s="185"/>
      <c r="CA69" s="185">
        <v>164</v>
      </c>
      <c r="CB69" s="185"/>
      <c r="CC69" s="185">
        <f>-12138</f>
        <v>-12138</v>
      </c>
      <c r="CD69" s="188">
        <f>310432</f>
        <v>310432</v>
      </c>
      <c r="CE69" s="195">
        <f t="shared" si="0"/>
        <v>670020.66</v>
      </c>
      <c r="CF69" s="249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>
        <v>-385</v>
      </c>
      <c r="R70" s="184"/>
      <c r="S70" s="184">
        <v>-104</v>
      </c>
      <c r="T70" s="184"/>
      <c r="U70" s="185">
        <v>-33738</v>
      </c>
      <c r="V70" s="184"/>
      <c r="W70" s="184"/>
      <c r="X70" s="185"/>
      <c r="Y70" s="185"/>
      <c r="Z70" s="185"/>
      <c r="AA70" s="185"/>
      <c r="AB70" s="185"/>
      <c r="AC70" s="185"/>
      <c r="AD70" s="185"/>
      <c r="AE70" s="185">
        <v>-1355</v>
      </c>
      <c r="AF70" s="185"/>
      <c r="AG70" s="185"/>
      <c r="AH70" s="185">
        <v>-11250</v>
      </c>
      <c r="AI70" s="185"/>
      <c r="AJ70" s="185">
        <v>-41046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-78815</v>
      </c>
      <c r="AZ70" s="185"/>
      <c r="BA70" s="185"/>
      <c r="BB70" s="185"/>
      <c r="BC70" s="185"/>
      <c r="BD70" s="185"/>
      <c r="BE70" s="185">
        <v>-300</v>
      </c>
      <c r="BF70" s="185"/>
      <c r="BG70" s="185"/>
      <c r="BH70" s="185"/>
      <c r="BI70" s="185"/>
      <c r="BJ70" s="185">
        <v>0</v>
      </c>
      <c r="BK70" s="185">
        <v>-78</v>
      </c>
      <c r="BL70" s="185">
        <v>0</v>
      </c>
      <c r="BM70" s="185"/>
      <c r="BN70" s="185">
        <v>-2910</v>
      </c>
      <c r="BO70" s="185"/>
      <c r="BP70" s="185"/>
      <c r="BQ70" s="185"/>
      <c r="BR70" s="185">
        <v>175</v>
      </c>
      <c r="BS70" s="185"/>
      <c r="BT70" s="185"/>
      <c r="BU70" s="185"/>
      <c r="BV70" s="185">
        <v>-3972</v>
      </c>
      <c r="BW70" s="185"/>
      <c r="BX70" s="185"/>
      <c r="BY70" s="185">
        <v>-500</v>
      </c>
      <c r="BZ70" s="185"/>
      <c r="CA70" s="185">
        <v>-200</v>
      </c>
      <c r="CB70" s="185"/>
      <c r="CC70" s="185">
        <f>-211786+936157</f>
        <v>724371</v>
      </c>
      <c r="CD70" s="188"/>
      <c r="CE70" s="195">
        <f t="shared" si="0"/>
        <v>549893</v>
      </c>
      <c r="CF70" s="249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2364198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1701789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745276</v>
      </c>
      <c r="Q71" s="195">
        <f t="shared" si="5"/>
        <v>318639</v>
      </c>
      <c r="R71" s="195">
        <f t="shared" si="5"/>
        <v>974100.96999999986</v>
      </c>
      <c r="S71" s="195">
        <f t="shared" si="5"/>
        <v>248077</v>
      </c>
      <c r="T71" s="195">
        <f t="shared" si="5"/>
        <v>0</v>
      </c>
      <c r="U71" s="195">
        <f t="shared" si="5"/>
        <v>1324284</v>
      </c>
      <c r="V71" s="195">
        <f t="shared" si="5"/>
        <v>249916.79999999999</v>
      </c>
      <c r="W71" s="195">
        <f t="shared" si="5"/>
        <v>0</v>
      </c>
      <c r="X71" s="195">
        <f t="shared" si="5"/>
        <v>169682</v>
      </c>
      <c r="Y71" s="195">
        <f t="shared" si="5"/>
        <v>995851</v>
      </c>
      <c r="Z71" s="195">
        <f t="shared" si="5"/>
        <v>0</v>
      </c>
      <c r="AA71" s="195">
        <f t="shared" si="5"/>
        <v>0</v>
      </c>
      <c r="AB71" s="195">
        <f t="shared" si="5"/>
        <v>941598</v>
      </c>
      <c r="AC71" s="195">
        <f t="shared" si="5"/>
        <v>218442</v>
      </c>
      <c r="AD71" s="195">
        <f t="shared" si="5"/>
        <v>0</v>
      </c>
      <c r="AE71" s="195">
        <f t="shared" si="5"/>
        <v>749128</v>
      </c>
      <c r="AF71" s="195">
        <f t="shared" si="5"/>
        <v>0</v>
      </c>
      <c r="AG71" s="195">
        <f t="shared" si="5"/>
        <v>832834</v>
      </c>
      <c r="AH71" s="195">
        <f t="shared" si="5"/>
        <v>242442</v>
      </c>
      <c r="AI71" s="195">
        <f t="shared" si="5"/>
        <v>0</v>
      </c>
      <c r="AJ71" s="195">
        <f t="shared" ref="AJ71:BO71" si="6">SUM(AJ61:AJ69)-AJ70</f>
        <v>5882990</v>
      </c>
      <c r="AK71" s="195">
        <f t="shared" si="6"/>
        <v>113935</v>
      </c>
      <c r="AL71" s="195">
        <f t="shared" si="6"/>
        <v>72611</v>
      </c>
      <c r="AM71" s="195">
        <f t="shared" si="6"/>
        <v>55356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768587</v>
      </c>
      <c r="AZ71" s="195">
        <f t="shared" si="6"/>
        <v>0</v>
      </c>
      <c r="BA71" s="195">
        <f t="shared" si="6"/>
        <v>101341</v>
      </c>
      <c r="BB71" s="195">
        <f t="shared" si="6"/>
        <v>100933</v>
      </c>
      <c r="BC71" s="195">
        <f t="shared" si="6"/>
        <v>0</v>
      </c>
      <c r="BD71" s="195">
        <f t="shared" si="6"/>
        <v>0</v>
      </c>
      <c r="BE71" s="195">
        <f t="shared" si="6"/>
        <v>722733</v>
      </c>
      <c r="BF71" s="195">
        <f t="shared" si="6"/>
        <v>390844</v>
      </c>
      <c r="BG71" s="195">
        <f t="shared" si="6"/>
        <v>0</v>
      </c>
      <c r="BH71" s="195">
        <f t="shared" si="6"/>
        <v>0</v>
      </c>
      <c r="BI71" s="195">
        <f t="shared" si="6"/>
        <v>969828</v>
      </c>
      <c r="BJ71" s="195">
        <f t="shared" si="6"/>
        <v>406878</v>
      </c>
      <c r="BK71" s="195">
        <f t="shared" si="6"/>
        <v>880281.99000000011</v>
      </c>
      <c r="BL71" s="195">
        <f t="shared" si="6"/>
        <v>676282.27999999991</v>
      </c>
      <c r="BM71" s="195">
        <f t="shared" si="6"/>
        <v>0</v>
      </c>
      <c r="BN71" s="195">
        <f t="shared" si="6"/>
        <v>2058670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303741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368683</v>
      </c>
      <c r="BW71" s="195">
        <f t="shared" si="7"/>
        <v>0</v>
      </c>
      <c r="BX71" s="195">
        <f t="shared" si="7"/>
        <v>0</v>
      </c>
      <c r="BY71" s="195">
        <f t="shared" si="7"/>
        <v>725</v>
      </c>
      <c r="BZ71" s="195">
        <f t="shared" si="7"/>
        <v>0</v>
      </c>
      <c r="CA71" s="195">
        <f t="shared" si="7"/>
        <v>1003</v>
      </c>
      <c r="CB71" s="195">
        <f t="shared" si="7"/>
        <v>0</v>
      </c>
      <c r="CC71" s="195">
        <f t="shared" si="7"/>
        <v>-597686</v>
      </c>
      <c r="CD71" s="242">
        <f>CD69-CD70</f>
        <v>310432</v>
      </c>
      <c r="CE71" s="195">
        <f>SUM(CE61:CE69)-CE70</f>
        <v>25664426.039999999</v>
      </c>
      <c r="CF71" s="249"/>
    </row>
    <row r="72" spans="1:84" ht="12.65" customHeight="1" x14ac:dyDescent="0.3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>
        <v>693208</v>
      </c>
      <c r="CF72" s="249"/>
    </row>
    <row r="73" spans="1:84" ht="12.65" customHeight="1" x14ac:dyDescent="0.35">
      <c r="A73" s="171" t="s">
        <v>245</v>
      </c>
      <c r="B73" s="175"/>
      <c r="C73" s="184"/>
      <c r="D73" s="184"/>
      <c r="E73" s="185">
        <v>1925525</v>
      </c>
      <c r="F73" s="185"/>
      <c r="G73" s="184"/>
      <c r="H73" s="184"/>
      <c r="I73" s="185"/>
      <c r="J73" s="185"/>
      <c r="K73" s="185"/>
      <c r="L73" s="185">
        <v>1951813</v>
      </c>
      <c r="M73" s="184"/>
      <c r="N73" s="184"/>
      <c r="O73" s="184"/>
      <c r="P73" s="185">
        <v>147762</v>
      </c>
      <c r="Q73" s="185">
        <v>39362</v>
      </c>
      <c r="R73" s="185">
        <f>167291+5377.65</f>
        <v>172668.65</v>
      </c>
      <c r="S73" s="185">
        <v>197211</v>
      </c>
      <c r="T73" s="185"/>
      <c r="U73" s="185">
        <v>628320</v>
      </c>
      <c r="V73" s="185">
        <f>65152+3024</f>
        <v>68176</v>
      </c>
      <c r="W73" s="185"/>
      <c r="X73" s="185">
        <v>270702</v>
      </c>
      <c r="Y73" s="185">
        <v>128563</v>
      </c>
      <c r="Z73" s="185"/>
      <c r="AA73" s="185"/>
      <c r="AB73" s="185">
        <v>566559</v>
      </c>
      <c r="AC73" s="185">
        <v>377053</v>
      </c>
      <c r="AD73" s="185"/>
      <c r="AE73" s="185">
        <v>349714</v>
      </c>
      <c r="AF73" s="185"/>
      <c r="AG73" s="185">
        <v>77859</v>
      </c>
      <c r="AH73" s="185">
        <v>27081</v>
      </c>
      <c r="AI73" s="185"/>
      <c r="AJ73" s="185"/>
      <c r="AK73" s="185">
        <v>197553</v>
      </c>
      <c r="AL73" s="185">
        <v>67244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7193165.6500000004</v>
      </c>
      <c r="CF73" s="249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>
        <v>26708</v>
      </c>
      <c r="M74" s="184"/>
      <c r="N74" s="184"/>
      <c r="O74" s="184"/>
      <c r="P74" s="185">
        <v>1219044</v>
      </c>
      <c r="Q74" s="185">
        <v>295117</v>
      </c>
      <c r="R74" s="185">
        <f>1235389+733948.3+80137.19</f>
        <v>2049474.49</v>
      </c>
      <c r="S74" s="185">
        <v>530930</v>
      </c>
      <c r="T74" s="185"/>
      <c r="U74" s="185">
        <v>3942818</v>
      </c>
      <c r="V74" s="185">
        <f>55548+1136621</f>
        <v>1192169</v>
      </c>
      <c r="W74" s="185"/>
      <c r="X74" s="185">
        <v>2519956</v>
      </c>
      <c r="Y74" s="185">
        <v>1814434</v>
      </c>
      <c r="Z74" s="185"/>
      <c r="AA74" s="185"/>
      <c r="AB74" s="185">
        <v>1130456</v>
      </c>
      <c r="AC74" s="185">
        <v>152062</v>
      </c>
      <c r="AD74" s="185"/>
      <c r="AE74" s="185">
        <v>1237775</v>
      </c>
      <c r="AF74" s="185"/>
      <c r="AG74" s="185">
        <v>1496794</v>
      </c>
      <c r="AH74" s="185">
        <v>434322</v>
      </c>
      <c r="AI74" s="185">
        <v>-6876</v>
      </c>
      <c r="AJ74" s="185">
        <f>6451333</f>
        <v>6451333</v>
      </c>
      <c r="AK74" s="185">
        <v>62681</v>
      </c>
      <c r="AL74" s="185">
        <v>27509</v>
      </c>
      <c r="AM74" s="185"/>
      <c r="AN74" s="185"/>
      <c r="AO74" s="185">
        <f>9381.6+403104.25</f>
        <v>412485.85</v>
      </c>
      <c r="AP74" s="185"/>
      <c r="AQ74" s="185"/>
      <c r="AR74" s="185"/>
      <c r="AS74" s="185"/>
      <c r="AT74" s="185"/>
      <c r="AU74" s="185"/>
      <c r="AV74" s="185"/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24989192.340000004</v>
      </c>
      <c r="CF74" s="249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1925525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1978521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1366806</v>
      </c>
      <c r="Q75" s="195">
        <f t="shared" si="9"/>
        <v>334479</v>
      </c>
      <c r="R75" s="195">
        <f t="shared" si="9"/>
        <v>2222143.14</v>
      </c>
      <c r="S75" s="195">
        <f t="shared" si="9"/>
        <v>728141</v>
      </c>
      <c r="T75" s="195">
        <f t="shared" si="9"/>
        <v>0</v>
      </c>
      <c r="U75" s="195">
        <f t="shared" si="9"/>
        <v>4571138</v>
      </c>
      <c r="V75" s="195">
        <f t="shared" si="9"/>
        <v>1260345</v>
      </c>
      <c r="W75" s="195">
        <f t="shared" si="9"/>
        <v>0</v>
      </c>
      <c r="X75" s="195">
        <f t="shared" si="9"/>
        <v>2790658</v>
      </c>
      <c r="Y75" s="195">
        <f t="shared" si="9"/>
        <v>1942997</v>
      </c>
      <c r="Z75" s="195">
        <f t="shared" si="9"/>
        <v>0</v>
      </c>
      <c r="AA75" s="195">
        <f t="shared" si="9"/>
        <v>0</v>
      </c>
      <c r="AB75" s="195">
        <f t="shared" si="9"/>
        <v>1697015</v>
      </c>
      <c r="AC75" s="195">
        <f t="shared" si="9"/>
        <v>529115</v>
      </c>
      <c r="AD75" s="195">
        <f t="shared" si="9"/>
        <v>0</v>
      </c>
      <c r="AE75" s="195">
        <f t="shared" si="9"/>
        <v>1587489</v>
      </c>
      <c r="AF75" s="195">
        <f t="shared" si="9"/>
        <v>0</v>
      </c>
      <c r="AG75" s="195">
        <f t="shared" si="9"/>
        <v>1574653</v>
      </c>
      <c r="AH75" s="195">
        <f t="shared" si="9"/>
        <v>461403</v>
      </c>
      <c r="AI75" s="195">
        <f t="shared" si="9"/>
        <v>-6876</v>
      </c>
      <c r="AJ75" s="195">
        <f t="shared" si="9"/>
        <v>6451333</v>
      </c>
      <c r="AK75" s="195">
        <f t="shared" si="9"/>
        <v>260234</v>
      </c>
      <c r="AL75" s="195">
        <f t="shared" si="9"/>
        <v>94753</v>
      </c>
      <c r="AM75" s="195">
        <f t="shared" si="9"/>
        <v>0</v>
      </c>
      <c r="AN75" s="195">
        <f t="shared" si="9"/>
        <v>0</v>
      </c>
      <c r="AO75" s="195">
        <f t="shared" si="9"/>
        <v>412485.85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32182357.990000002</v>
      </c>
      <c r="CF75" s="249"/>
    </row>
    <row r="76" spans="1:84" ht="12.65" customHeight="1" x14ac:dyDescent="0.35">
      <c r="A76" s="171" t="s">
        <v>248</v>
      </c>
      <c r="B76" s="175"/>
      <c r="C76" s="184"/>
      <c r="D76" s="184"/>
      <c r="E76" s="185">
        <v>4802</v>
      </c>
      <c r="F76" s="185"/>
      <c r="G76" s="295"/>
      <c r="H76" s="295"/>
      <c r="I76" s="185"/>
      <c r="J76" s="185"/>
      <c r="K76" s="185"/>
      <c r="L76" s="185">
        <v>6141</v>
      </c>
      <c r="M76" s="185"/>
      <c r="N76" s="185"/>
      <c r="O76" s="185"/>
      <c r="P76" s="185">
        <v>1403</v>
      </c>
      <c r="Q76" s="185"/>
      <c r="R76" s="185">
        <v>225</v>
      </c>
      <c r="S76" s="185">
        <v>670</v>
      </c>
      <c r="T76" s="185"/>
      <c r="U76" s="185">
        <v>527</v>
      </c>
      <c r="V76" s="185"/>
      <c r="W76" s="185"/>
      <c r="X76" s="185"/>
      <c r="Y76" s="185">
        <v>1569</v>
      </c>
      <c r="Z76" s="185"/>
      <c r="AA76" s="185"/>
      <c r="AB76" s="185">
        <v>380</v>
      </c>
      <c r="AC76" s="185">
        <v>40</v>
      </c>
      <c r="AD76" s="185"/>
      <c r="AE76" s="185">
        <v>1465</v>
      </c>
      <c r="AF76" s="185"/>
      <c r="AG76" s="185">
        <v>581</v>
      </c>
      <c r="AH76" s="185">
        <v>0</v>
      </c>
      <c r="AI76" s="185">
        <v>0</v>
      </c>
      <c r="AJ76" s="185">
        <v>6493</v>
      </c>
      <c r="AK76" s="185">
        <v>427</v>
      </c>
      <c r="AL76" s="185">
        <v>0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3690</v>
      </c>
      <c r="AZ76" s="185"/>
      <c r="BA76" s="185">
        <v>858</v>
      </c>
      <c r="BB76" s="185">
        <v>128</v>
      </c>
      <c r="BC76" s="185"/>
      <c r="BD76" s="185"/>
      <c r="BE76" s="185">
        <v>2961</v>
      </c>
      <c r="BF76" s="185">
        <v>1051</v>
      </c>
      <c r="BG76" s="185"/>
      <c r="BH76" s="185"/>
      <c r="BI76" s="185"/>
      <c r="BJ76" s="185"/>
      <c r="BK76" s="185"/>
      <c r="BL76" s="185"/>
      <c r="BM76" s="185"/>
      <c r="BN76" s="185">
        <v>7029</v>
      </c>
      <c r="BO76" s="185"/>
      <c r="BP76" s="185"/>
      <c r="BQ76" s="185"/>
      <c r="BR76" s="185"/>
      <c r="BS76" s="185"/>
      <c r="BT76" s="185"/>
      <c r="BU76" s="185"/>
      <c r="BV76" s="185">
        <v>366</v>
      </c>
      <c r="BW76" s="185"/>
      <c r="BX76" s="185"/>
      <c r="BY76" s="185">
        <v>72</v>
      </c>
      <c r="BZ76" s="185"/>
      <c r="CA76" s="185"/>
      <c r="CB76" s="185"/>
      <c r="CC76" s="185">
        <v>165</v>
      </c>
      <c r="CD76" s="246" t="s">
        <v>221</v>
      </c>
      <c r="CE76" s="195">
        <f t="shared" si="8"/>
        <v>41043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0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6" t="s">
        <v>221</v>
      </c>
      <c r="AY78" s="246" t="s">
        <v>221</v>
      </c>
      <c r="AZ78" s="246" t="s">
        <v>221</v>
      </c>
      <c r="BA78" s="184"/>
      <c r="BB78" s="184"/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0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0</v>
      </c>
      <c r="CF80" s="252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08" t="s">
        <v>1267</v>
      </c>
      <c r="D82" s="253"/>
      <c r="E82" s="175"/>
    </row>
    <row r="83" spans="1:5" ht="12.65" customHeight="1" x14ac:dyDescent="0.35">
      <c r="A83" s="173" t="s">
        <v>255</v>
      </c>
      <c r="B83" s="172" t="s">
        <v>256</v>
      </c>
      <c r="C83" s="310" t="s">
        <v>1269</v>
      </c>
      <c r="D83" s="253"/>
      <c r="E83" s="175"/>
    </row>
    <row r="84" spans="1:5" ht="12.65" customHeight="1" x14ac:dyDescent="0.35">
      <c r="A84" s="173" t="s">
        <v>257</v>
      </c>
      <c r="B84" s="172" t="s">
        <v>256</v>
      </c>
      <c r="C84" s="205" t="s">
        <v>1270</v>
      </c>
      <c r="D84" s="205"/>
      <c r="E84" s="204"/>
    </row>
    <row r="85" spans="1:5" ht="12.65" customHeight="1" x14ac:dyDescent="0.35">
      <c r="A85" s="173" t="s">
        <v>1250</v>
      </c>
      <c r="B85" s="172"/>
      <c r="C85" s="205" t="s">
        <v>1271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05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05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05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05" t="s">
        <v>1274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05" t="s">
        <v>1275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05" t="s">
        <v>1276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05" t="s">
        <v>1277</v>
      </c>
      <c r="D92" s="253"/>
      <c r="E92" s="175"/>
    </row>
    <row r="93" spans="1:5" ht="12.65" customHeight="1" x14ac:dyDescent="0.35">
      <c r="A93" s="173" t="s">
        <v>264</v>
      </c>
      <c r="B93" s="172" t="s">
        <v>256</v>
      </c>
      <c r="C93" s="205" t="s">
        <v>1278</v>
      </c>
      <c r="D93" s="253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4" t="s">
        <v>266</v>
      </c>
      <c r="B96" s="254"/>
      <c r="C96" s="254"/>
      <c r="D96" s="254"/>
      <c r="E96" s="254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4" t="s">
        <v>269</v>
      </c>
      <c r="B100" s="254"/>
      <c r="C100" s="254"/>
      <c r="D100" s="254"/>
      <c r="E100" s="254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4" t="s">
        <v>271</v>
      </c>
      <c r="B103" s="254"/>
      <c r="C103" s="254"/>
      <c r="D103" s="254"/>
      <c r="E103" s="254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301</v>
      </c>
      <c r="D111" s="174">
        <v>1110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117</v>
      </c>
      <c r="D112" s="174">
        <v>4421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25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231</v>
      </c>
      <c r="C138" s="189">
        <v>36</v>
      </c>
      <c r="D138" s="174">
        <v>34</v>
      </c>
      <c r="E138" s="175">
        <f>SUM(B138:D138)</f>
        <v>301</v>
      </c>
    </row>
    <row r="139" spans="1:6" ht="12.65" customHeight="1" x14ac:dyDescent="0.35">
      <c r="A139" s="173" t="s">
        <v>215</v>
      </c>
      <c r="B139" s="174">
        <v>812</v>
      </c>
      <c r="C139" s="189">
        <v>136</v>
      </c>
      <c r="D139" s="174">
        <v>162</v>
      </c>
      <c r="E139" s="175">
        <f>SUM(B139:D139)</f>
        <v>1110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5262028</v>
      </c>
      <c r="C141" s="189">
        <v>881324</v>
      </c>
      <c r="D141" s="174">
        <v>1049814</v>
      </c>
      <c r="E141" s="175">
        <f>SUM(B141:D141)</f>
        <v>7193166</v>
      </c>
      <c r="F141" s="199"/>
    </row>
    <row r="142" spans="1:6" ht="12.65" customHeight="1" x14ac:dyDescent="0.35">
      <c r="A142" s="173" t="s">
        <v>246</v>
      </c>
      <c r="B142" s="174">
        <v>18280382</v>
      </c>
      <c r="C142" s="189">
        <v>3061738</v>
      </c>
      <c r="D142" s="174">
        <v>3647072</v>
      </c>
      <c r="E142" s="175">
        <f>SUM(B142:D142)</f>
        <v>24989192</v>
      </c>
      <c r="F142" s="199"/>
    </row>
    <row r="143" spans="1:6" ht="12.65" customHeight="1" x14ac:dyDescent="0.3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94</v>
      </c>
      <c r="C144" s="189">
        <v>12</v>
      </c>
      <c r="D144" s="174">
        <v>11</v>
      </c>
      <c r="E144" s="175">
        <f>SUM(B144:D144)</f>
        <v>117</v>
      </c>
    </row>
    <row r="145" spans="1:5" ht="12.65" customHeight="1" x14ac:dyDescent="0.35">
      <c r="A145" s="173" t="s">
        <v>215</v>
      </c>
      <c r="B145" s="174">
        <v>1230</v>
      </c>
      <c r="C145" s="189">
        <v>1610</v>
      </c>
      <c r="D145" s="174">
        <v>1581</v>
      </c>
      <c r="E145" s="175">
        <f>SUM(B145:D145)</f>
        <v>4421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4" t="s">
        <v>306</v>
      </c>
      <c r="B164" s="254"/>
      <c r="C164" s="254"/>
      <c r="D164" s="254"/>
      <c r="E164" s="254"/>
    </row>
    <row r="165" spans="1:5" ht="11.5" customHeight="1" x14ac:dyDescent="0.35">
      <c r="A165" s="173" t="s">
        <v>307</v>
      </c>
      <c r="B165" s="172" t="s">
        <v>256</v>
      </c>
      <c r="C165" s="189">
        <v>947912.92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f>19797+6712.91</f>
        <v>26509.91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241055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1883774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358003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f>274617+10761</f>
        <v>285378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3742632.83</v>
      </c>
      <c r="E173" s="175"/>
    </row>
    <row r="174" spans="1:5" ht="11.5" customHeight="1" x14ac:dyDescent="0.35">
      <c r="A174" s="254" t="s">
        <v>314</v>
      </c>
      <c r="B174" s="254"/>
      <c r="C174" s="254"/>
      <c r="D174" s="254"/>
      <c r="E174" s="254"/>
    </row>
    <row r="175" spans="1:5" ht="11.5" customHeight="1" x14ac:dyDescent="0.35">
      <c r="A175" s="173" t="s">
        <v>315</v>
      </c>
      <c r="B175" s="172" t="s">
        <v>256</v>
      </c>
      <c r="C175" s="189">
        <f>156058+25200</f>
        <v>181258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f>259663-C175</f>
        <v>78405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259663</v>
      </c>
      <c r="E177" s="175"/>
    </row>
    <row r="178" spans="1:5" ht="11.5" customHeight="1" x14ac:dyDescent="0.35">
      <c r="A178" s="254" t="s">
        <v>317</v>
      </c>
      <c r="B178" s="254"/>
      <c r="C178" s="254"/>
      <c r="D178" s="254"/>
      <c r="E178" s="254"/>
    </row>
    <row r="179" spans="1:5" ht="11.5" customHeight="1" x14ac:dyDescent="0.35">
      <c r="A179" s="173" t="s">
        <v>318</v>
      </c>
      <c r="B179" s="172" t="s">
        <v>256</v>
      </c>
      <c r="C179" s="189">
        <v>142869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55358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198227</v>
      </c>
      <c r="E181" s="175"/>
    </row>
    <row r="182" spans="1:5" ht="11.5" customHeight="1" x14ac:dyDescent="0.35">
      <c r="A182" s="254" t="s">
        <v>320</v>
      </c>
      <c r="B182" s="254"/>
      <c r="C182" s="254"/>
      <c r="D182" s="254"/>
      <c r="E182" s="254"/>
    </row>
    <row r="183" spans="1:5" ht="11.5" customHeight="1" x14ac:dyDescent="0.35">
      <c r="A183" s="173" t="s">
        <v>321</v>
      </c>
      <c r="B183" s="172" t="s">
        <v>256</v>
      </c>
      <c r="C183" s="189"/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125655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125655</v>
      </c>
      <c r="E186" s="175"/>
    </row>
    <row r="187" spans="1:5" ht="11.5" customHeight="1" x14ac:dyDescent="0.35">
      <c r="A187" s="254" t="s">
        <v>323</v>
      </c>
      <c r="B187" s="254"/>
      <c r="C187" s="254"/>
      <c r="D187" s="254"/>
      <c r="E187" s="254"/>
    </row>
    <row r="188" spans="1:5" ht="11.5" customHeight="1" x14ac:dyDescent="0.35">
      <c r="A188" s="173" t="s">
        <v>324</v>
      </c>
      <c r="B188" s="172" t="s">
        <v>256</v>
      </c>
      <c r="C188" s="189">
        <v>112205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112205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f>157564+461550</f>
        <v>619114</v>
      </c>
      <c r="C195" s="189">
        <f>172058+1458</f>
        <v>173516</v>
      </c>
      <c r="D195" s="174">
        <v>0</v>
      </c>
      <c r="E195" s="175">
        <f t="shared" ref="E195:E203" si="10">SUM(B195:C195)-D195</f>
        <v>792630</v>
      </c>
    </row>
    <row r="196" spans="1:8" ht="12.65" customHeight="1" x14ac:dyDescent="0.35">
      <c r="A196" s="173" t="s">
        <v>333</v>
      </c>
      <c r="B196" s="174">
        <v>324429</v>
      </c>
      <c r="C196" s="189"/>
      <c r="D196" s="174"/>
      <c r="E196" s="175">
        <f t="shared" si="10"/>
        <v>324429</v>
      </c>
    </row>
    <row r="197" spans="1:8" ht="12.65" customHeight="1" x14ac:dyDescent="0.35">
      <c r="A197" s="173" t="s">
        <v>334</v>
      </c>
      <c r="B197" s="174">
        <v>4862883</v>
      </c>
      <c r="C197" s="189">
        <v>11970</v>
      </c>
      <c r="D197" s="174"/>
      <c r="E197" s="175">
        <f t="shared" si="10"/>
        <v>4874853</v>
      </c>
    </row>
    <row r="198" spans="1:8" ht="12.65" customHeight="1" x14ac:dyDescent="0.35">
      <c r="A198" s="173" t="s">
        <v>335</v>
      </c>
      <c r="B198" s="174">
        <v>5223676</v>
      </c>
      <c r="C198" s="189"/>
      <c r="D198" s="174"/>
      <c r="E198" s="175">
        <f t="shared" si="10"/>
        <v>5223676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6245256</v>
      </c>
      <c r="C200" s="189">
        <f>880708+52508</f>
        <v>933216</v>
      </c>
      <c r="D200" s="174"/>
      <c r="E200" s="175">
        <f t="shared" si="10"/>
        <v>7178472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333484</v>
      </c>
      <c r="C203" s="189">
        <f>4361787-4422-65936</f>
        <v>4291429</v>
      </c>
      <c r="D203" s="174"/>
      <c r="E203" s="175">
        <f t="shared" si="10"/>
        <v>4624913</v>
      </c>
    </row>
    <row r="204" spans="1:8" ht="12.65" customHeight="1" x14ac:dyDescent="0.35">
      <c r="A204" s="173" t="s">
        <v>203</v>
      </c>
      <c r="B204" s="175">
        <f>SUM(B195:B203)</f>
        <v>17608842</v>
      </c>
      <c r="C204" s="191">
        <f>SUM(C195:C203)</f>
        <v>5410131</v>
      </c>
      <c r="D204" s="175">
        <f>SUM(D195:D203)</f>
        <v>0</v>
      </c>
      <c r="E204" s="175">
        <f>SUM(E195:E203)</f>
        <v>23018973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6"/>
    </row>
    <row r="209" spans="1:8" ht="12.65" customHeight="1" x14ac:dyDescent="0.35">
      <c r="A209" s="173" t="s">
        <v>333</v>
      </c>
      <c r="B209" s="174">
        <v>300398</v>
      </c>
      <c r="C209" s="189">
        <v>3649</v>
      </c>
      <c r="D209" s="174"/>
      <c r="E209" s="175">
        <f t="shared" ref="E209:E216" si="11">SUM(B209:C209)-D209</f>
        <v>304047</v>
      </c>
      <c r="H209" s="256"/>
    </row>
    <row r="210" spans="1:8" ht="12.65" customHeight="1" x14ac:dyDescent="0.35">
      <c r="A210" s="173" t="s">
        <v>334</v>
      </c>
      <c r="B210" s="174">
        <v>3898996</v>
      </c>
      <c r="C210" s="189">
        <v>123214</v>
      </c>
      <c r="D210" s="174"/>
      <c r="E210" s="175">
        <f t="shared" si="11"/>
        <v>4022210</v>
      </c>
      <c r="H210" s="256"/>
    </row>
    <row r="211" spans="1:8" ht="12.65" customHeight="1" x14ac:dyDescent="0.35">
      <c r="A211" s="173" t="s">
        <v>335</v>
      </c>
      <c r="B211" s="174">
        <v>4664776</v>
      </c>
      <c r="C211" s="189">
        <v>108925</v>
      </c>
      <c r="D211" s="174"/>
      <c r="E211" s="175">
        <f t="shared" si="11"/>
        <v>4773701</v>
      </c>
      <c r="H211" s="256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56"/>
    </row>
    <row r="213" spans="1:8" ht="12.65" customHeight="1" x14ac:dyDescent="0.35">
      <c r="A213" s="173" t="s">
        <v>337</v>
      </c>
      <c r="B213" s="174">
        <v>5589908</v>
      </c>
      <c r="C213" s="189">
        <f>218663+4051</f>
        <v>222714</v>
      </c>
      <c r="D213" s="174"/>
      <c r="E213" s="175">
        <f t="shared" si="11"/>
        <v>5812622</v>
      </c>
      <c r="H213" s="256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6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6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5" customHeight="1" x14ac:dyDescent="0.35">
      <c r="A217" s="173" t="s">
        <v>203</v>
      </c>
      <c r="B217" s="175">
        <f>SUM(B208:B216)</f>
        <v>14454078</v>
      </c>
      <c r="C217" s="191">
        <f>SUM(C208:C216)</f>
        <v>458502</v>
      </c>
      <c r="D217" s="175">
        <f>SUM(D208:D216)</f>
        <v>0</v>
      </c>
      <c r="E217" s="175">
        <f>SUM(E208:E216)</f>
        <v>14912580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35" t="s">
        <v>1254</v>
      </c>
      <c r="C220" s="335"/>
      <c r="D220" s="208"/>
      <c r="E220" s="208"/>
    </row>
    <row r="221" spans="1:8" ht="12.65" customHeight="1" x14ac:dyDescent="0.35">
      <c r="A221" s="267" t="s">
        <v>1254</v>
      </c>
      <c r="B221" s="208"/>
      <c r="C221" s="189">
        <v>648981</v>
      </c>
      <c r="D221" s="172">
        <f>C221</f>
        <v>648981</v>
      </c>
      <c r="E221" s="208"/>
    </row>
    <row r="222" spans="1:8" ht="12.65" customHeight="1" x14ac:dyDescent="0.35">
      <c r="A222" s="254" t="s">
        <v>343</v>
      </c>
      <c r="B222" s="254"/>
      <c r="C222" s="254"/>
      <c r="D222" s="254"/>
      <c r="E222" s="254"/>
    </row>
    <row r="223" spans="1:8" ht="12.65" customHeight="1" x14ac:dyDescent="0.35">
      <c r="A223" s="173" t="s">
        <v>344</v>
      </c>
      <c r="B223" s="172" t="s">
        <v>256</v>
      </c>
      <c r="C223" s="189">
        <f>9072+76103+29291+92413-161171+169000+4551182-432826-2581102-16694+151317</f>
        <v>1886585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f>169712+238447+53863+114097+211548.18-50966+1539567</f>
        <v>2276268.1799999997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f>6224564-4162853-134613</f>
        <v>1927098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6089951.1799999997</v>
      </c>
      <c r="E229" s="175"/>
    </row>
    <row r="230" spans="1:5" ht="12.65" customHeight="1" x14ac:dyDescent="0.35">
      <c r="A230" s="254" t="s">
        <v>351</v>
      </c>
      <c r="B230" s="254"/>
      <c r="C230" s="254"/>
      <c r="D230" s="254"/>
      <c r="E230" s="254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f>120392.98+22.07+1079.29+10983.45+2135.36</f>
        <v>134613.15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134613.15</v>
      </c>
      <c r="E236" s="175"/>
    </row>
    <row r="237" spans="1:5" ht="12.65" customHeight="1" x14ac:dyDescent="0.35">
      <c r="A237" s="254" t="s">
        <v>356</v>
      </c>
      <c r="B237" s="254"/>
      <c r="C237" s="254"/>
      <c r="D237" s="254"/>
      <c r="E237" s="254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6873545.3300000001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4" t="s">
        <v>361</v>
      </c>
      <c r="B249" s="254"/>
      <c r="C249" s="254"/>
      <c r="D249" s="254"/>
      <c r="E249" s="254"/>
    </row>
    <row r="250" spans="1:5" ht="12.65" customHeight="1" x14ac:dyDescent="0.35">
      <c r="A250" s="173" t="s">
        <v>362</v>
      </c>
      <c r="B250" s="172" t="s">
        <v>256</v>
      </c>
      <c r="C250" s="189">
        <v>5694955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f>2626483-C253</f>
        <v>2626483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0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886782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f>14415+104985</f>
        <v>119400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621909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83441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10032970</v>
      </c>
      <c r="E260" s="175"/>
    </row>
    <row r="261" spans="1:5" ht="11.25" customHeight="1" x14ac:dyDescent="0.35">
      <c r="A261" s="254" t="s">
        <v>372</v>
      </c>
      <c r="B261" s="254"/>
      <c r="C261" s="254"/>
      <c r="D261" s="254"/>
      <c r="E261" s="254"/>
    </row>
    <row r="262" spans="1:5" ht="12.65" customHeight="1" x14ac:dyDescent="0.35">
      <c r="A262" s="173" t="s">
        <v>362</v>
      </c>
      <c r="B262" s="172" t="s">
        <v>256</v>
      </c>
      <c r="C262" s="189">
        <v>14879480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14879480</v>
      </c>
      <c r="E265" s="175"/>
    </row>
    <row r="266" spans="1:5" ht="11.25" customHeight="1" x14ac:dyDescent="0.35">
      <c r="A266" s="254" t="s">
        <v>375</v>
      </c>
      <c r="B266" s="254"/>
      <c r="C266" s="254"/>
      <c r="D266" s="254"/>
      <c r="E266" s="254"/>
    </row>
    <row r="267" spans="1:5" ht="12.65" customHeight="1" x14ac:dyDescent="0.35">
      <c r="A267" s="173" t="s">
        <v>332</v>
      </c>
      <c r="B267" s="172" t="s">
        <v>256</v>
      </c>
      <c r="C267" s="189">
        <f>331080+461550</f>
        <v>792630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324429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4874853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5223676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7178472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4624913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23018973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14912580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8106393</v>
      </c>
      <c r="E277" s="175"/>
    </row>
    <row r="278" spans="1:5" ht="12.65" customHeight="1" x14ac:dyDescent="0.35">
      <c r="A278" s="254" t="s">
        <v>382</v>
      </c>
      <c r="B278" s="254"/>
      <c r="C278" s="254"/>
      <c r="D278" s="254"/>
      <c r="E278" s="254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1012046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1012046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4" t="s">
        <v>387</v>
      </c>
      <c r="B285" s="254"/>
      <c r="C285" s="254"/>
      <c r="D285" s="254"/>
      <c r="E285" s="254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34030889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4" t="s">
        <v>395</v>
      </c>
      <c r="B303" s="254"/>
      <c r="C303" s="254"/>
      <c r="D303" s="254"/>
      <c r="E303" s="254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1148520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1800812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16081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4959991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1013951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8939355</v>
      </c>
      <c r="E314" s="175"/>
    </row>
    <row r="315" spans="1:5" ht="12.65" customHeight="1" x14ac:dyDescent="0.35">
      <c r="A315" s="254" t="s">
        <v>406</v>
      </c>
      <c r="B315" s="254"/>
      <c r="C315" s="254"/>
      <c r="D315" s="254"/>
      <c r="E315" s="254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1309421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1309421</v>
      </c>
      <c r="E319" s="175"/>
    </row>
    <row r="320" spans="1:5" ht="12.65" customHeight="1" x14ac:dyDescent="0.35">
      <c r="A320" s="254" t="s">
        <v>411</v>
      </c>
      <c r="B320" s="254"/>
      <c r="C320" s="254"/>
      <c r="D320" s="254"/>
      <c r="E320" s="254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f>9342389+1013951</f>
        <v>10356340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3204751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13561091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1013951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12547140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28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11239024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34034940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34030889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4" t="s">
        <v>427</v>
      </c>
      <c r="B358" s="254"/>
      <c r="C358" s="254"/>
      <c r="D358" s="254"/>
      <c r="E358" s="254"/>
    </row>
    <row r="359" spans="1:5" ht="12.65" customHeight="1" x14ac:dyDescent="0.35">
      <c r="A359" s="173" t="s">
        <v>428</v>
      </c>
      <c r="B359" s="172" t="s">
        <v>256</v>
      </c>
      <c r="C359" s="189">
        <v>7193166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19995616+4993576</f>
        <v>24989192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32182358</v>
      </c>
      <c r="E361" s="175"/>
    </row>
    <row r="362" spans="1:5" ht="12.65" customHeight="1" x14ac:dyDescent="0.35">
      <c r="A362" s="254" t="s">
        <v>431</v>
      </c>
      <c r="B362" s="254"/>
      <c r="C362" s="254"/>
      <c r="D362" s="254"/>
      <c r="E362" s="254"/>
    </row>
    <row r="363" spans="1:5" ht="12.65" customHeight="1" x14ac:dyDescent="0.35">
      <c r="A363" s="173" t="s">
        <v>1254</v>
      </c>
      <c r="B363" s="254"/>
      <c r="C363" s="189">
        <v>648981</v>
      </c>
      <c r="D363" s="175"/>
      <c r="E363" s="254"/>
    </row>
    <row r="364" spans="1:5" ht="12.65" customHeight="1" x14ac:dyDescent="0.35">
      <c r="A364" s="173" t="s">
        <v>432</v>
      </c>
      <c r="B364" s="172" t="s">
        <v>256</v>
      </c>
      <c r="C364" s="189">
        <f>6224564-134613</f>
        <v>6089951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134613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6873545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25308813</v>
      </c>
      <c r="E368" s="175"/>
    </row>
    <row r="369" spans="1:5" ht="12.65" customHeight="1" x14ac:dyDescent="0.35">
      <c r="A369" s="254" t="s">
        <v>436</v>
      </c>
      <c r="B369" s="254"/>
      <c r="C369" s="254"/>
      <c r="D369" s="254"/>
      <c r="E369" s="254"/>
    </row>
    <row r="370" spans="1:5" ht="12.65" customHeight="1" x14ac:dyDescent="0.35">
      <c r="A370" s="173" t="s">
        <v>437</v>
      </c>
      <c r="B370" s="172" t="s">
        <v>256</v>
      </c>
      <c r="C370" s="189">
        <f>121427+428466</f>
        <v>549893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693208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1243101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26551914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4" t="s">
        <v>441</v>
      </c>
      <c r="B377" s="254"/>
      <c r="C377" s="254"/>
      <c r="D377" s="254"/>
      <c r="E377" s="254"/>
    </row>
    <row r="378" spans="1:5" ht="12.65" customHeight="1" x14ac:dyDescent="0.35">
      <c r="A378" s="173" t="s">
        <v>442</v>
      </c>
      <c r="B378" s="172" t="s">
        <v>256</v>
      </c>
      <c r="C378" s="189">
        <v>14745838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3742633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996381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2471522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443922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2551493-125655</f>
        <v>2425838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458502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259663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198227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125655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112205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359589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26339975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211939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83136+65159+40000</f>
        <v>188295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400234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400234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7"/>
    </row>
    <row r="412" spans="1:5" ht="12.65" customHeight="1" x14ac:dyDescent="0.35">
      <c r="A412" s="179" t="str">
        <f>C84&amp;"   "&amp;"H-"&amp;FIXED(C83,0,TRUE)&amp;"     FYE "&amp;C82</f>
        <v>LINCOLN COUNTY HOSPITAL DISTRICT # 3   H-0     FYE 12/31/2020</v>
      </c>
      <c r="B412" s="179"/>
      <c r="C412" s="179"/>
      <c r="D412" s="179"/>
      <c r="E412" s="257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301</v>
      </c>
      <c r="C414" s="194">
        <f>E138</f>
        <v>301</v>
      </c>
      <c r="D414" s="179"/>
    </row>
    <row r="415" spans="1:5" ht="12.65" customHeight="1" x14ac:dyDescent="0.35">
      <c r="A415" s="179" t="s">
        <v>464</v>
      </c>
      <c r="B415" s="179">
        <f>D111</f>
        <v>1110</v>
      </c>
      <c r="C415" s="179">
        <f>E139</f>
        <v>1110</v>
      </c>
      <c r="D415" s="194">
        <f>SUM(C59:H59)+N59</f>
        <v>1110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117</v>
      </c>
      <c r="C417" s="194">
        <f>E144</f>
        <v>117</v>
      </c>
      <c r="D417" s="179"/>
    </row>
    <row r="418" spans="1:7" ht="12.65" customHeight="1" x14ac:dyDescent="0.35">
      <c r="A418" s="179" t="s">
        <v>466</v>
      </c>
      <c r="B418" s="179">
        <f>D112</f>
        <v>4421</v>
      </c>
      <c r="C418" s="179">
        <f>E145</f>
        <v>4421</v>
      </c>
      <c r="D418" s="179">
        <f>K59+L59</f>
        <v>4421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14745838</v>
      </c>
      <c r="C427" s="179">
        <f t="shared" ref="C427:C434" si="13">CE61</f>
        <v>14745838.430000002</v>
      </c>
      <c r="D427" s="179"/>
    </row>
    <row r="428" spans="1:7" ht="12.65" customHeight="1" x14ac:dyDescent="0.35">
      <c r="A428" s="179" t="s">
        <v>3</v>
      </c>
      <c r="B428" s="179">
        <f t="shared" si="12"/>
        <v>3742633</v>
      </c>
      <c r="C428" s="179">
        <f t="shared" si="13"/>
        <v>3742632</v>
      </c>
      <c r="D428" s="179">
        <f>D173</f>
        <v>3742632.83</v>
      </c>
    </row>
    <row r="429" spans="1:7" ht="12.65" customHeight="1" x14ac:dyDescent="0.35">
      <c r="A429" s="179" t="s">
        <v>236</v>
      </c>
      <c r="B429" s="179">
        <f t="shared" si="12"/>
        <v>996381</v>
      </c>
      <c r="C429" s="179">
        <f t="shared" si="13"/>
        <v>996380.8</v>
      </c>
      <c r="D429" s="179"/>
    </row>
    <row r="430" spans="1:7" ht="12.65" customHeight="1" x14ac:dyDescent="0.35">
      <c r="A430" s="179" t="s">
        <v>237</v>
      </c>
      <c r="B430" s="179">
        <f t="shared" si="12"/>
        <v>2471522</v>
      </c>
      <c r="C430" s="179">
        <f t="shared" si="13"/>
        <v>2471521.81</v>
      </c>
      <c r="D430" s="179"/>
    </row>
    <row r="431" spans="1:7" ht="12.65" customHeight="1" x14ac:dyDescent="0.35">
      <c r="A431" s="179" t="s">
        <v>444</v>
      </c>
      <c r="B431" s="179">
        <f t="shared" si="12"/>
        <v>443922</v>
      </c>
      <c r="C431" s="179">
        <f t="shared" si="13"/>
        <v>443922.23</v>
      </c>
      <c r="D431" s="179"/>
    </row>
    <row r="432" spans="1:7" ht="12.65" customHeight="1" x14ac:dyDescent="0.35">
      <c r="A432" s="179" t="s">
        <v>445</v>
      </c>
      <c r="B432" s="179">
        <f t="shared" si="12"/>
        <v>2425838</v>
      </c>
      <c r="C432" s="179">
        <f t="shared" si="13"/>
        <v>2425837.91</v>
      </c>
      <c r="D432" s="179"/>
    </row>
    <row r="433" spans="1:7" ht="12.65" customHeight="1" x14ac:dyDescent="0.35">
      <c r="A433" s="179" t="s">
        <v>6</v>
      </c>
      <c r="B433" s="179">
        <f t="shared" si="12"/>
        <v>458502</v>
      </c>
      <c r="C433" s="179">
        <f t="shared" si="13"/>
        <v>458502</v>
      </c>
      <c r="D433" s="179">
        <f>C217</f>
        <v>458502</v>
      </c>
    </row>
    <row r="434" spans="1:7" ht="12.65" customHeight="1" x14ac:dyDescent="0.35">
      <c r="A434" s="179" t="s">
        <v>474</v>
      </c>
      <c r="B434" s="179">
        <f t="shared" si="12"/>
        <v>259663</v>
      </c>
      <c r="C434" s="179">
        <f t="shared" si="13"/>
        <v>259663.2</v>
      </c>
      <c r="D434" s="179">
        <f>D177</f>
        <v>259663</v>
      </c>
    </row>
    <row r="435" spans="1:7" ht="12.65" customHeight="1" x14ac:dyDescent="0.35">
      <c r="A435" s="179" t="s">
        <v>447</v>
      </c>
      <c r="B435" s="179">
        <f t="shared" si="12"/>
        <v>198227</v>
      </c>
      <c r="C435" s="179"/>
      <c r="D435" s="179">
        <f>D181</f>
        <v>198227</v>
      </c>
    </row>
    <row r="436" spans="1:7" ht="12.65" customHeight="1" x14ac:dyDescent="0.35">
      <c r="A436" s="179" t="s">
        <v>475</v>
      </c>
      <c r="B436" s="179">
        <f t="shared" si="12"/>
        <v>125655</v>
      </c>
      <c r="C436" s="179"/>
      <c r="D436" s="179">
        <f>D186</f>
        <v>125655</v>
      </c>
    </row>
    <row r="437" spans="1:7" ht="12.65" customHeight="1" x14ac:dyDescent="0.35">
      <c r="A437" s="194" t="s">
        <v>449</v>
      </c>
      <c r="B437" s="194">
        <f t="shared" si="12"/>
        <v>112205</v>
      </c>
      <c r="C437" s="194"/>
      <c r="D437" s="194">
        <f>D190</f>
        <v>112205</v>
      </c>
    </row>
    <row r="438" spans="1:7" ht="12.65" customHeight="1" x14ac:dyDescent="0.35">
      <c r="A438" s="194" t="s">
        <v>476</v>
      </c>
      <c r="B438" s="194">
        <f>C386+C387+C388</f>
        <v>436087</v>
      </c>
      <c r="C438" s="194">
        <f>CD69</f>
        <v>310432</v>
      </c>
      <c r="D438" s="194">
        <f>D181+D186+D190</f>
        <v>436087</v>
      </c>
    </row>
    <row r="439" spans="1:7" ht="12.65" customHeight="1" x14ac:dyDescent="0.35">
      <c r="A439" s="179" t="s">
        <v>451</v>
      </c>
      <c r="B439" s="194">
        <f>C389</f>
        <v>359589</v>
      </c>
      <c r="C439" s="194">
        <f>SUM(C69:CC69)</f>
        <v>359588.66000000003</v>
      </c>
      <c r="D439" s="179"/>
    </row>
    <row r="440" spans="1:7" ht="12.65" customHeight="1" x14ac:dyDescent="0.35">
      <c r="A440" s="179" t="s">
        <v>477</v>
      </c>
      <c r="B440" s="194">
        <f>B438+B439</f>
        <v>795676</v>
      </c>
      <c r="C440" s="194">
        <f>CE69</f>
        <v>670020.66</v>
      </c>
      <c r="D440" s="179"/>
    </row>
    <row r="441" spans="1:7" ht="12.65" customHeight="1" x14ac:dyDescent="0.35">
      <c r="A441" s="179" t="s">
        <v>478</v>
      </c>
      <c r="B441" s="179">
        <f>D390</f>
        <v>26339975</v>
      </c>
      <c r="C441" s="179">
        <f>SUM(C427:C437)+C440</f>
        <v>26214319.039999999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648981</v>
      </c>
      <c r="C444" s="179">
        <f>C363</f>
        <v>648981</v>
      </c>
      <c r="D444" s="179"/>
    </row>
    <row r="445" spans="1:7" ht="12.65" customHeight="1" x14ac:dyDescent="0.35">
      <c r="A445" s="179" t="s">
        <v>343</v>
      </c>
      <c r="B445" s="179">
        <f>D229</f>
        <v>6089951.1799999997</v>
      </c>
      <c r="C445" s="179">
        <f>C364</f>
        <v>6089951</v>
      </c>
      <c r="D445" s="179"/>
    </row>
    <row r="446" spans="1:7" ht="12.65" customHeight="1" x14ac:dyDescent="0.35">
      <c r="A446" s="179" t="s">
        <v>351</v>
      </c>
      <c r="B446" s="179">
        <f>D236</f>
        <v>134613.15</v>
      </c>
      <c r="C446" s="179">
        <f>C365</f>
        <v>134613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6873545.3300000001</v>
      </c>
      <c r="C448" s="179">
        <f>D367</f>
        <v>6873545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134613.15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549893</v>
      </c>
      <c r="C458" s="194">
        <f>CE70</f>
        <v>549893</v>
      </c>
      <c r="D458" s="194"/>
    </row>
    <row r="459" spans="1:7" ht="12.65" customHeight="1" x14ac:dyDescent="0.35">
      <c r="A459" s="179" t="s">
        <v>244</v>
      </c>
      <c r="B459" s="194">
        <f>C371</f>
        <v>693208</v>
      </c>
      <c r="C459" s="194">
        <f>CE72</f>
        <v>693208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7193166</v>
      </c>
      <c r="C463" s="194">
        <f>CE73</f>
        <v>7193165.6500000004</v>
      </c>
      <c r="D463" s="194">
        <f>E141+E147+E153</f>
        <v>7193166</v>
      </c>
    </row>
    <row r="464" spans="1:7" ht="12.65" customHeight="1" x14ac:dyDescent="0.35">
      <c r="A464" s="179" t="s">
        <v>246</v>
      </c>
      <c r="B464" s="194">
        <f>C360</f>
        <v>24989192</v>
      </c>
      <c r="C464" s="194">
        <f>CE74</f>
        <v>24989192.340000004</v>
      </c>
      <c r="D464" s="194">
        <f>E142+E148+E154</f>
        <v>24989192</v>
      </c>
    </row>
    <row r="465" spans="1:7" ht="12.65" customHeight="1" x14ac:dyDescent="0.35">
      <c r="A465" s="179" t="s">
        <v>247</v>
      </c>
      <c r="B465" s="194">
        <f>D361</f>
        <v>32182358</v>
      </c>
      <c r="C465" s="194">
        <f>CE75</f>
        <v>32182357.990000002</v>
      </c>
      <c r="D465" s="194">
        <f>D463+D464</f>
        <v>32182358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792630</v>
      </c>
      <c r="C468" s="179">
        <f>E195</f>
        <v>792630</v>
      </c>
      <c r="D468" s="179"/>
    </row>
    <row r="469" spans="1:7" ht="12.65" customHeight="1" x14ac:dyDescent="0.35">
      <c r="A469" s="179" t="s">
        <v>333</v>
      </c>
      <c r="B469" s="179">
        <f t="shared" si="14"/>
        <v>324429</v>
      </c>
      <c r="C469" s="179">
        <f>E196</f>
        <v>324429</v>
      </c>
      <c r="D469" s="179"/>
    </row>
    <row r="470" spans="1:7" ht="12.65" customHeight="1" x14ac:dyDescent="0.35">
      <c r="A470" s="179" t="s">
        <v>334</v>
      </c>
      <c r="B470" s="179">
        <f t="shared" si="14"/>
        <v>4874853</v>
      </c>
      <c r="C470" s="179">
        <f>E197</f>
        <v>4874853</v>
      </c>
      <c r="D470" s="179"/>
    </row>
    <row r="471" spans="1:7" ht="12.65" customHeight="1" x14ac:dyDescent="0.35">
      <c r="A471" s="179" t="s">
        <v>494</v>
      </c>
      <c r="B471" s="179">
        <f t="shared" si="14"/>
        <v>5223676</v>
      </c>
      <c r="C471" s="179">
        <f>E198</f>
        <v>5223676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7178472</v>
      </c>
      <c r="C473" s="179">
        <f>SUM(E200:E201)</f>
        <v>7178472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4624913</v>
      </c>
      <c r="C475" s="179">
        <f>E203</f>
        <v>4624913</v>
      </c>
      <c r="D475" s="179"/>
    </row>
    <row r="476" spans="1:7" ht="12.65" customHeight="1" x14ac:dyDescent="0.35">
      <c r="A476" s="179" t="s">
        <v>203</v>
      </c>
      <c r="B476" s="179">
        <f>D275</f>
        <v>23018973</v>
      </c>
      <c r="C476" s="179">
        <f>E204</f>
        <v>23018973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14912580</v>
      </c>
      <c r="C478" s="179">
        <f>E217</f>
        <v>14912580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34030889</v>
      </c>
    </row>
    <row r="482" spans="1:12" ht="12.65" customHeight="1" x14ac:dyDescent="0.35">
      <c r="A482" s="180" t="s">
        <v>499</v>
      </c>
      <c r="C482" s="180">
        <f>D339</f>
        <v>34034940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137</v>
      </c>
      <c r="B493" s="258" t="str">
        <f>RIGHT('Prior Year'!C82,4)</f>
        <v>2019</v>
      </c>
      <c r="C493" s="258" t="str">
        <f>RIGHT(C82,4)</f>
        <v>2020</v>
      </c>
      <c r="D493" s="258" t="str">
        <f>RIGHT('Prior Year'!C82,4)</f>
        <v>2019</v>
      </c>
      <c r="E493" s="258" t="str">
        <f>RIGHT(C82,4)</f>
        <v>2020</v>
      </c>
      <c r="F493" s="258" t="str">
        <f>RIGHT('Prior Year'!C82,4)</f>
        <v>2019</v>
      </c>
      <c r="G493" s="258" t="str">
        <f>RIGHT(C82,4)</f>
        <v>2020</v>
      </c>
      <c r="H493" s="258"/>
      <c r="K493" s="258"/>
      <c r="L493" s="258"/>
    </row>
    <row r="494" spans="1:12" ht="12.65" customHeight="1" x14ac:dyDescent="0.3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5" customHeight="1" x14ac:dyDescent="0.35">
      <c r="A496" s="180" t="s">
        <v>512</v>
      </c>
      <c r="B496" s="237">
        <f>'Prior Year'!C71</f>
        <v>0</v>
      </c>
      <c r="C496" s="237">
        <f>C71</f>
        <v>0</v>
      </c>
      <c r="D496" s="237">
        <f>'Prior Year'!C59</f>
        <v>0</v>
      </c>
      <c r="E496" s="180">
        <f>C59</f>
        <v>0</v>
      </c>
      <c r="F496" s="260" t="str">
        <f t="shared" ref="F496:G511" si="15">IF(B496=0,"",IF(D496=0,"",B496/D496))</f>
        <v/>
      </c>
      <c r="G496" s="261" t="str">
        <f t="shared" si="15"/>
        <v/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5" customHeight="1" x14ac:dyDescent="0.3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5" customHeight="1" x14ac:dyDescent="0.35">
      <c r="A498" s="180" t="s">
        <v>514</v>
      </c>
      <c r="B498" s="237">
        <f>'Prior Year'!E71</f>
        <v>2865912</v>
      </c>
      <c r="C498" s="237">
        <f>E71</f>
        <v>2364198</v>
      </c>
      <c r="D498" s="237">
        <f>'Prior Year'!E59</f>
        <v>1201</v>
      </c>
      <c r="E498" s="180">
        <f>E59</f>
        <v>1110</v>
      </c>
      <c r="F498" s="260">
        <f t="shared" si="15"/>
        <v>2386.2714404662779</v>
      </c>
      <c r="G498" s="260">
        <f t="shared" si="15"/>
        <v>2129.9081081081081</v>
      </c>
      <c r="H498" s="262" t="str">
        <f t="shared" si="16"/>
        <v/>
      </c>
      <c r="I498" s="264"/>
      <c r="K498" s="258"/>
      <c r="L498" s="258"/>
    </row>
    <row r="499" spans="1:12" ht="12.65" customHeight="1" x14ac:dyDescent="0.3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5" customHeight="1" x14ac:dyDescent="0.35">
      <c r="A500" s="180" t="s">
        <v>516</v>
      </c>
      <c r="B500" s="237">
        <f>'Prior Year'!G71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5" customHeight="1" x14ac:dyDescent="0.35">
      <c r="A501" s="180" t="s">
        <v>517</v>
      </c>
      <c r="B501" s="237">
        <f>'Prior Year'!H71</f>
        <v>0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5" customHeight="1" x14ac:dyDescent="0.3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5" customHeight="1" x14ac:dyDescent="0.35">
      <c r="A503" s="180" t="s">
        <v>519</v>
      </c>
      <c r="B503" s="237">
        <f>'Prior Year'!J71</f>
        <v>0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5" customHeight="1" x14ac:dyDescent="0.3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5" customHeight="1" x14ac:dyDescent="0.35">
      <c r="A505" s="180" t="s">
        <v>521</v>
      </c>
      <c r="B505" s="237">
        <f>'Prior Year'!L71</f>
        <v>1831694</v>
      </c>
      <c r="C505" s="237">
        <f>L71</f>
        <v>1701789</v>
      </c>
      <c r="D505" s="237">
        <f>'Prior Year'!L59</f>
        <v>4542</v>
      </c>
      <c r="E505" s="180">
        <f>L59</f>
        <v>4421</v>
      </c>
      <c r="F505" s="260">
        <f t="shared" si="15"/>
        <v>403.27917217084985</v>
      </c>
      <c r="G505" s="260">
        <f t="shared" si="15"/>
        <v>384.93304682198595</v>
      </c>
      <c r="H505" s="262" t="str">
        <f t="shared" si="16"/>
        <v/>
      </c>
      <c r="I505" s="264"/>
      <c r="K505" s="258"/>
      <c r="L505" s="258"/>
    </row>
    <row r="506" spans="1:12" ht="12.65" customHeight="1" x14ac:dyDescent="0.3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5" customHeight="1" x14ac:dyDescent="0.35">
      <c r="A507" s="180" t="s">
        <v>523</v>
      </c>
      <c r="B507" s="237">
        <f>'Prior Year'!N71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5" customHeight="1" x14ac:dyDescent="0.35">
      <c r="A508" s="180" t="s">
        <v>524</v>
      </c>
      <c r="B508" s="237">
        <f>'Prior Year'!O71</f>
        <v>0</v>
      </c>
      <c r="C508" s="237">
        <f>O71</f>
        <v>0</v>
      </c>
      <c r="D508" s="237">
        <f>'Prior Year'!O59</f>
        <v>0</v>
      </c>
      <c r="E508" s="180">
        <f>O59</f>
        <v>0</v>
      </c>
      <c r="F508" s="260" t="str">
        <f t="shared" si="15"/>
        <v/>
      </c>
      <c r="G508" s="260" t="str">
        <f t="shared" si="15"/>
        <v/>
      </c>
      <c r="H508" s="262" t="str">
        <f t="shared" si="16"/>
        <v/>
      </c>
      <c r="I508" s="264"/>
      <c r="K508" s="258"/>
      <c r="L508" s="258"/>
    </row>
    <row r="509" spans="1:12" ht="12.65" customHeight="1" x14ac:dyDescent="0.35">
      <c r="A509" s="180" t="s">
        <v>525</v>
      </c>
      <c r="B509" s="237">
        <f>'Prior Year'!P71</f>
        <v>679541</v>
      </c>
      <c r="C509" s="237">
        <f>P71</f>
        <v>745276</v>
      </c>
      <c r="D509" s="237">
        <f>'Prior Year'!P59</f>
        <v>19488</v>
      </c>
      <c r="E509" s="180">
        <f>P59</f>
        <v>0</v>
      </c>
      <c r="F509" s="260">
        <f t="shared" si="15"/>
        <v>34.869714696223319</v>
      </c>
      <c r="G509" s="260" t="str">
        <f t="shared" si="15"/>
        <v/>
      </c>
      <c r="H509" s="262" t="str">
        <f t="shared" si="16"/>
        <v/>
      </c>
      <c r="I509" s="264"/>
      <c r="K509" s="258"/>
      <c r="L509" s="258"/>
    </row>
    <row r="510" spans="1:12" ht="12.65" customHeight="1" x14ac:dyDescent="0.35">
      <c r="A510" s="180" t="s">
        <v>526</v>
      </c>
      <c r="B510" s="237">
        <f>'Prior Year'!Q71</f>
        <v>269211</v>
      </c>
      <c r="C510" s="237">
        <f>Q71</f>
        <v>318639</v>
      </c>
      <c r="D510" s="237">
        <f>'Prior Year'!Q59</f>
        <v>25905</v>
      </c>
      <c r="E510" s="180">
        <f>Q59</f>
        <v>0</v>
      </c>
      <c r="F510" s="260">
        <f t="shared" si="15"/>
        <v>10.392240880138969</v>
      </c>
      <c r="G510" s="260" t="str">
        <f t="shared" si="15"/>
        <v/>
      </c>
      <c r="H510" s="262" t="str">
        <f t="shared" si="16"/>
        <v/>
      </c>
      <c r="I510" s="264"/>
      <c r="K510" s="258"/>
      <c r="L510" s="258"/>
    </row>
    <row r="511" spans="1:12" ht="12.65" customHeight="1" x14ac:dyDescent="0.35">
      <c r="A511" s="180" t="s">
        <v>527</v>
      </c>
      <c r="B511" s="237">
        <f>'Prior Year'!R71</f>
        <v>989014</v>
      </c>
      <c r="C511" s="237">
        <f>R71</f>
        <v>974100.96999999986</v>
      </c>
      <c r="D511" s="237">
        <f>'Prior Year'!R59</f>
        <v>38660</v>
      </c>
      <c r="E511" s="180">
        <f>R59</f>
        <v>0</v>
      </c>
      <c r="F511" s="260">
        <f t="shared" si="15"/>
        <v>25.582359027418519</v>
      </c>
      <c r="G511" s="260" t="str">
        <f t="shared" si="15"/>
        <v/>
      </c>
      <c r="H511" s="262" t="str">
        <f t="shared" si="16"/>
        <v/>
      </c>
      <c r="I511" s="264"/>
      <c r="K511" s="258"/>
      <c r="L511" s="258"/>
    </row>
    <row r="512" spans="1:12" ht="12.65" customHeight="1" x14ac:dyDescent="0.35">
      <c r="A512" s="180" t="s">
        <v>528</v>
      </c>
      <c r="B512" s="237">
        <f>'Prior Year'!S71</f>
        <v>147659</v>
      </c>
      <c r="C512" s="237">
        <f>S71</f>
        <v>248077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5" customHeight="1" x14ac:dyDescent="0.35">
      <c r="A513" s="180" t="s">
        <v>1245</v>
      </c>
      <c r="B513" s="237">
        <f>'Prior Year'!T71</f>
        <v>0</v>
      </c>
      <c r="C513" s="237">
        <f>T71</f>
        <v>0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5" customHeight="1" x14ac:dyDescent="0.35">
      <c r="A514" s="180" t="s">
        <v>530</v>
      </c>
      <c r="B514" s="237">
        <f>'Prior Year'!U71</f>
        <v>1062013</v>
      </c>
      <c r="C514" s="237">
        <f>U71</f>
        <v>1324284</v>
      </c>
      <c r="D514" s="237">
        <f>'Prior Year'!U59</f>
        <v>53660</v>
      </c>
      <c r="E514" s="180">
        <f>U59</f>
        <v>0</v>
      </c>
      <c r="F514" s="260">
        <f t="shared" si="17"/>
        <v>19.79152068579948</v>
      </c>
      <c r="G514" s="260" t="str">
        <f t="shared" si="17"/>
        <v/>
      </c>
      <c r="H514" s="262" t="str">
        <f t="shared" si="16"/>
        <v/>
      </c>
      <c r="I514" s="264"/>
      <c r="K514" s="258"/>
      <c r="L514" s="258"/>
    </row>
    <row r="515" spans="1:12" ht="12.65" customHeight="1" x14ac:dyDescent="0.35">
      <c r="A515" s="180" t="s">
        <v>531</v>
      </c>
      <c r="B515" s="237">
        <f>'Prior Year'!V71</f>
        <v>127</v>
      </c>
      <c r="C515" s="237">
        <f>V71</f>
        <v>249916.79999999999</v>
      </c>
      <c r="D515" s="237">
        <f>'Prior Year'!V59</f>
        <v>313</v>
      </c>
      <c r="E515" s="180">
        <f>V59</f>
        <v>0</v>
      </c>
      <c r="F515" s="260">
        <f t="shared" si="17"/>
        <v>0.40575079872204473</v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5" customHeight="1" x14ac:dyDescent="0.35">
      <c r="A516" s="180" t="s">
        <v>532</v>
      </c>
      <c r="B516" s="237">
        <f>'Prior Year'!W71</f>
        <v>153400</v>
      </c>
      <c r="C516" s="237">
        <f>W71</f>
        <v>0</v>
      </c>
      <c r="D516" s="237">
        <f>'Prior Year'!W59</f>
        <v>399</v>
      </c>
      <c r="E516" s="180">
        <f>W59</f>
        <v>0</v>
      </c>
      <c r="F516" s="260">
        <f t="shared" si="17"/>
        <v>384.46115288220551</v>
      </c>
      <c r="G516" s="260" t="str">
        <f t="shared" si="17"/>
        <v/>
      </c>
      <c r="H516" s="262" t="str">
        <f t="shared" si="16"/>
        <v/>
      </c>
      <c r="I516" s="264"/>
      <c r="K516" s="258"/>
      <c r="L516" s="258"/>
    </row>
    <row r="517" spans="1:12" ht="12.65" customHeight="1" x14ac:dyDescent="0.35">
      <c r="A517" s="180" t="s">
        <v>533</v>
      </c>
      <c r="B517" s="237">
        <f>'Prior Year'!X71</f>
        <v>272243</v>
      </c>
      <c r="C517" s="237">
        <f>X71</f>
        <v>169682</v>
      </c>
      <c r="D517" s="237">
        <f>'Prior Year'!X59</f>
        <v>1493</v>
      </c>
      <c r="E517" s="180">
        <f>X59</f>
        <v>0</v>
      </c>
      <c r="F517" s="260">
        <f t="shared" si="17"/>
        <v>182.34628265237777</v>
      </c>
      <c r="G517" s="260" t="str">
        <f t="shared" si="17"/>
        <v/>
      </c>
      <c r="H517" s="262" t="str">
        <f t="shared" si="16"/>
        <v/>
      </c>
      <c r="I517" s="264"/>
      <c r="K517" s="258"/>
      <c r="L517" s="258"/>
    </row>
    <row r="518" spans="1:12" ht="12.65" customHeight="1" x14ac:dyDescent="0.35">
      <c r="A518" s="180" t="s">
        <v>534</v>
      </c>
      <c r="B518" s="237">
        <f>'Prior Year'!Y71</f>
        <v>802959</v>
      </c>
      <c r="C518" s="237">
        <f>Y71</f>
        <v>995851</v>
      </c>
      <c r="D518" s="237">
        <f>'Prior Year'!Y59</f>
        <v>7136</v>
      </c>
      <c r="E518" s="180">
        <f>Y59</f>
        <v>0</v>
      </c>
      <c r="F518" s="260">
        <f t="shared" si="17"/>
        <v>112.52228139013452</v>
      </c>
      <c r="G518" s="260" t="str">
        <f t="shared" si="17"/>
        <v/>
      </c>
      <c r="H518" s="262" t="str">
        <f t="shared" si="16"/>
        <v/>
      </c>
      <c r="I518" s="264"/>
      <c r="K518" s="258"/>
      <c r="L518" s="258"/>
    </row>
    <row r="519" spans="1:12" ht="12.65" customHeight="1" x14ac:dyDescent="0.35">
      <c r="A519" s="180" t="s">
        <v>535</v>
      </c>
      <c r="B519" s="237">
        <f>'Prior Year'!Z71</f>
        <v>0</v>
      </c>
      <c r="C519" s="237">
        <f>Z71</f>
        <v>0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5" customHeight="1" x14ac:dyDescent="0.35">
      <c r="A520" s="180" t="s">
        <v>536</v>
      </c>
      <c r="B520" s="237">
        <f>'Prior Year'!AA71</f>
        <v>0</v>
      </c>
      <c r="C520" s="237">
        <f>AA71</f>
        <v>0</v>
      </c>
      <c r="D520" s="237">
        <f>'Prior Year'!AA59</f>
        <v>0</v>
      </c>
      <c r="E520" s="180">
        <f>AA59</f>
        <v>0</v>
      </c>
      <c r="F520" s="260" t="str">
        <f t="shared" si="17"/>
        <v/>
      </c>
      <c r="G520" s="260" t="str">
        <f t="shared" si="17"/>
        <v/>
      </c>
      <c r="H520" s="262" t="str">
        <f t="shared" si="16"/>
        <v/>
      </c>
      <c r="I520" s="264"/>
      <c r="K520" s="258"/>
      <c r="L520" s="258"/>
    </row>
    <row r="521" spans="1:12" ht="12.65" customHeight="1" x14ac:dyDescent="0.35">
      <c r="A521" s="180" t="s">
        <v>537</v>
      </c>
      <c r="B521" s="237">
        <f>'Prior Year'!AB71</f>
        <v>415667</v>
      </c>
      <c r="C521" s="237">
        <f>AB71</f>
        <v>941598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5" customHeight="1" x14ac:dyDescent="0.35">
      <c r="A522" s="180" t="s">
        <v>538</v>
      </c>
      <c r="B522" s="237">
        <f>'Prior Year'!AC71</f>
        <v>208665</v>
      </c>
      <c r="C522" s="237">
        <f>AC71</f>
        <v>218442</v>
      </c>
      <c r="D522" s="237">
        <f>'Prior Year'!AC59</f>
        <v>5743</v>
      </c>
      <c r="E522" s="180">
        <f>AC59</f>
        <v>0</v>
      </c>
      <c r="F522" s="260">
        <f t="shared" si="17"/>
        <v>36.333797666724706</v>
      </c>
      <c r="G522" s="260" t="str">
        <f t="shared" si="17"/>
        <v/>
      </c>
      <c r="H522" s="262" t="str">
        <f t="shared" si="16"/>
        <v/>
      </c>
      <c r="I522" s="264"/>
      <c r="K522" s="258"/>
      <c r="L522" s="258"/>
    </row>
    <row r="523" spans="1:12" ht="12.65" customHeight="1" x14ac:dyDescent="0.35">
      <c r="A523" s="180" t="s">
        <v>539</v>
      </c>
      <c r="B523" s="237">
        <f>'Prior Year'!AD71</f>
        <v>0</v>
      </c>
      <c r="C523" s="237">
        <f>AD71</f>
        <v>0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5" customHeight="1" x14ac:dyDescent="0.35">
      <c r="A524" s="180" t="s">
        <v>540</v>
      </c>
      <c r="B524" s="237">
        <f>'Prior Year'!AE71</f>
        <v>785187</v>
      </c>
      <c r="C524" s="237">
        <f>AE71</f>
        <v>749128</v>
      </c>
      <c r="D524" s="237">
        <f>'Prior Year'!AE59</f>
        <v>9400</v>
      </c>
      <c r="E524" s="180">
        <f>AE59</f>
        <v>0</v>
      </c>
      <c r="F524" s="260">
        <f t="shared" si="17"/>
        <v>83.530531914893615</v>
      </c>
      <c r="G524" s="260" t="str">
        <f t="shared" si="17"/>
        <v/>
      </c>
      <c r="H524" s="262" t="str">
        <f t="shared" si="16"/>
        <v/>
      </c>
      <c r="I524" s="264"/>
      <c r="K524" s="258"/>
      <c r="L524" s="258"/>
    </row>
    <row r="525" spans="1:12" ht="12.65" customHeight="1" x14ac:dyDescent="0.35">
      <c r="A525" s="180" t="s">
        <v>541</v>
      </c>
      <c r="B525" s="237">
        <f>'Prior Year'!AF71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5" customHeight="1" x14ac:dyDescent="0.35">
      <c r="A526" s="180" t="s">
        <v>542</v>
      </c>
      <c r="B526" s="237">
        <f>'Prior Year'!AG71</f>
        <v>1157359</v>
      </c>
      <c r="C526" s="237">
        <f>AG71</f>
        <v>832834</v>
      </c>
      <c r="D526" s="237">
        <f>'Prior Year'!AG59</f>
        <v>2792</v>
      </c>
      <c r="E526" s="180">
        <f>AG59</f>
        <v>0</v>
      </c>
      <c r="F526" s="260">
        <f t="shared" si="17"/>
        <v>414.52686246418341</v>
      </c>
      <c r="G526" s="260" t="str">
        <f t="shared" si="17"/>
        <v/>
      </c>
      <c r="H526" s="262" t="str">
        <f t="shared" si="16"/>
        <v/>
      </c>
      <c r="I526" s="264"/>
      <c r="K526" s="258"/>
      <c r="L526" s="258"/>
    </row>
    <row r="527" spans="1:12" ht="12.65" customHeight="1" x14ac:dyDescent="0.35">
      <c r="A527" s="180" t="s">
        <v>543</v>
      </c>
      <c r="B527" s="237">
        <f>'Prior Year'!AH71</f>
        <v>259803</v>
      </c>
      <c r="C527" s="237">
        <f>AH71</f>
        <v>242442</v>
      </c>
      <c r="D527" s="237">
        <f>'Prior Year'!AH59</f>
        <v>396</v>
      </c>
      <c r="E527" s="180">
        <f>AH59</f>
        <v>0</v>
      </c>
      <c r="F527" s="260">
        <f t="shared" si="17"/>
        <v>656.06818181818187</v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5" customHeight="1" x14ac:dyDescent="0.35">
      <c r="A528" s="180" t="s">
        <v>544</v>
      </c>
      <c r="B528" s="237">
        <f>'Prior Year'!AI71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5" customHeight="1" x14ac:dyDescent="0.35">
      <c r="A529" s="180" t="s">
        <v>545</v>
      </c>
      <c r="B529" s="237">
        <f>'Prior Year'!AJ71</f>
        <v>5789032</v>
      </c>
      <c r="C529" s="237">
        <f>AJ71</f>
        <v>5882990</v>
      </c>
      <c r="D529" s="237">
        <f>'Prior Year'!AJ59</f>
        <v>23755</v>
      </c>
      <c r="E529" s="180">
        <f>AJ59</f>
        <v>0</v>
      </c>
      <c r="F529" s="260">
        <f t="shared" si="18"/>
        <v>243.6974110713534</v>
      </c>
      <c r="G529" s="260" t="str">
        <f t="shared" si="18"/>
        <v/>
      </c>
      <c r="H529" s="262" t="str">
        <f t="shared" si="16"/>
        <v/>
      </c>
      <c r="I529" s="264"/>
      <c r="K529" s="258"/>
      <c r="L529" s="258"/>
    </row>
    <row r="530" spans="1:12" ht="12.65" customHeight="1" x14ac:dyDescent="0.35">
      <c r="A530" s="180" t="s">
        <v>546</v>
      </c>
      <c r="B530" s="237">
        <f>'Prior Year'!AK71</f>
        <v>78442</v>
      </c>
      <c r="C530" s="237">
        <f>AK71</f>
        <v>113935</v>
      </c>
      <c r="D530" s="237">
        <f>'Prior Year'!AK59</f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5" customHeight="1" x14ac:dyDescent="0.35">
      <c r="A531" s="180" t="s">
        <v>547</v>
      </c>
      <c r="B531" s="237">
        <f>'Prior Year'!AL71</f>
        <v>57662</v>
      </c>
      <c r="C531" s="237">
        <f>AL71</f>
        <v>72611</v>
      </c>
      <c r="D531" s="237">
        <f>'Prior Year'!AL59</f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5" customHeight="1" x14ac:dyDescent="0.35">
      <c r="A532" s="180" t="s">
        <v>548</v>
      </c>
      <c r="B532" s="237">
        <f>'Prior Year'!AM71</f>
        <v>39909</v>
      </c>
      <c r="C532" s="237">
        <f>AM71</f>
        <v>55356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5" customHeight="1" x14ac:dyDescent="0.35">
      <c r="A533" s="180" t="s">
        <v>1246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5" customHeight="1" x14ac:dyDescent="0.3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5" customHeight="1" x14ac:dyDescent="0.3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5" customHeight="1" x14ac:dyDescent="0.3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5" customHeight="1" x14ac:dyDescent="0.35">
      <c r="A537" s="180" t="s">
        <v>552</v>
      </c>
      <c r="B537" s="237">
        <f>'Prior Year'!AR71</f>
        <v>0</v>
      </c>
      <c r="C537" s="237">
        <f>AR71</f>
        <v>0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5" customHeight="1" x14ac:dyDescent="0.3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5" customHeight="1" x14ac:dyDescent="0.3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5" customHeight="1" x14ac:dyDescent="0.3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5" customHeight="1" x14ac:dyDescent="0.35">
      <c r="A541" s="180" t="s">
        <v>556</v>
      </c>
      <c r="B541" s="237">
        <f>'Prior Year'!AV71</f>
        <v>195304</v>
      </c>
      <c r="C541" s="237">
        <f>AV71</f>
        <v>0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5" customHeight="1" x14ac:dyDescent="0.35">
      <c r="A542" s="180" t="s">
        <v>1247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5" customHeight="1" x14ac:dyDescent="0.3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5" customHeight="1" x14ac:dyDescent="0.35">
      <c r="A544" s="180" t="s">
        <v>558</v>
      </c>
      <c r="B544" s="237">
        <f>'Prior Year'!AY71</f>
        <v>588607</v>
      </c>
      <c r="C544" s="237">
        <f>AY71</f>
        <v>768587</v>
      </c>
      <c r="D544" s="237">
        <f>'Prior Year'!AY59</f>
        <v>17045</v>
      </c>
      <c r="E544" s="180">
        <f>AY59</f>
        <v>0</v>
      </c>
      <c r="F544" s="260">
        <f t="shared" ref="F544:G550" si="19">IF(B544=0,"",IF(D544=0,"",B544/D544))</f>
        <v>34.532531534174247</v>
      </c>
      <c r="G544" s="260" t="str">
        <f t="shared" si="19"/>
        <v/>
      </c>
      <c r="H544" s="262" t="str">
        <f t="shared" si="16"/>
        <v/>
      </c>
      <c r="I544" s="264"/>
      <c r="K544" s="258"/>
      <c r="L544" s="258"/>
    </row>
    <row r="545" spans="1:13" ht="12.65" customHeight="1" x14ac:dyDescent="0.35">
      <c r="A545" s="180" t="s">
        <v>559</v>
      </c>
      <c r="B545" s="237">
        <f>'Prior Year'!AZ71</f>
        <v>0</v>
      </c>
      <c r="C545" s="237">
        <f>AZ71</f>
        <v>0</v>
      </c>
      <c r="D545" s="237">
        <f>'Prior Year'!AZ59</f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5" customHeight="1" x14ac:dyDescent="0.35">
      <c r="A546" s="180" t="s">
        <v>560</v>
      </c>
      <c r="B546" s="237">
        <f>'Prior Year'!BA71</f>
        <v>61291</v>
      </c>
      <c r="C546" s="237">
        <f>BA71</f>
        <v>101341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5" customHeight="1" x14ac:dyDescent="0.35">
      <c r="A547" s="180" t="s">
        <v>561</v>
      </c>
      <c r="B547" s="237">
        <f>'Prior Year'!BB71</f>
        <v>99164</v>
      </c>
      <c r="C547" s="237">
        <f>BB71</f>
        <v>100933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5" customHeight="1" x14ac:dyDescent="0.35">
      <c r="A548" s="180" t="s">
        <v>562</v>
      </c>
      <c r="B548" s="237">
        <f>'Prior Year'!BC71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5" customHeight="1" x14ac:dyDescent="0.35">
      <c r="A549" s="180" t="s">
        <v>563</v>
      </c>
      <c r="B549" s="237">
        <f>'Prior Year'!BD71</f>
        <v>0</v>
      </c>
      <c r="C549" s="237">
        <f>BD71</f>
        <v>0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5" customHeight="1" x14ac:dyDescent="0.35">
      <c r="A550" s="180" t="s">
        <v>564</v>
      </c>
      <c r="B550" s="237">
        <f>'Prior Year'!BE71</f>
        <v>714152</v>
      </c>
      <c r="C550" s="237">
        <f>BE71</f>
        <v>722733</v>
      </c>
      <c r="D550" s="237">
        <f>'Prior Year'!BE59</f>
        <v>41043</v>
      </c>
      <c r="E550" s="180">
        <f>BE59</f>
        <v>41043</v>
      </c>
      <c r="F550" s="260">
        <f t="shared" si="19"/>
        <v>17.400092585824623</v>
      </c>
      <c r="G550" s="260">
        <f t="shared" si="19"/>
        <v>17.609165996637671</v>
      </c>
      <c r="H550" s="262" t="str">
        <f t="shared" si="16"/>
        <v/>
      </c>
      <c r="I550" s="264"/>
      <c r="K550" s="258"/>
      <c r="L550" s="258"/>
    </row>
    <row r="551" spans="1:13" ht="12.65" customHeight="1" x14ac:dyDescent="0.35">
      <c r="A551" s="180" t="s">
        <v>565</v>
      </c>
      <c r="B551" s="237">
        <f>'Prior Year'!BF71</f>
        <v>407131</v>
      </c>
      <c r="C551" s="237">
        <f>BF71</f>
        <v>390844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5" customHeight="1" x14ac:dyDescent="0.35">
      <c r="A552" s="180" t="s">
        <v>566</v>
      </c>
      <c r="B552" s="237">
        <f>'Prior Year'!BG71</f>
        <v>0</v>
      </c>
      <c r="C552" s="237">
        <f>BG71</f>
        <v>0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5" customHeight="1" x14ac:dyDescent="0.35">
      <c r="A553" s="180" t="s">
        <v>567</v>
      </c>
      <c r="B553" s="237">
        <f>'Prior Year'!BH71</f>
        <v>0</v>
      </c>
      <c r="C553" s="237">
        <f>BH71</f>
        <v>0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5" customHeight="1" x14ac:dyDescent="0.35">
      <c r="A554" s="180" t="s">
        <v>568</v>
      </c>
      <c r="B554" s="237">
        <f>'Prior Year'!BI71</f>
        <v>0</v>
      </c>
      <c r="C554" s="237">
        <f>BI71</f>
        <v>969828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5" customHeight="1" x14ac:dyDescent="0.35">
      <c r="A555" s="180" t="s">
        <v>569</v>
      </c>
      <c r="B555" s="237">
        <f>'Prior Year'!BJ71</f>
        <v>413708</v>
      </c>
      <c r="C555" s="237">
        <f>BJ71</f>
        <v>406878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5" customHeight="1" x14ac:dyDescent="0.35">
      <c r="A556" s="180" t="s">
        <v>570</v>
      </c>
      <c r="B556" s="237">
        <f>'Prior Year'!BK71</f>
        <v>680656</v>
      </c>
      <c r="C556" s="237">
        <f>BK71</f>
        <v>880281.99000000011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5" customHeight="1" x14ac:dyDescent="0.35">
      <c r="A557" s="180" t="s">
        <v>571</v>
      </c>
      <c r="B557" s="237">
        <f>'Prior Year'!BL71</f>
        <v>702819</v>
      </c>
      <c r="C557" s="237">
        <f>BL71</f>
        <v>676282.27999999991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5" customHeight="1" x14ac:dyDescent="0.35">
      <c r="A558" s="180" t="s">
        <v>572</v>
      </c>
      <c r="B558" s="237">
        <f>'Prior Year'!BM71</f>
        <v>210785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5" customHeight="1" x14ac:dyDescent="0.35">
      <c r="A559" s="180" t="s">
        <v>573</v>
      </c>
      <c r="B559" s="237">
        <f>'Prior Year'!BN71</f>
        <v>2121525</v>
      </c>
      <c r="C559" s="237">
        <f>BN71</f>
        <v>2058670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5" customHeight="1" x14ac:dyDescent="0.35">
      <c r="A560" s="180" t="s">
        <v>574</v>
      </c>
      <c r="B560" s="237">
        <f>'Prior Year'!BO71</f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5" customHeight="1" x14ac:dyDescent="0.35">
      <c r="A561" s="180" t="s">
        <v>575</v>
      </c>
      <c r="B561" s="237">
        <f>'Prior Year'!BP71</f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5" customHeight="1" x14ac:dyDescent="0.3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5" customHeight="1" x14ac:dyDescent="0.35">
      <c r="A563" s="180" t="s">
        <v>577</v>
      </c>
      <c r="B563" s="237">
        <f>'Prior Year'!BR71</f>
        <v>287222</v>
      </c>
      <c r="C563" s="237">
        <f>BR71</f>
        <v>303741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5" customHeight="1" x14ac:dyDescent="0.35">
      <c r="A564" s="180" t="s">
        <v>1248</v>
      </c>
      <c r="B564" s="237">
        <f>'Prior Year'!BS71</f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5" customHeight="1" x14ac:dyDescent="0.35">
      <c r="A565" s="180" t="s">
        <v>578</v>
      </c>
      <c r="B565" s="237">
        <f>'Prior Year'!BT71</f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5" customHeight="1" x14ac:dyDescent="0.3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5" customHeight="1" x14ac:dyDescent="0.35">
      <c r="A567" s="180" t="s">
        <v>580</v>
      </c>
      <c r="B567" s="237">
        <f>'Prior Year'!BV71</f>
        <v>377764</v>
      </c>
      <c r="C567" s="237">
        <f>BV71</f>
        <v>368683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5" customHeight="1" x14ac:dyDescent="0.35">
      <c r="A568" s="180" t="s">
        <v>581</v>
      </c>
      <c r="B568" s="237">
        <f>'Prior Year'!BW71</f>
        <v>0</v>
      </c>
      <c r="C568" s="237">
        <f>BW71</f>
        <v>0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5" customHeight="1" x14ac:dyDescent="0.35">
      <c r="A569" s="180" t="s">
        <v>582</v>
      </c>
      <c r="B569" s="237">
        <f>'Prior Year'!BX71</f>
        <v>0</v>
      </c>
      <c r="C569" s="237">
        <f>BX71</f>
        <v>0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5" customHeight="1" x14ac:dyDescent="0.35">
      <c r="A570" s="180" t="s">
        <v>583</v>
      </c>
      <c r="B570" s="237">
        <f>'Prior Year'!BY71</f>
        <v>264</v>
      </c>
      <c r="C570" s="237">
        <f>BY71</f>
        <v>725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5" customHeight="1" x14ac:dyDescent="0.35">
      <c r="A571" s="180" t="s">
        <v>584</v>
      </c>
      <c r="B571" s="237">
        <f>'Prior Year'!BZ71</f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5" customHeight="1" x14ac:dyDescent="0.35">
      <c r="A572" s="180" t="s">
        <v>585</v>
      </c>
      <c r="B572" s="237">
        <f>'Prior Year'!CA71</f>
        <v>1022</v>
      </c>
      <c r="C572" s="237">
        <f>CA71</f>
        <v>1003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5" customHeight="1" x14ac:dyDescent="0.35">
      <c r="A573" s="180" t="s">
        <v>586</v>
      </c>
      <c r="B573" s="237">
        <f>'Prior Year'!CB71</f>
        <v>1664</v>
      </c>
      <c r="C573" s="237">
        <f>CB71</f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5" customHeight="1" x14ac:dyDescent="0.35">
      <c r="A574" s="180" t="s">
        <v>587</v>
      </c>
      <c r="B574" s="237">
        <f>'Prior Year'!CC71</f>
        <v>-299222</v>
      </c>
      <c r="C574" s="237">
        <f>CC71</f>
        <v>-597686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5" customHeight="1" x14ac:dyDescent="0.35">
      <c r="A575" s="180" t="s">
        <v>588</v>
      </c>
      <c r="B575" s="237">
        <f>'Prior Year'!CD71</f>
        <v>372975</v>
      </c>
      <c r="C575" s="237">
        <f>CD71</f>
        <v>310432</v>
      </c>
      <c r="D575" s="181" t="s">
        <v>529</v>
      </c>
      <c r="E575" s="181" t="s">
        <v>529</v>
      </c>
      <c r="F575" s="260"/>
      <c r="G575" s="260"/>
      <c r="H575" s="262"/>
    </row>
    <row r="576" spans="1:13" ht="12.65" customHeight="1" x14ac:dyDescent="0.35">
      <c r="M576" s="262"/>
    </row>
    <row r="577" spans="13:13" ht="12.65" customHeight="1" x14ac:dyDescent="0.35">
      <c r="M577" s="262"/>
    </row>
    <row r="578" spans="13:13" ht="12.65" customHeight="1" x14ac:dyDescent="0.35">
      <c r="M578" s="262"/>
    </row>
    <row r="612" spans="1:14" ht="12.65" customHeight="1" x14ac:dyDescent="0.35">
      <c r="A612" s="196"/>
      <c r="C612" s="181" t="s">
        <v>589</v>
      </c>
      <c r="D612" s="180">
        <f>CE76-(BE76+CD76)</f>
        <v>38082</v>
      </c>
      <c r="E612" s="180">
        <f>SUM(C624:D647)+SUM(C668:D713)</f>
        <v>23601390.755771231</v>
      </c>
      <c r="F612" s="180">
        <f>CE64-(AX64+BD64+BE64+BG64+BJ64+BN64+BP64+BQ64+CB64+CC64+CD64)</f>
        <v>2409600.81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0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32182357.990000002</v>
      </c>
      <c r="L612" s="197">
        <f>CE80-(AW80+AX80+AY80+AZ80+BA80+BB80+BC80+BD80+BE80+BF80+BG80+BH80+BI80+BJ80+BK80+BL80+BM80+BN80+BO80+BP80+BQ80+BR80+BS80+BT80+BU80+BV80+BW80+BX80+BY80+BZ80+CA80+CB80+CC80+CD80)</f>
        <v>0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722733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68">
        <f>CD69-CD70</f>
        <v>310432</v>
      </c>
      <c r="D615" s="263">
        <f>SUM(C614:C615)</f>
        <v>1033165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406878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2058670</v>
      </c>
      <c r="D619" s="180">
        <f>(D615/D612)*BN76</f>
        <v>190696.83275563258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-597686</v>
      </c>
      <c r="D620" s="180">
        <f>(D615/D612)*CC76</f>
        <v>4476.4514731369154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2063035.2842287696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768587</v>
      </c>
      <c r="D625" s="180">
        <f>(D615/D612)*AY76</f>
        <v>100109.73294469828</v>
      </c>
      <c r="E625" s="180">
        <f>(E623/E612)*SUM(C625:D625)</f>
        <v>75934.169723491214</v>
      </c>
      <c r="F625" s="180">
        <f>(F624/F612)*AY64</f>
        <v>0</v>
      </c>
      <c r="G625" s="180">
        <f>SUM(C625:F625)</f>
        <v>944630.90266818949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303741</v>
      </c>
      <c r="D626" s="180">
        <f>(D615/D612)*BR76</f>
        <v>0</v>
      </c>
      <c r="E626" s="180">
        <f>(E623/E612)*SUM(C626:D626)</f>
        <v>26550.486229871931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390844</v>
      </c>
      <c r="D629" s="180">
        <f>(D615/D612)*BF76</f>
        <v>28513.639383435744</v>
      </c>
      <c r="E629" s="180">
        <f>(E623/E612)*SUM(C629:D629)</f>
        <v>36656.72144966109</v>
      </c>
      <c r="F629" s="180">
        <f>(F624/F612)*BF64</f>
        <v>0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101341</v>
      </c>
      <c r="D630" s="180">
        <f>(D615/D612)*BA76</f>
        <v>23277.547660311957</v>
      </c>
      <c r="E630" s="180">
        <f>(E623/E612)*SUM(C630:D630)</f>
        <v>10893.106408557789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100933</v>
      </c>
      <c r="D632" s="180">
        <f>(D615/D612)*BB76</f>
        <v>3472.641142797122</v>
      </c>
      <c r="E632" s="180">
        <f>(E623/E612)*SUM(C632:D632)</f>
        <v>9126.263946858624</v>
      </c>
      <c r="F632" s="180">
        <f>(F624/F612)*BB64</f>
        <v>0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969828</v>
      </c>
      <c r="D634" s="180">
        <f>(D615/D612)*BI76</f>
        <v>0</v>
      </c>
      <c r="E634" s="180">
        <f>(E623/E612)*SUM(C634:D634)</f>
        <v>84774.215398461965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880281.99000000011</v>
      </c>
      <c r="D635" s="180">
        <f>(D615/D612)*BK76</f>
        <v>0</v>
      </c>
      <c r="E635" s="180">
        <f>(E623/E612)*SUM(C635:D635)</f>
        <v>76946.855557528499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676282.27999999991</v>
      </c>
      <c r="D637" s="180">
        <f>(D615/D612)*BL76</f>
        <v>0</v>
      </c>
      <c r="E637" s="180">
        <f>(E623/E612)*SUM(C637:D637)</f>
        <v>59114.914886848965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368683</v>
      </c>
      <c r="D642" s="180">
        <f>(D615/D612)*BV76</f>
        <v>9929.5832676855207</v>
      </c>
      <c r="E642" s="180">
        <f>(E623/E612)*SUM(C642:D642)</f>
        <v>33095.130978382644</v>
      </c>
      <c r="F642" s="180">
        <f>(F624/F612)*BV64</f>
        <v>0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725</v>
      </c>
      <c r="D645" s="180">
        <f>(D615/D612)*BY76</f>
        <v>1953.3606428233811</v>
      </c>
      <c r="E645" s="180">
        <f>(E623/E612)*SUM(C645:D645)</f>
        <v>234.11978417768137</v>
      </c>
      <c r="F645" s="180">
        <f>(F624/F612)*BY64</f>
        <v>0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1003</v>
      </c>
      <c r="D647" s="180">
        <f>(D615/D612)*CA76</f>
        <v>0</v>
      </c>
      <c r="E647" s="180">
        <f>(E623/E612)*SUM(C647:D647)</f>
        <v>87.673832931877968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7463276.2700000005</v>
      </c>
      <c r="L648" s="263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2364198</v>
      </c>
      <c r="D670" s="180">
        <f>(D615/D612)*E76</f>
        <v>130278.30287274827</v>
      </c>
      <c r="E670" s="180">
        <f>(E623/E612)*SUM(C670:D670)</f>
        <v>218046.16015014352</v>
      </c>
      <c r="F670" s="180">
        <f>(F624/F612)*E64</f>
        <v>0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1701789</v>
      </c>
      <c r="D677" s="180">
        <f>(D615/D612)*L76</f>
        <v>166605.38482747754</v>
      </c>
      <c r="E677" s="180">
        <f>(E623/E612)*SUM(C677:D677)</f>
        <v>163319.33912883667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745276</v>
      </c>
      <c r="D681" s="180">
        <f>(D615/D612)*P76</f>
        <v>38063.402526127829</v>
      </c>
      <c r="E681" s="180">
        <f>(E623/E612)*SUM(C681:D681)</f>
        <v>68472.949058856277</v>
      </c>
      <c r="F681" s="180">
        <f>(F624/F612)*P64</f>
        <v>0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318639</v>
      </c>
      <c r="D682" s="180">
        <f>(D615/D612)*Q76</f>
        <v>0</v>
      </c>
      <c r="E682" s="180">
        <f>(E623/E612)*SUM(C682:D682)</f>
        <v>27852.744218923894</v>
      </c>
      <c r="F682" s="180">
        <f>(F624/F612)*Q64</f>
        <v>0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974100.96999999986</v>
      </c>
      <c r="D683" s="180">
        <f>(D615/D612)*R76</f>
        <v>6104.2520088230658</v>
      </c>
      <c r="E683" s="180">
        <f>(E623/E612)*SUM(C683:D683)</f>
        <v>85681.304958480454</v>
      </c>
      <c r="F683" s="180">
        <f>(F624/F612)*R64</f>
        <v>0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248077</v>
      </c>
      <c r="D684" s="180">
        <f>(D615/D612)*S76</f>
        <v>18177.105981828685</v>
      </c>
      <c r="E684" s="180">
        <f>(E623/E612)*SUM(C684:D684)</f>
        <v>23273.696914533779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1324284</v>
      </c>
      <c r="D686" s="180">
        <f>(D615/D612)*U76</f>
        <v>14297.514705110027</v>
      </c>
      <c r="E686" s="180">
        <f>(E623/E612)*SUM(C686:D686)</f>
        <v>117007.54943764304</v>
      </c>
      <c r="F686" s="180">
        <f>(F624/F612)*U64</f>
        <v>0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249916.79999999999</v>
      </c>
      <c r="D687" s="180">
        <f>(D615/D612)*V76</f>
        <v>0</v>
      </c>
      <c r="E687" s="180">
        <f>(E623/E612)*SUM(C687:D687)</f>
        <v>21845.626889401356</v>
      </c>
      <c r="F687" s="180">
        <f>(F624/F612)*V64</f>
        <v>0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169682</v>
      </c>
      <c r="D689" s="180">
        <f>(D615/D612)*X76</f>
        <v>0</v>
      </c>
      <c r="E689" s="180">
        <f>(E623/E612)*SUM(C689:D689)</f>
        <v>14832.174795161434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995851</v>
      </c>
      <c r="D690" s="180">
        <f>(D615/D612)*Y76</f>
        <v>42566.984008192849</v>
      </c>
      <c r="E690" s="180">
        <f>(E623/E612)*SUM(C690:D690)</f>
        <v>90769.775516841313</v>
      </c>
      <c r="F690" s="180">
        <f>(F624/F612)*Y64</f>
        <v>0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941598</v>
      </c>
      <c r="D693" s="180">
        <f>(D615/D612)*AB76</f>
        <v>10309.403392678956</v>
      </c>
      <c r="E693" s="180">
        <f>(E623/E612)*SUM(C693:D693)</f>
        <v>83207.74740943918</v>
      </c>
      <c r="F693" s="180">
        <f>(F624/F612)*AB64</f>
        <v>0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218442</v>
      </c>
      <c r="D694" s="180">
        <f>(D615/D612)*AC76</f>
        <v>1085.2003571241007</v>
      </c>
      <c r="E694" s="180">
        <f>(E623/E612)*SUM(C694:D694)</f>
        <v>19189.223417859819</v>
      </c>
      <c r="F694" s="180">
        <f>(F624/F612)*AC64</f>
        <v>0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749128</v>
      </c>
      <c r="D696" s="180">
        <f>(D615/D612)*AE76</f>
        <v>39745.463079670182</v>
      </c>
      <c r="E696" s="180">
        <f>(E623/E612)*SUM(C696:D696)</f>
        <v>68956.690136030913</v>
      </c>
      <c r="F696" s="180">
        <f>(F624/F612)*AE64</f>
        <v>0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832834</v>
      </c>
      <c r="D698" s="180">
        <f>(D615/D612)*AG76</f>
        <v>15762.535187227562</v>
      </c>
      <c r="E698" s="180">
        <f>(E623/E612)*SUM(C698:D698)</f>
        <v>74177.17931463159</v>
      </c>
      <c r="F698" s="180">
        <f>(F624/F612)*AG64</f>
        <v>0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242442</v>
      </c>
      <c r="D699" s="180">
        <f>(D615/D612)*AH76</f>
        <v>0</v>
      </c>
      <c r="E699" s="180">
        <f>(E623/E612)*SUM(C699:D699)</f>
        <v>21192.242675643429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5882990</v>
      </c>
      <c r="D701" s="180">
        <f>(D615/D612)*AJ76</f>
        <v>176155.14797016964</v>
      </c>
      <c r="E701" s="180">
        <f>(E623/E612)*SUM(C701:D701)</f>
        <v>529639.56073094287</v>
      </c>
      <c r="F701" s="180">
        <f>(F624/F612)*AJ64</f>
        <v>0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113935</v>
      </c>
      <c r="D702" s="180">
        <f>(D615/D612)*AK76</f>
        <v>11584.513812299774</v>
      </c>
      <c r="E702" s="180">
        <f>(E623/E612)*SUM(C702:D702)</f>
        <v>10971.861299770808</v>
      </c>
      <c r="F702" s="180">
        <f>(F624/F612)*AK64</f>
        <v>0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72611</v>
      </c>
      <c r="D703" s="180">
        <f>(D615/D612)*AL76</f>
        <v>0</v>
      </c>
      <c r="E703" s="180">
        <f>(E623/E612)*SUM(C703:D703)</f>
        <v>6347.0435523595124</v>
      </c>
      <c r="F703" s="180">
        <f>(F624/F612)*AL64</f>
        <v>0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55356</v>
      </c>
      <c r="D704" s="180">
        <f>(D615/D612)*AM76</f>
        <v>0</v>
      </c>
      <c r="E704" s="180">
        <f>(E623/E612)*SUM(C704:D704)</f>
        <v>4838.7564264975445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5">
      <c r="C715" s="180">
        <f>SUM(C614:C647)+SUM(C668:C713)</f>
        <v>25664426.039999999</v>
      </c>
      <c r="D715" s="180">
        <f>SUM(D616:D647)+SUM(D668:D713)</f>
        <v>1033165</v>
      </c>
      <c r="E715" s="180">
        <f>SUM(E624:E647)+SUM(E668:E713)</f>
        <v>2063035.2842287696</v>
      </c>
      <c r="F715" s="180">
        <f>SUM(F625:F648)+SUM(F668:F713)</f>
        <v>0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25664426.039999999</v>
      </c>
      <c r="D716" s="180">
        <f>D615</f>
        <v>1033165</v>
      </c>
      <c r="E716" s="180">
        <f>E623</f>
        <v>2063035.2842287696</v>
      </c>
      <c r="F716" s="180">
        <f>F624</f>
        <v>0</v>
      </c>
      <c r="G716" s="180">
        <f>G625</f>
        <v>944630.90266818949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7463276.2700000005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137*2020*A</v>
      </c>
      <c r="B722" s="271">
        <f>ROUND(C165,0)</f>
        <v>947913</v>
      </c>
      <c r="C722" s="271">
        <f>ROUND(C166,0)</f>
        <v>26510</v>
      </c>
      <c r="D722" s="271">
        <f>ROUND(C167,0)</f>
        <v>241055</v>
      </c>
      <c r="E722" s="271">
        <f>ROUND(C168,0)</f>
        <v>1883774</v>
      </c>
      <c r="F722" s="271">
        <f>ROUND(C169,0)</f>
        <v>0</v>
      </c>
      <c r="G722" s="271">
        <f>ROUND(C170,0)</f>
        <v>358003</v>
      </c>
      <c r="H722" s="271">
        <f>ROUND(C171+C172,0)</f>
        <v>285378</v>
      </c>
      <c r="I722" s="271">
        <f>ROUND(C175,0)</f>
        <v>181258</v>
      </c>
      <c r="J722" s="271">
        <f>ROUND(C176,0)</f>
        <v>78405</v>
      </c>
      <c r="K722" s="271">
        <f>ROUND(C179,0)</f>
        <v>142869</v>
      </c>
      <c r="L722" s="271">
        <f>ROUND(C180,0)</f>
        <v>55358</v>
      </c>
      <c r="M722" s="271">
        <f>ROUND(C183,0)</f>
        <v>0</v>
      </c>
      <c r="N722" s="271">
        <f>ROUND(C184,0)</f>
        <v>125655</v>
      </c>
      <c r="O722" s="271">
        <f>ROUND(C185,0)</f>
        <v>0</v>
      </c>
      <c r="P722" s="271">
        <f>ROUND(C188,0)</f>
        <v>112205</v>
      </c>
      <c r="Q722" s="271">
        <f>ROUND(C189,0)</f>
        <v>0</v>
      </c>
      <c r="R722" s="271">
        <f>ROUND(B195,0)</f>
        <v>619114</v>
      </c>
      <c r="S722" s="271">
        <f>ROUND(C195,0)</f>
        <v>173516</v>
      </c>
      <c r="T722" s="271">
        <f>ROUND(D195,0)</f>
        <v>0</v>
      </c>
      <c r="U722" s="271">
        <f>ROUND(B196,0)</f>
        <v>324429</v>
      </c>
      <c r="V722" s="271">
        <f>ROUND(C196,0)</f>
        <v>0</v>
      </c>
      <c r="W722" s="271">
        <f>ROUND(D196,0)</f>
        <v>0</v>
      </c>
      <c r="X722" s="271">
        <f>ROUND(B197,0)</f>
        <v>4862883</v>
      </c>
      <c r="Y722" s="271">
        <f>ROUND(C197,0)</f>
        <v>11970</v>
      </c>
      <c r="Z722" s="271">
        <f>ROUND(D197,0)</f>
        <v>0</v>
      </c>
      <c r="AA722" s="271">
        <f>ROUND(B198,0)</f>
        <v>5223676</v>
      </c>
      <c r="AB722" s="271">
        <f>ROUND(C198,0)</f>
        <v>0</v>
      </c>
      <c r="AC722" s="271">
        <f>ROUND(D198,0)</f>
        <v>0</v>
      </c>
      <c r="AD722" s="271">
        <f>ROUND(B199,0)</f>
        <v>0</v>
      </c>
      <c r="AE722" s="271">
        <f>ROUND(C199,0)</f>
        <v>0</v>
      </c>
      <c r="AF722" s="271">
        <f>ROUND(D199,0)</f>
        <v>0</v>
      </c>
      <c r="AG722" s="271">
        <f>ROUND(B200,0)</f>
        <v>6245256</v>
      </c>
      <c r="AH722" s="271">
        <f>ROUND(C200,0)</f>
        <v>933216</v>
      </c>
      <c r="AI722" s="271">
        <f>ROUND(D200,0)</f>
        <v>0</v>
      </c>
      <c r="AJ722" s="271">
        <f>ROUND(B201,0)</f>
        <v>0</v>
      </c>
      <c r="AK722" s="271">
        <f>ROUND(C201,0)</f>
        <v>0</v>
      </c>
      <c r="AL722" s="271">
        <f>ROUND(D201,0)</f>
        <v>0</v>
      </c>
      <c r="AM722" s="271">
        <f>ROUND(B202,0)</f>
        <v>0</v>
      </c>
      <c r="AN722" s="271">
        <f>ROUND(C202,0)</f>
        <v>0</v>
      </c>
      <c r="AO722" s="271">
        <f>ROUND(D202,0)</f>
        <v>0</v>
      </c>
      <c r="AP722" s="271">
        <f>ROUND(B203,0)</f>
        <v>333484</v>
      </c>
      <c r="AQ722" s="271">
        <f>ROUND(C203,0)</f>
        <v>4291429</v>
      </c>
      <c r="AR722" s="271">
        <f>ROUND(D203,0)</f>
        <v>0</v>
      </c>
      <c r="AS722" s="271"/>
      <c r="AT722" s="271"/>
      <c r="AU722" s="271"/>
      <c r="AV722" s="271">
        <f>ROUND(B209,0)</f>
        <v>300398</v>
      </c>
      <c r="AW722" s="271">
        <f>ROUND(C209,0)</f>
        <v>3649</v>
      </c>
      <c r="AX722" s="271">
        <f>ROUND(D209,0)</f>
        <v>0</v>
      </c>
      <c r="AY722" s="271">
        <f>ROUND(B210,0)</f>
        <v>3898996</v>
      </c>
      <c r="AZ722" s="271">
        <f>ROUND(C210,0)</f>
        <v>123214</v>
      </c>
      <c r="BA722" s="271">
        <f>ROUND(D210,0)</f>
        <v>0</v>
      </c>
      <c r="BB722" s="271">
        <f>ROUND(B211,0)</f>
        <v>4664776</v>
      </c>
      <c r="BC722" s="271">
        <f>ROUND(C211,0)</f>
        <v>108925</v>
      </c>
      <c r="BD722" s="271">
        <f>ROUND(D211,0)</f>
        <v>0</v>
      </c>
      <c r="BE722" s="271">
        <f>ROUND(B212,0)</f>
        <v>0</v>
      </c>
      <c r="BF722" s="271">
        <f>ROUND(C212,0)</f>
        <v>0</v>
      </c>
      <c r="BG722" s="271">
        <f>ROUND(D212,0)</f>
        <v>0</v>
      </c>
      <c r="BH722" s="271">
        <f>ROUND(B213,0)</f>
        <v>5589908</v>
      </c>
      <c r="BI722" s="271">
        <f>ROUND(C213,0)</f>
        <v>222714</v>
      </c>
      <c r="BJ722" s="271">
        <f>ROUND(D213,0)</f>
        <v>0</v>
      </c>
      <c r="BK722" s="271">
        <f>ROUND(B214,0)</f>
        <v>0</v>
      </c>
      <c r="BL722" s="271">
        <f>ROUND(C214,0)</f>
        <v>0</v>
      </c>
      <c r="BM722" s="271">
        <f>ROUND(D214,0)</f>
        <v>0</v>
      </c>
      <c r="BN722" s="271">
        <f>ROUND(B215,0)</f>
        <v>0</v>
      </c>
      <c r="BO722" s="271">
        <f>ROUND(C215,0)</f>
        <v>0</v>
      </c>
      <c r="BP722" s="271">
        <f>ROUND(D215,0)</f>
        <v>0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1886585</v>
      </c>
      <c r="BU722" s="271">
        <f>ROUND(C224,0)</f>
        <v>2276268</v>
      </c>
      <c r="BV722" s="271">
        <f>ROUND(C225,0)</f>
        <v>0</v>
      </c>
      <c r="BW722" s="271">
        <f>ROUND(C226,0)</f>
        <v>0</v>
      </c>
      <c r="BX722" s="271">
        <f>ROUND(C227,0)</f>
        <v>0</v>
      </c>
      <c r="BY722" s="271">
        <f>ROUND(C228,0)</f>
        <v>1927098</v>
      </c>
      <c r="BZ722" s="271">
        <f>ROUND(C231,0)</f>
        <v>0</v>
      </c>
      <c r="CA722" s="271">
        <f>ROUND(C233,0)</f>
        <v>0</v>
      </c>
      <c r="CB722" s="271">
        <f>ROUND(C234,0)</f>
        <v>134613</v>
      </c>
      <c r="CC722" s="271">
        <f>ROUND(C238+C239,0)</f>
        <v>0</v>
      </c>
      <c r="CD722" s="271">
        <f>D221</f>
        <v>648981</v>
      </c>
      <c r="CE722" s="271"/>
    </row>
    <row r="723" spans="1:84" ht="12.65" customHeight="1" x14ac:dyDescent="0.3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201" customFormat="1" ht="12.65" customHeight="1" x14ac:dyDescent="0.35">
      <c r="A724" s="201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137*2020*A</v>
      </c>
      <c r="B726" s="271">
        <f>ROUND(C111,0)</f>
        <v>301</v>
      </c>
      <c r="C726" s="271">
        <f>ROUND(C112,0)</f>
        <v>117</v>
      </c>
      <c r="D726" s="271">
        <f>ROUND(C113,0)</f>
        <v>0</v>
      </c>
      <c r="E726" s="271">
        <f>ROUND(C114,0)</f>
        <v>0</v>
      </c>
      <c r="F726" s="271">
        <f>ROUND(D111,0)</f>
        <v>1110</v>
      </c>
      <c r="G726" s="271">
        <f>ROUND(D112,0)</f>
        <v>4421</v>
      </c>
      <c r="H726" s="271">
        <f>ROUND(D113,0)</f>
        <v>0</v>
      </c>
      <c r="I726" s="271">
        <f>ROUND(D114,0)</f>
        <v>0</v>
      </c>
      <c r="J726" s="271">
        <f>ROUND(C116,0)</f>
        <v>0</v>
      </c>
      <c r="K726" s="271">
        <f>ROUND(C117,0)</f>
        <v>0</v>
      </c>
      <c r="L726" s="271">
        <f>ROUND(C118,0)</f>
        <v>25</v>
      </c>
      <c r="M726" s="271">
        <f>ROUND(C119,0)</f>
        <v>0</v>
      </c>
      <c r="N726" s="271">
        <f>ROUND(C120,0)</f>
        <v>0</v>
      </c>
      <c r="O726" s="271">
        <f>ROUND(C121,0)</f>
        <v>0</v>
      </c>
      <c r="P726" s="271">
        <f>ROUND(C122,0)</f>
        <v>0</v>
      </c>
      <c r="Q726" s="271">
        <f>ROUND(C123,0)</f>
        <v>0</v>
      </c>
      <c r="R726" s="271">
        <f>ROUND(C124,0)</f>
        <v>0</v>
      </c>
      <c r="S726" s="271">
        <f>ROUND(C125,0)</f>
        <v>0</v>
      </c>
      <c r="T726" s="271"/>
      <c r="U726" s="271">
        <f>ROUND(C126,0)</f>
        <v>0</v>
      </c>
      <c r="V726" s="271">
        <f>ROUND(C128,0)</f>
        <v>0</v>
      </c>
      <c r="W726" s="271">
        <f>ROUND(C129,0)</f>
        <v>0</v>
      </c>
      <c r="X726" s="271">
        <f>ROUND(B138,0)</f>
        <v>231</v>
      </c>
      <c r="Y726" s="271">
        <f>ROUND(B139,0)</f>
        <v>812</v>
      </c>
      <c r="Z726" s="271">
        <f>ROUND(B140,0)</f>
        <v>0</v>
      </c>
      <c r="AA726" s="271">
        <f>ROUND(B141,0)</f>
        <v>5262028</v>
      </c>
      <c r="AB726" s="271">
        <f>ROUND(B142,0)</f>
        <v>18280382</v>
      </c>
      <c r="AC726" s="271">
        <f>ROUND(C138,0)</f>
        <v>36</v>
      </c>
      <c r="AD726" s="271">
        <f>ROUND(C139,0)</f>
        <v>136</v>
      </c>
      <c r="AE726" s="271">
        <f>ROUND(C140,0)</f>
        <v>0</v>
      </c>
      <c r="AF726" s="271">
        <f>ROUND(C141,0)</f>
        <v>881324</v>
      </c>
      <c r="AG726" s="271">
        <f>ROUND(C142,0)</f>
        <v>3061738</v>
      </c>
      <c r="AH726" s="271">
        <f>ROUND(D138,0)</f>
        <v>34</v>
      </c>
      <c r="AI726" s="271">
        <f>ROUND(D139,0)</f>
        <v>162</v>
      </c>
      <c r="AJ726" s="271">
        <f>ROUND(D140,0)</f>
        <v>0</v>
      </c>
      <c r="AK726" s="271">
        <f>ROUND(D141,0)</f>
        <v>1049814</v>
      </c>
      <c r="AL726" s="271">
        <f>ROUND(D142,0)</f>
        <v>3647072</v>
      </c>
      <c r="AM726" s="271">
        <f>ROUND(B144,0)</f>
        <v>94</v>
      </c>
      <c r="AN726" s="271">
        <f>ROUND(B145,0)</f>
        <v>1230</v>
      </c>
      <c r="AO726" s="271">
        <f>ROUND(B146,0)</f>
        <v>0</v>
      </c>
      <c r="AP726" s="271">
        <f>ROUND(B147,0)</f>
        <v>0</v>
      </c>
      <c r="AQ726" s="271">
        <f>ROUND(B148,0)</f>
        <v>0</v>
      </c>
      <c r="AR726" s="271">
        <f>ROUND(C144,0)</f>
        <v>12</v>
      </c>
      <c r="AS726" s="271">
        <f>ROUND(C145,0)</f>
        <v>1610</v>
      </c>
      <c r="AT726" s="271">
        <f>ROUND(C146,0)</f>
        <v>0</v>
      </c>
      <c r="AU726" s="271">
        <f>ROUND(C147,0)</f>
        <v>0</v>
      </c>
      <c r="AV726" s="271">
        <f>ROUND(C148,0)</f>
        <v>0</v>
      </c>
      <c r="AW726" s="271">
        <f>ROUND(D144,0)</f>
        <v>11</v>
      </c>
      <c r="AX726" s="271">
        <f>ROUND(D145,0)</f>
        <v>1581</v>
      </c>
      <c r="AY726" s="271">
        <f>ROUND(D146,0)</f>
        <v>0</v>
      </c>
      <c r="AZ726" s="271">
        <f>ROUND(D147,0)</f>
        <v>0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0</v>
      </c>
      <c r="BR726" s="271">
        <f>ROUND(C157,0)</f>
        <v>0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5" customHeight="1" x14ac:dyDescent="0.3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201" customFormat="1" ht="12.65" customHeight="1" x14ac:dyDescent="0.35">
      <c r="A728" s="201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137*2020*A</v>
      </c>
      <c r="B730" s="271">
        <f>ROUND(C250,0)</f>
        <v>5694955</v>
      </c>
      <c r="C730" s="271">
        <f>ROUND(C251,0)</f>
        <v>0</v>
      </c>
      <c r="D730" s="271">
        <f>ROUND(C252,0)</f>
        <v>2626483</v>
      </c>
      <c r="E730" s="271">
        <f>ROUND(C253,0)</f>
        <v>0</v>
      </c>
      <c r="F730" s="271">
        <f>ROUND(C254,0)</f>
        <v>886782</v>
      </c>
      <c r="G730" s="271">
        <f>ROUND(C255,0)</f>
        <v>119400</v>
      </c>
      <c r="H730" s="271">
        <f>ROUND(C256,0)</f>
        <v>0</v>
      </c>
      <c r="I730" s="271">
        <f>ROUND(C257,0)</f>
        <v>621909</v>
      </c>
      <c r="J730" s="271">
        <f>ROUND(C258,0)</f>
        <v>83441</v>
      </c>
      <c r="K730" s="271">
        <f>ROUND(C259,0)</f>
        <v>0</v>
      </c>
      <c r="L730" s="271">
        <f>ROUND(C262,0)</f>
        <v>14879480</v>
      </c>
      <c r="M730" s="271">
        <f>ROUND(C263,0)</f>
        <v>0</v>
      </c>
      <c r="N730" s="271">
        <f>ROUND(C264,0)</f>
        <v>0</v>
      </c>
      <c r="O730" s="271">
        <f>ROUND(C267,0)</f>
        <v>792630</v>
      </c>
      <c r="P730" s="271">
        <f>ROUND(C268,0)</f>
        <v>324429</v>
      </c>
      <c r="Q730" s="271">
        <f>ROUND(C269,0)</f>
        <v>4874853</v>
      </c>
      <c r="R730" s="271">
        <f>ROUND(C270,0)</f>
        <v>5223676</v>
      </c>
      <c r="S730" s="271">
        <f>ROUND(C271,0)</f>
        <v>0</v>
      </c>
      <c r="T730" s="271">
        <f>ROUND(C272,0)</f>
        <v>7178472</v>
      </c>
      <c r="U730" s="271">
        <f>ROUND(C273,0)</f>
        <v>0</v>
      </c>
      <c r="V730" s="271">
        <f>ROUND(C274,0)</f>
        <v>4624913</v>
      </c>
      <c r="W730" s="271">
        <f>ROUND(C275,0)</f>
        <v>0</v>
      </c>
      <c r="X730" s="271">
        <f>ROUND(C276,0)</f>
        <v>14912580</v>
      </c>
      <c r="Y730" s="271">
        <f>ROUND(C279,0)</f>
        <v>0</v>
      </c>
      <c r="Z730" s="271">
        <f>ROUND(C280,0)</f>
        <v>0</v>
      </c>
      <c r="AA730" s="271">
        <f>ROUND(C281,0)</f>
        <v>0</v>
      </c>
      <c r="AB730" s="271">
        <f>ROUND(C282,0)</f>
        <v>1012046</v>
      </c>
      <c r="AC730" s="271">
        <f>ROUND(C286,0)</f>
        <v>0</v>
      </c>
      <c r="AD730" s="271">
        <f>ROUND(C287,0)</f>
        <v>0</v>
      </c>
      <c r="AE730" s="271">
        <f>ROUND(C288,0)</f>
        <v>0</v>
      </c>
      <c r="AF730" s="271">
        <f>ROUND(C289,0)</f>
        <v>0</v>
      </c>
      <c r="AG730" s="271">
        <f>ROUND(C304,0)</f>
        <v>0</v>
      </c>
      <c r="AH730" s="271">
        <f>ROUND(C305,0)</f>
        <v>1148520</v>
      </c>
      <c r="AI730" s="271">
        <f>ROUND(C306,0)</f>
        <v>1800812</v>
      </c>
      <c r="AJ730" s="271">
        <f>ROUND(C307,0)</f>
        <v>16081</v>
      </c>
      <c r="AK730" s="271">
        <f>ROUND(C308,0)</f>
        <v>0</v>
      </c>
      <c r="AL730" s="271">
        <f>ROUND(C309,0)</f>
        <v>0</v>
      </c>
      <c r="AM730" s="271">
        <f>ROUND(C310,0)</f>
        <v>0</v>
      </c>
      <c r="AN730" s="271">
        <f>ROUND(C311,0)</f>
        <v>0</v>
      </c>
      <c r="AO730" s="271">
        <f>ROUND(C312,0)</f>
        <v>4959991</v>
      </c>
      <c r="AP730" s="271">
        <f>ROUND(C313,0)</f>
        <v>1013951</v>
      </c>
      <c r="AQ730" s="271">
        <f>ROUND(C316,0)</f>
        <v>0</v>
      </c>
      <c r="AR730" s="271">
        <f>ROUND(C317,0)</f>
        <v>0</v>
      </c>
      <c r="AS730" s="271">
        <f>ROUND(C318,0)</f>
        <v>1309421</v>
      </c>
      <c r="AT730" s="271">
        <f>ROUND(C321,0)</f>
        <v>0</v>
      </c>
      <c r="AU730" s="271">
        <f>ROUND(C322,0)</f>
        <v>0</v>
      </c>
      <c r="AV730" s="271">
        <f>ROUND(C323,0)</f>
        <v>10356340</v>
      </c>
      <c r="AW730" s="271">
        <f>ROUND(C324,0)</f>
        <v>0</v>
      </c>
      <c r="AX730" s="271">
        <f>ROUND(C325,0)</f>
        <v>0</v>
      </c>
      <c r="AY730" s="271">
        <f>ROUND(C326,0)</f>
        <v>0</v>
      </c>
      <c r="AZ730" s="271">
        <f>ROUND(C327,0)</f>
        <v>3204751</v>
      </c>
      <c r="BA730" s="271">
        <f>ROUND(C328,0)</f>
        <v>0</v>
      </c>
      <c r="BB730" s="271">
        <f>ROUND(C332,0)</f>
        <v>0</v>
      </c>
      <c r="BC730" s="271"/>
      <c r="BD730" s="271"/>
      <c r="BE730" s="271">
        <f>ROUND(C337,0)</f>
        <v>11239024</v>
      </c>
      <c r="BF730" s="271">
        <f>ROUND(C336,0)</f>
        <v>0</v>
      </c>
      <c r="BG730" s="271"/>
      <c r="BH730" s="271"/>
      <c r="BI730" s="271">
        <f>ROUND(CE60,2)</f>
        <v>0</v>
      </c>
      <c r="BJ730" s="271">
        <f>ROUND(C359,0)</f>
        <v>7193166</v>
      </c>
      <c r="BK730" s="271">
        <f>ROUND(C360,0)</f>
        <v>24989192</v>
      </c>
      <c r="BL730" s="271">
        <f>ROUND(C364,0)</f>
        <v>6089951</v>
      </c>
      <c r="BM730" s="271">
        <f>ROUND(C365,0)</f>
        <v>134613</v>
      </c>
      <c r="BN730" s="271">
        <f>ROUND(C366,0)</f>
        <v>0</v>
      </c>
      <c r="BO730" s="271">
        <f>ROUND(C370,0)</f>
        <v>549893</v>
      </c>
      <c r="BP730" s="271">
        <f>ROUND(C371,0)</f>
        <v>693208</v>
      </c>
      <c r="BQ730" s="271">
        <f>ROUND(C378,0)</f>
        <v>14745838</v>
      </c>
      <c r="BR730" s="271">
        <f>ROUND(C379,0)</f>
        <v>3742633</v>
      </c>
      <c r="BS730" s="271">
        <f>ROUND(C380,0)</f>
        <v>996381</v>
      </c>
      <c r="BT730" s="271">
        <f>ROUND(C381,0)</f>
        <v>2471522</v>
      </c>
      <c r="BU730" s="271">
        <f>ROUND(C382,0)</f>
        <v>443922</v>
      </c>
      <c r="BV730" s="271">
        <f>ROUND(C383,0)</f>
        <v>2425838</v>
      </c>
      <c r="BW730" s="271">
        <f>ROUND(C384,0)</f>
        <v>458502</v>
      </c>
      <c r="BX730" s="271">
        <f>ROUND(C385,0)</f>
        <v>259663</v>
      </c>
      <c r="BY730" s="271">
        <f>ROUND(C386,0)</f>
        <v>198227</v>
      </c>
      <c r="BZ730" s="271">
        <f>ROUND(C387,0)</f>
        <v>125655</v>
      </c>
      <c r="CA730" s="271">
        <f>ROUND(C388,0)</f>
        <v>112205</v>
      </c>
      <c r="CB730" s="271">
        <f>C363</f>
        <v>648981</v>
      </c>
      <c r="CC730" s="271">
        <f>ROUND(C389,0)</f>
        <v>359589</v>
      </c>
      <c r="CD730" s="271">
        <f>ROUND(C392,0)</f>
        <v>188295</v>
      </c>
      <c r="CE730" s="271">
        <f>ROUND(C394,0)</f>
        <v>0</v>
      </c>
      <c r="CF730" s="201">
        <f>ROUND(C395,0)</f>
        <v>0</v>
      </c>
    </row>
    <row r="731" spans="1:84" ht="12.65" customHeight="1" x14ac:dyDescent="0.3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201" customFormat="1" ht="12.65" customHeight="1" x14ac:dyDescent="0.35">
      <c r="A732" s="201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137*2020*6010*A</v>
      </c>
      <c r="B734" s="271">
        <f>ROUND(C59,0)</f>
        <v>0</v>
      </c>
      <c r="C734" s="271">
        <f>ROUND(C60,2)</f>
        <v>0</v>
      </c>
      <c r="D734" s="271">
        <f>ROUND(C61,0)</f>
        <v>0</v>
      </c>
      <c r="E734" s="271">
        <f>ROUND(C62,0)</f>
        <v>0</v>
      </c>
      <c r="F734" s="271">
        <f>ROUND(C63,0)</f>
        <v>0</v>
      </c>
      <c r="G734" s="271">
        <f>ROUND(C64,0)</f>
        <v>0</v>
      </c>
      <c r="H734" s="271">
        <f>ROUND(C65,0)</f>
        <v>0</v>
      </c>
      <c r="I734" s="271">
        <f>ROUND(C66,0)</f>
        <v>0</v>
      </c>
      <c r="J734" s="271">
        <f>ROUND(C67,0)</f>
        <v>0</v>
      </c>
      <c r="K734" s="271">
        <f>ROUND(C68,0)</f>
        <v>0</v>
      </c>
      <c r="L734" s="271">
        <f>ROUND(C69,0)</f>
        <v>0</v>
      </c>
      <c r="M734" s="271">
        <f>ROUND(C70,0)</f>
        <v>0</v>
      </c>
      <c r="N734" s="271">
        <f>ROUND(C75,0)</f>
        <v>0</v>
      </c>
      <c r="O734" s="271">
        <f>ROUND(C73,0)</f>
        <v>0</v>
      </c>
      <c r="P734" s="271">
        <f>IF(C76&gt;0,ROUND(C76,0),0)</f>
        <v>0</v>
      </c>
      <c r="Q734" s="271">
        <f>IF(C77&gt;0,ROUND(C77,0),0)</f>
        <v>0</v>
      </c>
      <c r="R734" s="271">
        <f>IF(C78&gt;0,ROUND(C78,0),0)</f>
        <v>0</v>
      </c>
      <c r="S734" s="271">
        <f>IF(C79&gt;0,ROUND(C79,0),0)</f>
        <v>0</v>
      </c>
      <c r="T734" s="271">
        <f>IF(C80&gt;0,ROUND(C80,2),0)</f>
        <v>0</v>
      </c>
      <c r="U734" s="271"/>
      <c r="V734" s="271"/>
      <c r="W734" s="271"/>
      <c r="X734" s="271"/>
      <c r="Y734" s="271" t="e">
        <f>IF(M668&lt;&gt;0,ROUND(M668,0),0)</f>
        <v>#DIV/0!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5" customHeight="1" x14ac:dyDescent="0.35">
      <c r="A735" s="209" t="str">
        <f>RIGHT($C$83,3)&amp;"*"&amp;RIGHT($C$82,4)&amp;"*"&amp;D$55&amp;"*"&amp;"A"</f>
        <v>137*2020*6030*A</v>
      </c>
      <c r="B735" s="271">
        <f>ROUND(D59,0)</f>
        <v>0</v>
      </c>
      <c r="C735" s="273">
        <f>ROUND(D60,2)</f>
        <v>0</v>
      </c>
      <c r="D735" s="271">
        <f>ROUND(D61,0)</f>
        <v>0</v>
      </c>
      <c r="E735" s="271">
        <f>ROUND(D62,0)</f>
        <v>0</v>
      </c>
      <c r="F735" s="271">
        <f>ROUND(D63,0)</f>
        <v>0</v>
      </c>
      <c r="G735" s="271">
        <f>ROUND(D64,0)</f>
        <v>0</v>
      </c>
      <c r="H735" s="271">
        <f>ROUND(D65,0)</f>
        <v>0</v>
      </c>
      <c r="I735" s="271">
        <f>ROUND(D66,0)</f>
        <v>0</v>
      </c>
      <c r="J735" s="271">
        <f>ROUND(D67,0)</f>
        <v>0</v>
      </c>
      <c r="K735" s="271">
        <f>ROUND(D68,0)</f>
        <v>0</v>
      </c>
      <c r="L735" s="271">
        <f>ROUND(D69,0)</f>
        <v>0</v>
      </c>
      <c r="M735" s="271">
        <f>ROUND(D70,0)</f>
        <v>0</v>
      </c>
      <c r="N735" s="271">
        <f>ROUND(D75,0)</f>
        <v>0</v>
      </c>
      <c r="O735" s="271">
        <f>ROUND(D73,0)</f>
        <v>0</v>
      </c>
      <c r="P735" s="271">
        <f>IF(D76&gt;0,ROUND(D76,0),0)</f>
        <v>0</v>
      </c>
      <c r="Q735" s="271">
        <f>IF(D77&gt;0,ROUND(D77,0),0)</f>
        <v>0</v>
      </c>
      <c r="R735" s="271">
        <f>IF(D78&gt;0,ROUND(D78,0),0)</f>
        <v>0</v>
      </c>
      <c r="S735" s="271">
        <f>IF(D79&gt;0,ROUND(D79,0),0)</f>
        <v>0</v>
      </c>
      <c r="T735" s="273">
        <f>IF(D80&gt;0,ROUND(D80,2),0)</f>
        <v>0</v>
      </c>
      <c r="U735" s="271"/>
      <c r="V735" s="272"/>
      <c r="W735" s="271"/>
      <c r="X735" s="271"/>
      <c r="Y735" s="271" t="e">
        <f t="shared" ref="Y735:Y779" si="21">IF(M669&lt;&gt;0,ROUND(M669,0),0)</f>
        <v>#DIV/0!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5" customHeight="1" x14ac:dyDescent="0.35">
      <c r="A736" s="209" t="str">
        <f>RIGHT($C$83,3)&amp;"*"&amp;RIGHT($C$82,4)&amp;"*"&amp;E$55&amp;"*"&amp;"A"</f>
        <v>137*2020*6070*A</v>
      </c>
      <c r="B736" s="271">
        <f>ROUND(E59,0)</f>
        <v>1110</v>
      </c>
      <c r="C736" s="273">
        <f>ROUND(E60,2)</f>
        <v>0</v>
      </c>
      <c r="D736" s="271">
        <f>ROUND(E61,0)</f>
        <v>1599218</v>
      </c>
      <c r="E736" s="271">
        <f>ROUND(E62,0)</f>
        <v>464344</v>
      </c>
      <c r="F736" s="271">
        <f>ROUND(E63,0)</f>
        <v>10379</v>
      </c>
      <c r="G736" s="271">
        <f>ROUND(E64,0)</f>
        <v>105914</v>
      </c>
      <c r="H736" s="271">
        <f>ROUND(E65,0)</f>
        <v>2392</v>
      </c>
      <c r="I736" s="271">
        <f>ROUND(E66,0)</f>
        <v>101017</v>
      </c>
      <c r="J736" s="271">
        <f>ROUND(E67,0)</f>
        <v>52955</v>
      </c>
      <c r="K736" s="271">
        <f>ROUND(E68,0)</f>
        <v>18417</v>
      </c>
      <c r="L736" s="271">
        <f>ROUND(E69,0)</f>
        <v>9562</v>
      </c>
      <c r="M736" s="271">
        <f>ROUND(E70,0)</f>
        <v>0</v>
      </c>
      <c r="N736" s="271">
        <f>ROUND(E75,0)</f>
        <v>1925525</v>
      </c>
      <c r="O736" s="271">
        <f>ROUND(E73,0)</f>
        <v>1925525</v>
      </c>
      <c r="P736" s="271">
        <f>IF(E76&gt;0,ROUND(E76,0),0)</f>
        <v>4802</v>
      </c>
      <c r="Q736" s="271">
        <f>IF(E77&gt;0,ROUND(E77,0),0)</f>
        <v>0</v>
      </c>
      <c r="R736" s="271">
        <f>IF(E78&gt;0,ROUND(E78,0),0)</f>
        <v>0</v>
      </c>
      <c r="S736" s="271">
        <f>IF(E79&gt;0,ROUND(E79,0),0)</f>
        <v>0</v>
      </c>
      <c r="T736" s="273">
        <f>IF(E80&gt;0,ROUND(E80,2),0)</f>
        <v>0</v>
      </c>
      <c r="U736" s="271"/>
      <c r="V736" s="272"/>
      <c r="W736" s="271"/>
      <c r="X736" s="271"/>
      <c r="Y736" s="271" t="e">
        <f t="shared" si="21"/>
        <v>#DIV/0!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5" customHeight="1" x14ac:dyDescent="0.35">
      <c r="A737" s="209" t="str">
        <f>RIGHT($C$83,3)&amp;"*"&amp;RIGHT($C$82,4)&amp;"*"&amp;F$55&amp;"*"&amp;"A"</f>
        <v>137*2020*6100*A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 t="e">
        <f t="shared" si="21"/>
        <v>#DIV/0!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5" customHeight="1" x14ac:dyDescent="0.35">
      <c r="A738" s="209" t="str">
        <f>RIGHT($C$83,3)&amp;"*"&amp;RIGHT($C$82,4)&amp;"*"&amp;G$55&amp;"*"&amp;"A"</f>
        <v>137*2020*6120*A</v>
      </c>
      <c r="B738" s="271">
        <f>ROUND(G59,0)</f>
        <v>0</v>
      </c>
      <c r="C738" s="273">
        <f>ROUND(G60,2)</f>
        <v>0</v>
      </c>
      <c r="D738" s="271">
        <f>ROUND(G61,0)</f>
        <v>0</v>
      </c>
      <c r="E738" s="271">
        <f>ROUND(G62,0)</f>
        <v>0</v>
      </c>
      <c r="F738" s="271">
        <f>ROUND(G63,0)</f>
        <v>0</v>
      </c>
      <c r="G738" s="271">
        <f>ROUND(G64,0)</f>
        <v>0</v>
      </c>
      <c r="H738" s="271">
        <f>ROUND(G65,0)</f>
        <v>0</v>
      </c>
      <c r="I738" s="271">
        <f>ROUND(G66,0)</f>
        <v>0</v>
      </c>
      <c r="J738" s="271">
        <f>ROUND(G67,0)</f>
        <v>0</v>
      </c>
      <c r="K738" s="271">
        <f>ROUND(G68,0)</f>
        <v>0</v>
      </c>
      <c r="L738" s="271">
        <f>ROUND(G69,0)</f>
        <v>0</v>
      </c>
      <c r="M738" s="271">
        <f>ROUND(G70,0)</f>
        <v>0</v>
      </c>
      <c r="N738" s="271">
        <f>ROUND(G75,0)</f>
        <v>0</v>
      </c>
      <c r="O738" s="271">
        <f>ROUND(G73,0)</f>
        <v>0</v>
      </c>
      <c r="P738" s="271">
        <f>IF(G76&gt;0,ROUND(G76,0),0)</f>
        <v>0</v>
      </c>
      <c r="Q738" s="271">
        <f>IF(G77&gt;0,ROUND(G77,0),0)</f>
        <v>0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0</v>
      </c>
      <c r="U738" s="271"/>
      <c r="V738" s="272"/>
      <c r="W738" s="271"/>
      <c r="X738" s="271"/>
      <c r="Y738" s="271" t="e">
        <f t="shared" si="21"/>
        <v>#DIV/0!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5" customHeight="1" x14ac:dyDescent="0.35">
      <c r="A739" s="209" t="str">
        <f>RIGHT($C$83,3)&amp;"*"&amp;RIGHT($C$82,4)&amp;"*"&amp;H$55&amp;"*"&amp;"A"</f>
        <v>137*2020*6140*A</v>
      </c>
      <c r="B739" s="271">
        <f>ROUND(H59,0)</f>
        <v>0</v>
      </c>
      <c r="C739" s="273">
        <f>ROUND(H60,2)</f>
        <v>0</v>
      </c>
      <c r="D739" s="271">
        <f>ROUND(H61,0)</f>
        <v>0</v>
      </c>
      <c r="E739" s="271">
        <f>ROUND(H62,0)</f>
        <v>0</v>
      </c>
      <c r="F739" s="271">
        <f>ROUND(H63,0)</f>
        <v>0</v>
      </c>
      <c r="G739" s="271">
        <f>ROUND(H64,0)</f>
        <v>0</v>
      </c>
      <c r="H739" s="271">
        <f>ROUND(H65,0)</f>
        <v>0</v>
      </c>
      <c r="I739" s="271">
        <f>ROUND(H66,0)</f>
        <v>0</v>
      </c>
      <c r="J739" s="271">
        <f>ROUND(H67,0)</f>
        <v>0</v>
      </c>
      <c r="K739" s="271">
        <f>ROUND(H68,0)</f>
        <v>0</v>
      </c>
      <c r="L739" s="271">
        <f>ROUND(H69,0)</f>
        <v>0</v>
      </c>
      <c r="M739" s="271">
        <f>ROUND(H70,0)</f>
        <v>0</v>
      </c>
      <c r="N739" s="271">
        <f>ROUND(H75,0)</f>
        <v>0</v>
      </c>
      <c r="O739" s="271">
        <f>ROUND(H73,0)</f>
        <v>0</v>
      </c>
      <c r="P739" s="271">
        <f>IF(H76&gt;0,ROUND(H76,0),0)</f>
        <v>0</v>
      </c>
      <c r="Q739" s="271">
        <f>IF(H77&gt;0,ROUND(H77,0),0)</f>
        <v>0</v>
      </c>
      <c r="R739" s="271">
        <f>IF(H78&gt;0,ROUND(H78,0),0)</f>
        <v>0</v>
      </c>
      <c r="S739" s="271">
        <f>IF(H79&gt;0,ROUND(H79,0),0)</f>
        <v>0</v>
      </c>
      <c r="T739" s="273">
        <f>IF(H80&gt;0,ROUND(H80,2),0)</f>
        <v>0</v>
      </c>
      <c r="U739" s="271"/>
      <c r="V739" s="272"/>
      <c r="W739" s="271"/>
      <c r="X739" s="271"/>
      <c r="Y739" s="271" t="e">
        <f t="shared" si="21"/>
        <v>#DIV/0!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5" customHeight="1" x14ac:dyDescent="0.35">
      <c r="A740" s="209" t="str">
        <f>RIGHT($C$83,3)&amp;"*"&amp;RIGHT($C$82,4)&amp;"*"&amp;I$55&amp;"*"&amp;"A"</f>
        <v>137*2020*6150*A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 t="e">
        <f t="shared" si="21"/>
        <v>#DIV/0!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5" customHeight="1" x14ac:dyDescent="0.35">
      <c r="A741" s="209" t="str">
        <f>RIGHT($C$83,3)&amp;"*"&amp;RIGHT($C$82,4)&amp;"*"&amp;J$55&amp;"*"&amp;"A"</f>
        <v>137*2020*6170*A</v>
      </c>
      <c r="B741" s="271">
        <f>ROUND(J59,0)</f>
        <v>0</v>
      </c>
      <c r="C741" s="273">
        <f>ROUND(J60,2)</f>
        <v>0</v>
      </c>
      <c r="D741" s="271">
        <f>ROUND(J61,0)</f>
        <v>0</v>
      </c>
      <c r="E741" s="271">
        <f>ROUND(J62,0)</f>
        <v>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0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0</v>
      </c>
      <c r="O741" s="271">
        <f>ROUND(J73,0)</f>
        <v>0</v>
      </c>
      <c r="P741" s="271">
        <f>IF(J76&gt;0,ROUND(J76,0),0)</f>
        <v>0</v>
      </c>
      <c r="Q741" s="271">
        <f>IF(J77&gt;0,ROUND(J77,0),0)</f>
        <v>0</v>
      </c>
      <c r="R741" s="271">
        <f>IF(J78&gt;0,ROUND(J78,0),0)</f>
        <v>0</v>
      </c>
      <c r="S741" s="271">
        <f>IF(J79&gt;0,ROUND(J79,0),0)</f>
        <v>0</v>
      </c>
      <c r="T741" s="273">
        <f>IF(J80&gt;0,ROUND(J80,2),0)</f>
        <v>0</v>
      </c>
      <c r="U741" s="271"/>
      <c r="V741" s="272"/>
      <c r="W741" s="271"/>
      <c r="X741" s="271"/>
      <c r="Y741" s="271" t="e">
        <f t="shared" si="21"/>
        <v>#DIV/0!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5" customHeight="1" x14ac:dyDescent="0.35">
      <c r="A742" s="209" t="str">
        <f>RIGHT($C$83,3)&amp;"*"&amp;RIGHT($C$82,4)&amp;"*"&amp;K$55&amp;"*"&amp;"A"</f>
        <v>137*2020*6200*A</v>
      </c>
      <c r="B742" s="271">
        <f>ROUND(K59,0)</f>
        <v>0</v>
      </c>
      <c r="C742" s="273">
        <f>ROUND(K60,2)</f>
        <v>0</v>
      </c>
      <c r="D742" s="271">
        <f>ROUND(K61,0)</f>
        <v>0</v>
      </c>
      <c r="E742" s="271">
        <f>ROUND(K62,0)</f>
        <v>0</v>
      </c>
      <c r="F742" s="271">
        <f>ROUND(K63,0)</f>
        <v>0</v>
      </c>
      <c r="G742" s="271">
        <f>ROUND(K64,0)</f>
        <v>0</v>
      </c>
      <c r="H742" s="271">
        <f>ROUND(K65,0)</f>
        <v>0</v>
      </c>
      <c r="I742" s="271">
        <f>ROUND(K66,0)</f>
        <v>0</v>
      </c>
      <c r="J742" s="271">
        <f>ROUND(K67,0)</f>
        <v>0</v>
      </c>
      <c r="K742" s="271">
        <f>ROUND(K68,0)</f>
        <v>0</v>
      </c>
      <c r="L742" s="271">
        <f>ROUND(K69,0)</f>
        <v>0</v>
      </c>
      <c r="M742" s="271">
        <f>ROUND(K70,0)</f>
        <v>0</v>
      </c>
      <c r="N742" s="271">
        <f>ROUND(K75,0)</f>
        <v>0</v>
      </c>
      <c r="O742" s="271">
        <f>ROUND(K73,0)</f>
        <v>0</v>
      </c>
      <c r="P742" s="271">
        <f>IF(K76&gt;0,ROUND(K76,0),0)</f>
        <v>0</v>
      </c>
      <c r="Q742" s="271">
        <f>IF(K77&gt;0,ROUND(K77,0),0)</f>
        <v>0</v>
      </c>
      <c r="R742" s="271">
        <f>IF(K78&gt;0,ROUND(K78,0),0)</f>
        <v>0</v>
      </c>
      <c r="S742" s="271">
        <f>IF(K79&gt;0,ROUND(K79,0),0)</f>
        <v>0</v>
      </c>
      <c r="T742" s="273">
        <f>IF(K80&gt;0,ROUND(K80,2),0)</f>
        <v>0</v>
      </c>
      <c r="U742" s="271"/>
      <c r="V742" s="272"/>
      <c r="W742" s="271"/>
      <c r="X742" s="271"/>
      <c r="Y742" s="271" t="e">
        <f t="shared" si="21"/>
        <v>#DIV/0!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5" customHeight="1" x14ac:dyDescent="0.35">
      <c r="A743" s="209" t="str">
        <f>RIGHT($C$83,3)&amp;"*"&amp;RIGHT($C$82,4)&amp;"*"&amp;L$55&amp;"*"&amp;"A"</f>
        <v>137*2020*6210*A</v>
      </c>
      <c r="B743" s="271">
        <f>ROUND(L59,0)</f>
        <v>4421</v>
      </c>
      <c r="C743" s="273">
        <f>ROUND(L60,2)</f>
        <v>0</v>
      </c>
      <c r="D743" s="271">
        <f>ROUND(L61,0)</f>
        <v>1141742</v>
      </c>
      <c r="E743" s="271">
        <f>ROUND(L62,0)</f>
        <v>337422</v>
      </c>
      <c r="F743" s="271">
        <f>ROUND(L63,0)</f>
        <v>9298</v>
      </c>
      <c r="G743" s="271">
        <f>ROUND(L64,0)</f>
        <v>75797</v>
      </c>
      <c r="H743" s="271">
        <f>ROUND(L65,0)</f>
        <v>688</v>
      </c>
      <c r="I743" s="271">
        <f>ROUND(L66,0)</f>
        <v>2675</v>
      </c>
      <c r="J743" s="271">
        <f>ROUND(L67,0)</f>
        <v>38304</v>
      </c>
      <c r="K743" s="271">
        <f>ROUND(L68,0)</f>
        <v>10934</v>
      </c>
      <c r="L743" s="271">
        <f>ROUND(L69,0)</f>
        <v>84929</v>
      </c>
      <c r="M743" s="271">
        <f>ROUND(L70,0)</f>
        <v>0</v>
      </c>
      <c r="N743" s="271">
        <f>ROUND(L75,0)</f>
        <v>1978521</v>
      </c>
      <c r="O743" s="271">
        <f>ROUND(L73,0)</f>
        <v>1951813</v>
      </c>
      <c r="P743" s="271">
        <f>IF(L76&gt;0,ROUND(L76,0),0)</f>
        <v>6141</v>
      </c>
      <c r="Q743" s="271">
        <f>IF(L77&gt;0,ROUND(L77,0),0)</f>
        <v>0</v>
      </c>
      <c r="R743" s="271">
        <f>IF(L78&gt;0,ROUND(L78,0),0)</f>
        <v>0</v>
      </c>
      <c r="S743" s="271">
        <f>IF(L79&gt;0,ROUND(L79,0),0)</f>
        <v>0</v>
      </c>
      <c r="T743" s="273">
        <f>IF(L80&gt;0,ROUND(L80,2),0)</f>
        <v>0</v>
      </c>
      <c r="U743" s="271"/>
      <c r="V743" s="272"/>
      <c r="W743" s="271"/>
      <c r="X743" s="271"/>
      <c r="Y743" s="271" t="e">
        <f t="shared" si="21"/>
        <v>#DIV/0!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5" customHeight="1" x14ac:dyDescent="0.35">
      <c r="A744" s="209" t="str">
        <f>RIGHT($C$83,3)&amp;"*"&amp;RIGHT($C$82,4)&amp;"*"&amp;M$55&amp;"*"&amp;"A"</f>
        <v>137*2020*6330*A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 t="e">
        <f t="shared" si="21"/>
        <v>#DIV/0!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5" customHeight="1" x14ac:dyDescent="0.35">
      <c r="A745" s="209" t="str">
        <f>RIGHT($C$83,3)&amp;"*"&amp;RIGHT($C$82,4)&amp;"*"&amp;N$55&amp;"*"&amp;"A"</f>
        <v>137*2020*6400*A</v>
      </c>
      <c r="B745" s="271">
        <f>ROUND(N59,0)</f>
        <v>0</v>
      </c>
      <c r="C745" s="273">
        <f>ROUND(N60,2)</f>
        <v>0</v>
      </c>
      <c r="D745" s="271">
        <f>ROUND(N61,0)</f>
        <v>0</v>
      </c>
      <c r="E745" s="271">
        <f>ROUND(N62,0)</f>
        <v>0</v>
      </c>
      <c r="F745" s="271">
        <f>ROUND(N63,0)</f>
        <v>0</v>
      </c>
      <c r="G745" s="271">
        <f>ROUND(N64,0)</f>
        <v>0</v>
      </c>
      <c r="H745" s="271">
        <f>ROUND(N65,0)</f>
        <v>0</v>
      </c>
      <c r="I745" s="271">
        <f>ROUND(N66,0)</f>
        <v>0</v>
      </c>
      <c r="J745" s="271">
        <f>ROUND(N67,0)</f>
        <v>0</v>
      </c>
      <c r="K745" s="271">
        <f>ROUND(N68,0)</f>
        <v>0</v>
      </c>
      <c r="L745" s="271">
        <f>ROUND(N69,0)</f>
        <v>0</v>
      </c>
      <c r="M745" s="271">
        <f>ROUND(N70,0)</f>
        <v>0</v>
      </c>
      <c r="N745" s="271">
        <f>ROUND(N75,0)</f>
        <v>0</v>
      </c>
      <c r="O745" s="271">
        <f>ROUND(N73,0)</f>
        <v>0</v>
      </c>
      <c r="P745" s="271">
        <f>IF(N76&gt;0,ROUND(N76,0),0)</f>
        <v>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0</v>
      </c>
      <c r="U745" s="271"/>
      <c r="V745" s="272"/>
      <c r="W745" s="271"/>
      <c r="X745" s="271"/>
      <c r="Y745" s="271" t="e">
        <f t="shared" si="21"/>
        <v>#DIV/0!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5" customHeight="1" x14ac:dyDescent="0.35">
      <c r="A746" s="209" t="str">
        <f>RIGHT($C$83,3)&amp;"*"&amp;RIGHT($C$82,4)&amp;"*"&amp;O$55&amp;"*"&amp;"A"</f>
        <v>137*2020*7010*A</v>
      </c>
      <c r="B746" s="271">
        <f>ROUND(O59,0)</f>
        <v>0</v>
      </c>
      <c r="C746" s="273">
        <f>ROUND(O60,2)</f>
        <v>0</v>
      </c>
      <c r="D746" s="271">
        <f>ROUND(O61,0)</f>
        <v>0</v>
      </c>
      <c r="E746" s="271">
        <f>ROUND(O62,0)</f>
        <v>0</v>
      </c>
      <c r="F746" s="271">
        <f>ROUND(O63,0)</f>
        <v>0</v>
      </c>
      <c r="G746" s="271">
        <f>ROUND(O64,0)</f>
        <v>0</v>
      </c>
      <c r="H746" s="271">
        <f>ROUND(O65,0)</f>
        <v>0</v>
      </c>
      <c r="I746" s="271">
        <f>ROUND(O66,0)</f>
        <v>0</v>
      </c>
      <c r="J746" s="271">
        <f>ROUND(O67,0)</f>
        <v>0</v>
      </c>
      <c r="K746" s="271">
        <f>ROUND(O68,0)</f>
        <v>0</v>
      </c>
      <c r="L746" s="271">
        <f>ROUND(O69,0)</f>
        <v>0</v>
      </c>
      <c r="M746" s="271">
        <f>ROUND(O70,0)</f>
        <v>0</v>
      </c>
      <c r="N746" s="271">
        <f>ROUND(O75,0)</f>
        <v>0</v>
      </c>
      <c r="O746" s="271">
        <f>ROUND(O73,0)</f>
        <v>0</v>
      </c>
      <c r="P746" s="271">
        <f>IF(O76&gt;0,ROUND(O76,0),0)</f>
        <v>0</v>
      </c>
      <c r="Q746" s="271">
        <f>IF(O77&gt;0,ROUND(O77,0),0)</f>
        <v>0</v>
      </c>
      <c r="R746" s="271">
        <f>IF(O78&gt;0,ROUND(O78,0),0)</f>
        <v>0</v>
      </c>
      <c r="S746" s="271">
        <f>IF(O79&gt;0,ROUND(O79,0),0)</f>
        <v>0</v>
      </c>
      <c r="T746" s="273">
        <f>IF(O80&gt;0,ROUND(O80,2),0)</f>
        <v>0</v>
      </c>
      <c r="U746" s="271"/>
      <c r="V746" s="272"/>
      <c r="W746" s="271"/>
      <c r="X746" s="271"/>
      <c r="Y746" s="271" t="e">
        <f t="shared" si="21"/>
        <v>#DIV/0!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5" customHeight="1" x14ac:dyDescent="0.35">
      <c r="A747" s="209" t="str">
        <f>RIGHT($C$83,3)&amp;"*"&amp;RIGHT($C$82,4)&amp;"*"&amp;P$55&amp;"*"&amp;"A"</f>
        <v>137*2020*7020*A</v>
      </c>
      <c r="B747" s="271">
        <f>ROUND(P59,0)</f>
        <v>0</v>
      </c>
      <c r="C747" s="273">
        <f>ROUND(P60,2)</f>
        <v>0</v>
      </c>
      <c r="D747" s="271">
        <f>ROUND(P61,0)</f>
        <v>208929</v>
      </c>
      <c r="E747" s="271">
        <f>ROUND(P62,0)</f>
        <v>59038</v>
      </c>
      <c r="F747" s="271">
        <f>ROUND(P63,0)</f>
        <v>946</v>
      </c>
      <c r="G747" s="271">
        <f>ROUND(P64,0)</f>
        <v>361340</v>
      </c>
      <c r="H747" s="271">
        <f>ROUND(P65,0)</f>
        <v>455</v>
      </c>
      <c r="I747" s="271">
        <f>ROUND(P66,0)</f>
        <v>44930</v>
      </c>
      <c r="J747" s="271">
        <f>ROUND(P67,0)</f>
        <v>66441</v>
      </c>
      <c r="K747" s="271">
        <f>ROUND(P68,0)</f>
        <v>2266</v>
      </c>
      <c r="L747" s="271">
        <f>ROUND(P69,0)</f>
        <v>931</v>
      </c>
      <c r="M747" s="271">
        <f>ROUND(P70,0)</f>
        <v>0</v>
      </c>
      <c r="N747" s="271">
        <f>ROUND(P75,0)</f>
        <v>1366806</v>
      </c>
      <c r="O747" s="271">
        <f>ROUND(P73,0)</f>
        <v>147762</v>
      </c>
      <c r="P747" s="271">
        <f>IF(P76&gt;0,ROUND(P76,0),0)</f>
        <v>1403</v>
      </c>
      <c r="Q747" s="271">
        <f>IF(P77&gt;0,ROUND(P77,0),0)</f>
        <v>0</v>
      </c>
      <c r="R747" s="271">
        <f>IF(P78&gt;0,ROUND(P78,0),0)</f>
        <v>0</v>
      </c>
      <c r="S747" s="271">
        <f>IF(P79&gt;0,ROUND(P79,0),0)</f>
        <v>0</v>
      </c>
      <c r="T747" s="273">
        <f>IF(P80&gt;0,ROUND(P80,2),0)</f>
        <v>0</v>
      </c>
      <c r="U747" s="271"/>
      <c r="V747" s="272"/>
      <c r="W747" s="271"/>
      <c r="X747" s="271"/>
      <c r="Y747" s="271" t="e">
        <f t="shared" si="21"/>
        <v>#DIV/0!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5" customHeight="1" x14ac:dyDescent="0.35">
      <c r="A748" s="209" t="str">
        <f>RIGHT($C$83,3)&amp;"*"&amp;RIGHT($C$82,4)&amp;"*"&amp;Q$55&amp;"*"&amp;"A"</f>
        <v>137*2020*7030*A</v>
      </c>
      <c r="B748" s="271">
        <f>ROUND(Q59,0)</f>
        <v>0</v>
      </c>
      <c r="C748" s="273">
        <f>ROUND(Q60,2)</f>
        <v>0</v>
      </c>
      <c r="D748" s="271">
        <f>ROUND(Q61,0)</f>
        <v>252757</v>
      </c>
      <c r="E748" s="271">
        <f>ROUND(Q62,0)</f>
        <v>55998</v>
      </c>
      <c r="F748" s="271">
        <f>ROUND(Q63,0)</f>
        <v>0</v>
      </c>
      <c r="G748" s="271">
        <f>ROUND(Q64,0)</f>
        <v>9465</v>
      </c>
      <c r="H748" s="271">
        <f>ROUND(Q65,0)</f>
        <v>34</v>
      </c>
      <c r="I748" s="271">
        <f>ROUND(Q66,0)</f>
        <v>0</v>
      </c>
      <c r="J748" s="271">
        <f>ROUND(Q67,0)</f>
        <v>0</v>
      </c>
      <c r="K748" s="271">
        <f>ROUND(Q68,0)</f>
        <v>0</v>
      </c>
      <c r="L748" s="271">
        <f>ROUND(Q69,0)</f>
        <v>0</v>
      </c>
      <c r="M748" s="271">
        <f>ROUND(Q70,0)</f>
        <v>-385</v>
      </c>
      <c r="N748" s="271">
        <f>ROUND(Q75,0)</f>
        <v>334479</v>
      </c>
      <c r="O748" s="271">
        <f>ROUND(Q73,0)</f>
        <v>39362</v>
      </c>
      <c r="P748" s="271">
        <f>IF(Q76&gt;0,ROUND(Q76,0),0)</f>
        <v>0</v>
      </c>
      <c r="Q748" s="271">
        <f>IF(Q77&gt;0,ROUND(Q77,0),0)</f>
        <v>0</v>
      </c>
      <c r="R748" s="271">
        <f>IF(Q78&gt;0,ROUND(Q78,0),0)</f>
        <v>0</v>
      </c>
      <c r="S748" s="271">
        <f>IF(Q79&gt;0,ROUND(Q79,0),0)</f>
        <v>0</v>
      </c>
      <c r="T748" s="273">
        <f>IF(Q80&gt;0,ROUND(Q80,2),0)</f>
        <v>0</v>
      </c>
      <c r="U748" s="271"/>
      <c r="V748" s="272"/>
      <c r="W748" s="271"/>
      <c r="X748" s="271"/>
      <c r="Y748" s="271" t="e">
        <f t="shared" si="21"/>
        <v>#DIV/0!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5" customHeight="1" x14ac:dyDescent="0.35">
      <c r="A749" s="209" t="str">
        <f>RIGHT($C$83,3)&amp;"*"&amp;RIGHT($C$82,4)&amp;"*"&amp;R$55&amp;"*"&amp;"A"</f>
        <v>137*2020*7040*A</v>
      </c>
      <c r="B749" s="271">
        <f>ROUND(R59,0)</f>
        <v>0</v>
      </c>
      <c r="C749" s="273">
        <f>ROUND(R60,2)</f>
        <v>0</v>
      </c>
      <c r="D749" s="271">
        <f>ROUND(R61,0)</f>
        <v>755201</v>
      </c>
      <c r="E749" s="271">
        <f>ROUND(R62,0)</f>
        <v>122858</v>
      </c>
      <c r="F749" s="271">
        <f>ROUND(R63,0)</f>
        <v>0</v>
      </c>
      <c r="G749" s="271">
        <f>ROUND(R64,0)</f>
        <v>63171</v>
      </c>
      <c r="H749" s="271">
        <f>ROUND(R65,0)</f>
        <v>2061</v>
      </c>
      <c r="I749" s="271">
        <f>ROUND(R66,0)</f>
        <v>4860</v>
      </c>
      <c r="J749" s="271">
        <f>ROUND(R67,0)</f>
        <v>11768</v>
      </c>
      <c r="K749" s="271">
        <f>ROUND(R68,0)</f>
        <v>11416</v>
      </c>
      <c r="L749" s="271">
        <f>ROUND(R69,0)</f>
        <v>2765</v>
      </c>
      <c r="M749" s="271">
        <f>ROUND(R70,0)</f>
        <v>0</v>
      </c>
      <c r="N749" s="271">
        <f>ROUND(R75,0)</f>
        <v>2222143</v>
      </c>
      <c r="O749" s="271">
        <f>ROUND(R73,0)</f>
        <v>172669</v>
      </c>
      <c r="P749" s="271">
        <f>IF(R76&gt;0,ROUND(R76,0),0)</f>
        <v>225</v>
      </c>
      <c r="Q749" s="271">
        <f>IF(R77&gt;0,ROUND(R77,0),0)</f>
        <v>0</v>
      </c>
      <c r="R749" s="271">
        <f>IF(R78&gt;0,ROUND(R78,0),0)</f>
        <v>0</v>
      </c>
      <c r="S749" s="271">
        <f>IF(R79&gt;0,ROUND(R79,0),0)</f>
        <v>0</v>
      </c>
      <c r="T749" s="273">
        <f>IF(R80&gt;0,ROUND(R80,2),0)</f>
        <v>0</v>
      </c>
      <c r="U749" s="271"/>
      <c r="V749" s="272"/>
      <c r="W749" s="271"/>
      <c r="X749" s="271"/>
      <c r="Y749" s="271" t="e">
        <f t="shared" si="21"/>
        <v>#DIV/0!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5" customHeight="1" x14ac:dyDescent="0.35">
      <c r="A750" s="209" t="str">
        <f>RIGHT($C$83,3)&amp;"*"&amp;RIGHT($C$82,4)&amp;"*"&amp;S$55&amp;"*"&amp;"A"</f>
        <v>137*2020*7050*A</v>
      </c>
      <c r="B750" s="271"/>
      <c r="C750" s="273">
        <f>ROUND(S60,2)</f>
        <v>0</v>
      </c>
      <c r="D750" s="271">
        <f>ROUND(S61,0)</f>
        <v>105471</v>
      </c>
      <c r="E750" s="271">
        <f>ROUND(S62,0)</f>
        <v>35784</v>
      </c>
      <c r="F750" s="271">
        <f>ROUND(S63,0)</f>
        <v>0</v>
      </c>
      <c r="G750" s="271">
        <f>ROUND(S64,0)</f>
        <v>104428</v>
      </c>
      <c r="H750" s="271">
        <f>ROUND(S65,0)</f>
        <v>181</v>
      </c>
      <c r="I750" s="271">
        <f>ROUND(S66,0)</f>
        <v>11</v>
      </c>
      <c r="J750" s="271">
        <f>ROUND(S67,0)</f>
        <v>2098</v>
      </c>
      <c r="K750" s="271">
        <f>ROUND(S68,0)</f>
        <v>0</v>
      </c>
      <c r="L750" s="271">
        <f>ROUND(S69,0)</f>
        <v>0</v>
      </c>
      <c r="M750" s="271">
        <f>ROUND(S70,0)</f>
        <v>-104</v>
      </c>
      <c r="N750" s="271">
        <f>ROUND(S75,0)</f>
        <v>728141</v>
      </c>
      <c r="O750" s="271">
        <f>ROUND(S73,0)</f>
        <v>197211</v>
      </c>
      <c r="P750" s="271">
        <f>IF(S76&gt;0,ROUND(S76,0),0)</f>
        <v>670</v>
      </c>
      <c r="Q750" s="271">
        <f>IF(S77&gt;0,ROUND(S77,0),0)</f>
        <v>0</v>
      </c>
      <c r="R750" s="271">
        <f>IF(S78&gt;0,ROUND(S78,0),0)</f>
        <v>0</v>
      </c>
      <c r="S750" s="271">
        <f>IF(S79&gt;0,ROUND(S79,0),0)</f>
        <v>0</v>
      </c>
      <c r="T750" s="273">
        <f>IF(S80&gt;0,ROUND(S80,2),0)</f>
        <v>0</v>
      </c>
      <c r="U750" s="271"/>
      <c r="V750" s="272"/>
      <c r="W750" s="271"/>
      <c r="X750" s="271"/>
      <c r="Y750" s="271" t="e">
        <f t="shared" si="21"/>
        <v>#DIV/0!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5" customHeight="1" x14ac:dyDescent="0.35">
      <c r="A751" s="209" t="str">
        <f>RIGHT($C$83,3)&amp;"*"&amp;RIGHT($C$82,4)&amp;"*"&amp;T$55&amp;"*"&amp;"A"</f>
        <v>137*2020*7060*A</v>
      </c>
      <c r="B751" s="271"/>
      <c r="C751" s="273">
        <f>ROUND(T60,2)</f>
        <v>0</v>
      </c>
      <c r="D751" s="271">
        <f>ROUND(T61,0)</f>
        <v>0</v>
      </c>
      <c r="E751" s="271">
        <f>ROUND(T62,0)</f>
        <v>0</v>
      </c>
      <c r="F751" s="271">
        <f>ROUND(T63,0)</f>
        <v>0</v>
      </c>
      <c r="G751" s="271">
        <f>ROUND(T64,0)</f>
        <v>0</v>
      </c>
      <c r="H751" s="271">
        <f>ROUND(T65,0)</f>
        <v>0</v>
      </c>
      <c r="I751" s="271">
        <f>ROUND(T66,0)</f>
        <v>0</v>
      </c>
      <c r="J751" s="271">
        <f>ROUND(T67,0)</f>
        <v>0</v>
      </c>
      <c r="K751" s="271">
        <f>ROUND(T68,0)</f>
        <v>0</v>
      </c>
      <c r="L751" s="271">
        <f>ROUND(T69,0)</f>
        <v>0</v>
      </c>
      <c r="M751" s="271">
        <f>ROUND(T70,0)</f>
        <v>0</v>
      </c>
      <c r="N751" s="271">
        <f>ROUND(T75,0)</f>
        <v>0</v>
      </c>
      <c r="O751" s="271">
        <f>ROUND(T73,0)</f>
        <v>0</v>
      </c>
      <c r="P751" s="271">
        <f>IF(T76&gt;0,ROUND(T76,0),0)</f>
        <v>0</v>
      </c>
      <c r="Q751" s="271">
        <f>IF(T77&gt;0,ROUND(T77,0),0)</f>
        <v>0</v>
      </c>
      <c r="R751" s="271">
        <f>IF(T78&gt;0,ROUND(T78,0),0)</f>
        <v>0</v>
      </c>
      <c r="S751" s="271">
        <f>IF(T79&gt;0,ROUND(T79,0),0)</f>
        <v>0</v>
      </c>
      <c r="T751" s="273">
        <f>IF(T80&gt;0,ROUND(T80,2),0)</f>
        <v>0</v>
      </c>
      <c r="U751" s="271"/>
      <c r="V751" s="272"/>
      <c r="W751" s="271"/>
      <c r="X751" s="271"/>
      <c r="Y751" s="271" t="e">
        <f t="shared" si="21"/>
        <v>#DIV/0!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5" customHeight="1" x14ac:dyDescent="0.35">
      <c r="A752" s="209" t="str">
        <f>RIGHT($C$83,3)&amp;"*"&amp;RIGHT($C$82,4)&amp;"*"&amp;U$55&amp;"*"&amp;"A"</f>
        <v>137*2020*7070*A</v>
      </c>
      <c r="B752" s="271">
        <f>ROUND(U59,0)</f>
        <v>0</v>
      </c>
      <c r="C752" s="273">
        <f>ROUND(U60,2)</f>
        <v>0</v>
      </c>
      <c r="D752" s="271">
        <f>ROUND(U61,0)</f>
        <v>504845</v>
      </c>
      <c r="E752" s="271">
        <f>ROUND(U62,0)</f>
        <v>139450</v>
      </c>
      <c r="F752" s="271">
        <f>ROUND(U63,0)</f>
        <v>213088</v>
      </c>
      <c r="G752" s="271">
        <f>ROUND(U64,0)</f>
        <v>364626</v>
      </c>
      <c r="H752" s="271">
        <f>ROUND(U65,0)</f>
        <v>964</v>
      </c>
      <c r="I752" s="271">
        <f>ROUND(U66,0)</f>
        <v>34463</v>
      </c>
      <c r="J752" s="271">
        <f>ROUND(U67,0)</f>
        <v>26337</v>
      </c>
      <c r="K752" s="271">
        <f>ROUND(U68,0)</f>
        <v>3840</v>
      </c>
      <c r="L752" s="271">
        <f>ROUND(U69,0)</f>
        <v>2933</v>
      </c>
      <c r="M752" s="271">
        <f>ROUND(U70,0)</f>
        <v>-33738</v>
      </c>
      <c r="N752" s="271">
        <f>ROUND(U75,0)</f>
        <v>4571138</v>
      </c>
      <c r="O752" s="271">
        <f>ROUND(U73,0)</f>
        <v>628320</v>
      </c>
      <c r="P752" s="271">
        <f>IF(U76&gt;0,ROUND(U76,0),0)</f>
        <v>527</v>
      </c>
      <c r="Q752" s="271">
        <f>IF(U77&gt;0,ROUND(U77,0),0)</f>
        <v>0</v>
      </c>
      <c r="R752" s="271">
        <f>IF(U78&gt;0,ROUND(U78,0),0)</f>
        <v>0</v>
      </c>
      <c r="S752" s="271">
        <f>IF(U79&gt;0,ROUND(U79,0),0)</f>
        <v>0</v>
      </c>
      <c r="T752" s="273">
        <f>IF(U80&gt;0,ROUND(U80,2),0)</f>
        <v>0</v>
      </c>
      <c r="U752" s="271"/>
      <c r="V752" s="272"/>
      <c r="W752" s="271"/>
      <c r="X752" s="271"/>
      <c r="Y752" s="271" t="e">
        <f t="shared" si="21"/>
        <v>#DIV/0!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5" customHeight="1" x14ac:dyDescent="0.35">
      <c r="A753" s="209" t="str">
        <f>RIGHT($C$83,3)&amp;"*"&amp;RIGHT($C$82,4)&amp;"*"&amp;V$55&amp;"*"&amp;"A"</f>
        <v>137*2020*7110*A</v>
      </c>
      <c r="B753" s="271">
        <f>ROUND(V59,0)</f>
        <v>0</v>
      </c>
      <c r="C753" s="273">
        <f>ROUND(V60,2)</f>
        <v>0</v>
      </c>
      <c r="D753" s="271">
        <f>ROUND(V61,0)</f>
        <v>0</v>
      </c>
      <c r="E753" s="271">
        <f>ROUND(V62,0)</f>
        <v>0</v>
      </c>
      <c r="F753" s="271">
        <f>ROUND(V63,0)</f>
        <v>249917</v>
      </c>
      <c r="G753" s="271">
        <f>ROUND(V64,0)</f>
        <v>0</v>
      </c>
      <c r="H753" s="271">
        <f>ROUND(V65,0)</f>
        <v>0</v>
      </c>
      <c r="I753" s="271">
        <f>ROUND(V66,0)</f>
        <v>0</v>
      </c>
      <c r="J753" s="271">
        <f>ROUND(V67,0)</f>
        <v>0</v>
      </c>
      <c r="K753" s="271">
        <f>ROUND(V68,0)</f>
        <v>0</v>
      </c>
      <c r="L753" s="271">
        <f>ROUND(V69,0)</f>
        <v>0</v>
      </c>
      <c r="M753" s="271">
        <f>ROUND(V70,0)</f>
        <v>0</v>
      </c>
      <c r="N753" s="271">
        <f>ROUND(V75,0)</f>
        <v>1260345</v>
      </c>
      <c r="O753" s="271">
        <f>ROUND(V73,0)</f>
        <v>68176</v>
      </c>
      <c r="P753" s="271">
        <f>IF(V76&gt;0,ROUND(V76,0),0)</f>
        <v>0</v>
      </c>
      <c r="Q753" s="271">
        <f>IF(V77&gt;0,ROUND(V77,0),0)</f>
        <v>0</v>
      </c>
      <c r="R753" s="271">
        <f>IF(V78&gt;0,ROUND(V78,0),0)</f>
        <v>0</v>
      </c>
      <c r="S753" s="271">
        <f>IF(V79&gt;0,ROUND(V79,0),0)</f>
        <v>0</v>
      </c>
      <c r="T753" s="273">
        <f>IF(V80&gt;0,ROUND(V80,2),0)</f>
        <v>0</v>
      </c>
      <c r="U753" s="271"/>
      <c r="V753" s="272"/>
      <c r="W753" s="271"/>
      <c r="X753" s="271"/>
      <c r="Y753" s="271" t="e">
        <f t="shared" si="21"/>
        <v>#DIV/0!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5" customHeight="1" x14ac:dyDescent="0.35">
      <c r="A754" s="209" t="str">
        <f>RIGHT($C$83,3)&amp;"*"&amp;RIGHT($C$82,4)&amp;"*"&amp;W$55&amp;"*"&amp;"A"</f>
        <v>137*2020*7120*A</v>
      </c>
      <c r="B754" s="271">
        <f>ROUND(W59,0)</f>
        <v>0</v>
      </c>
      <c r="C754" s="273">
        <f>ROUND(W60,2)</f>
        <v>0</v>
      </c>
      <c r="D754" s="271">
        <f>ROUND(W61,0)</f>
        <v>0</v>
      </c>
      <c r="E754" s="271">
        <f>ROUND(W62,0)</f>
        <v>0</v>
      </c>
      <c r="F754" s="271">
        <f>ROUND(W63,0)</f>
        <v>0</v>
      </c>
      <c r="G754" s="271">
        <f>ROUND(W64,0)</f>
        <v>0</v>
      </c>
      <c r="H754" s="271">
        <f>ROUND(W65,0)</f>
        <v>0</v>
      </c>
      <c r="I754" s="271">
        <f>ROUND(W66,0)</f>
        <v>0</v>
      </c>
      <c r="J754" s="271">
        <f>ROUND(W67,0)</f>
        <v>0</v>
      </c>
      <c r="K754" s="271">
        <f>ROUND(W68,0)</f>
        <v>0</v>
      </c>
      <c r="L754" s="271">
        <f>ROUND(W69,0)</f>
        <v>0</v>
      </c>
      <c r="M754" s="271">
        <f>ROUND(W70,0)</f>
        <v>0</v>
      </c>
      <c r="N754" s="271">
        <f>ROUND(W75,0)</f>
        <v>0</v>
      </c>
      <c r="O754" s="271">
        <f>ROUND(W73,0)</f>
        <v>0</v>
      </c>
      <c r="P754" s="271">
        <f>IF(W76&gt;0,ROUND(W76,0),0)</f>
        <v>0</v>
      </c>
      <c r="Q754" s="271">
        <f>IF(W77&gt;0,ROUND(W77,0),0)</f>
        <v>0</v>
      </c>
      <c r="R754" s="271">
        <f>IF(W78&gt;0,ROUND(W78,0),0)</f>
        <v>0</v>
      </c>
      <c r="S754" s="271">
        <f>IF(W79&gt;0,ROUND(W79,0),0)</f>
        <v>0</v>
      </c>
      <c r="T754" s="273">
        <f>IF(W80&gt;0,ROUND(W80,2),0)</f>
        <v>0</v>
      </c>
      <c r="U754" s="271"/>
      <c r="V754" s="272"/>
      <c r="W754" s="271"/>
      <c r="X754" s="271"/>
      <c r="Y754" s="271" t="e">
        <f t="shared" si="21"/>
        <v>#DIV/0!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5" customHeight="1" x14ac:dyDescent="0.35">
      <c r="A755" s="209" t="str">
        <f>RIGHT($C$83,3)&amp;"*"&amp;RIGHT($C$82,4)&amp;"*"&amp;X$55&amp;"*"&amp;"A"</f>
        <v>137*2020*7130*A</v>
      </c>
      <c r="B755" s="271">
        <f>ROUND(X59,0)</f>
        <v>0</v>
      </c>
      <c r="C755" s="273">
        <f>ROUND(X60,2)</f>
        <v>0</v>
      </c>
      <c r="D755" s="271">
        <f>ROUND(X61,0)</f>
        <v>0</v>
      </c>
      <c r="E755" s="271">
        <f>ROUND(X62,0)</f>
        <v>0</v>
      </c>
      <c r="F755" s="271">
        <f>ROUND(X63,0)</f>
        <v>31053</v>
      </c>
      <c r="G755" s="271">
        <f>ROUND(X64,0)</f>
        <v>57462</v>
      </c>
      <c r="H755" s="271">
        <f>ROUND(X65,0)</f>
        <v>0</v>
      </c>
      <c r="I755" s="271">
        <f>ROUND(X66,0)</f>
        <v>80457</v>
      </c>
      <c r="J755" s="271">
        <f>ROUND(X67,0)</f>
        <v>710</v>
      </c>
      <c r="K755" s="271">
        <f>ROUND(X68,0)</f>
        <v>0</v>
      </c>
      <c r="L755" s="271">
        <f>ROUND(X69,0)</f>
        <v>0</v>
      </c>
      <c r="M755" s="271">
        <f>ROUND(X70,0)</f>
        <v>0</v>
      </c>
      <c r="N755" s="271">
        <f>ROUND(X75,0)</f>
        <v>2790658</v>
      </c>
      <c r="O755" s="271">
        <f>ROUND(X73,0)</f>
        <v>270702</v>
      </c>
      <c r="P755" s="271">
        <f>IF(X76&gt;0,ROUND(X76,0),0)</f>
        <v>0</v>
      </c>
      <c r="Q755" s="271">
        <f>IF(X77&gt;0,ROUND(X77,0),0)</f>
        <v>0</v>
      </c>
      <c r="R755" s="271">
        <f>IF(X78&gt;0,ROUND(X78,0),0)</f>
        <v>0</v>
      </c>
      <c r="S755" s="271">
        <f>IF(X79&gt;0,ROUND(X79,0),0)</f>
        <v>0</v>
      </c>
      <c r="T755" s="273">
        <f>IF(X80&gt;0,ROUND(X80,2),0)</f>
        <v>0</v>
      </c>
      <c r="U755" s="271"/>
      <c r="V755" s="272"/>
      <c r="W755" s="271"/>
      <c r="X755" s="271"/>
      <c r="Y755" s="271" t="e">
        <f t="shared" si="21"/>
        <v>#DIV/0!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5" customHeight="1" x14ac:dyDescent="0.35">
      <c r="A756" s="209" t="str">
        <f>RIGHT($C$83,3)&amp;"*"&amp;RIGHT($C$82,4)&amp;"*"&amp;Y$55&amp;"*"&amp;"A"</f>
        <v>137*2020*7140*A</v>
      </c>
      <c r="B756" s="271">
        <f>ROUND(Y59,0)</f>
        <v>0</v>
      </c>
      <c r="C756" s="273">
        <f>ROUND(Y60,2)</f>
        <v>0</v>
      </c>
      <c r="D756" s="271">
        <f>ROUND(Y61,0)</f>
        <v>533113</v>
      </c>
      <c r="E756" s="271">
        <f>ROUND(Y62,0)</f>
        <v>146048</v>
      </c>
      <c r="F756" s="271">
        <f>ROUND(Y63,0)</f>
        <v>120696</v>
      </c>
      <c r="G756" s="271">
        <f>ROUND(Y64,0)</f>
        <v>20174</v>
      </c>
      <c r="H756" s="271">
        <f>ROUND(Y65,0)</f>
        <v>677</v>
      </c>
      <c r="I756" s="271">
        <f>ROUND(Y66,0)</f>
        <v>52563</v>
      </c>
      <c r="J756" s="271">
        <f>ROUND(Y67,0)</f>
        <v>119077</v>
      </c>
      <c r="K756" s="271">
        <f>ROUND(Y68,0)</f>
        <v>796</v>
      </c>
      <c r="L756" s="271">
        <f>ROUND(Y69,0)</f>
        <v>2707</v>
      </c>
      <c r="M756" s="271">
        <f>ROUND(Y70,0)</f>
        <v>0</v>
      </c>
      <c r="N756" s="271">
        <f>ROUND(Y75,0)</f>
        <v>1942997</v>
      </c>
      <c r="O756" s="271">
        <f>ROUND(Y73,0)</f>
        <v>128563</v>
      </c>
      <c r="P756" s="271">
        <f>IF(Y76&gt;0,ROUND(Y76,0),0)</f>
        <v>1569</v>
      </c>
      <c r="Q756" s="271">
        <f>IF(Y77&gt;0,ROUND(Y77,0),0)</f>
        <v>0</v>
      </c>
      <c r="R756" s="271">
        <f>IF(Y78&gt;0,ROUND(Y78,0),0)</f>
        <v>0</v>
      </c>
      <c r="S756" s="271">
        <f>IF(Y79&gt;0,ROUND(Y79,0),0)</f>
        <v>0</v>
      </c>
      <c r="T756" s="273">
        <f>IF(Y80&gt;0,ROUND(Y80,2),0)</f>
        <v>0</v>
      </c>
      <c r="U756" s="271"/>
      <c r="V756" s="272"/>
      <c r="W756" s="271"/>
      <c r="X756" s="271"/>
      <c r="Y756" s="271" t="e">
        <f t="shared" si="21"/>
        <v>#DIV/0!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5" customHeight="1" x14ac:dyDescent="0.35">
      <c r="A757" s="209" t="str">
        <f>RIGHT($C$83,3)&amp;"*"&amp;RIGHT($C$82,4)&amp;"*"&amp;Z$55&amp;"*"&amp;"A"</f>
        <v>137*2020*7150*A</v>
      </c>
      <c r="B757" s="271">
        <f>ROUND(Z59,0)</f>
        <v>0</v>
      </c>
      <c r="C757" s="273">
        <f>ROUND(Z60,2)</f>
        <v>0</v>
      </c>
      <c r="D757" s="271">
        <f>ROUND(Z61,0)</f>
        <v>0</v>
      </c>
      <c r="E757" s="271">
        <f>ROUND(Z62,0)</f>
        <v>0</v>
      </c>
      <c r="F757" s="271">
        <f>ROUND(Z63,0)</f>
        <v>0</v>
      </c>
      <c r="G757" s="271">
        <f>ROUND(Z64,0)</f>
        <v>0</v>
      </c>
      <c r="H757" s="271">
        <f>ROUND(Z65,0)</f>
        <v>0</v>
      </c>
      <c r="I757" s="271">
        <f>ROUND(Z66,0)</f>
        <v>0</v>
      </c>
      <c r="J757" s="271">
        <f>ROUND(Z67,0)</f>
        <v>0</v>
      </c>
      <c r="K757" s="271">
        <f>ROUND(Z68,0)</f>
        <v>0</v>
      </c>
      <c r="L757" s="271">
        <f>ROUND(Z69,0)</f>
        <v>0</v>
      </c>
      <c r="M757" s="271">
        <f>ROUND(Z70,0)</f>
        <v>0</v>
      </c>
      <c r="N757" s="271">
        <f>ROUND(Z75,0)</f>
        <v>0</v>
      </c>
      <c r="O757" s="271">
        <f>ROUND(Z73,0)</f>
        <v>0</v>
      </c>
      <c r="P757" s="271">
        <f>IF(Z76&gt;0,ROUND(Z76,0),0)</f>
        <v>0</v>
      </c>
      <c r="Q757" s="271">
        <f>IF(Z77&gt;0,ROUND(Z77,0),0)</f>
        <v>0</v>
      </c>
      <c r="R757" s="271">
        <f>IF(Z78&gt;0,ROUND(Z78,0),0)</f>
        <v>0</v>
      </c>
      <c r="S757" s="271">
        <f>IF(Z79&gt;0,ROUND(Z79,0),0)</f>
        <v>0</v>
      </c>
      <c r="T757" s="273">
        <f>IF(Z80&gt;0,ROUND(Z80,2),0)</f>
        <v>0</v>
      </c>
      <c r="U757" s="271"/>
      <c r="V757" s="272"/>
      <c r="W757" s="271"/>
      <c r="X757" s="271"/>
      <c r="Y757" s="271" t="e">
        <f t="shared" si="21"/>
        <v>#DIV/0!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5" customHeight="1" x14ac:dyDescent="0.35">
      <c r="A758" s="209" t="str">
        <f>RIGHT($C$83,3)&amp;"*"&amp;RIGHT($C$82,4)&amp;"*"&amp;AA$55&amp;"*"&amp;"A"</f>
        <v>137*2020*7160*A</v>
      </c>
      <c r="B758" s="271">
        <f>ROUND(AA59,0)</f>
        <v>0</v>
      </c>
      <c r="C758" s="273">
        <f>ROUND(AA60,2)</f>
        <v>0</v>
      </c>
      <c r="D758" s="271">
        <f>ROUND(AA61,0)</f>
        <v>0</v>
      </c>
      <c r="E758" s="271">
        <f>ROUND(AA62,0)</f>
        <v>0</v>
      </c>
      <c r="F758" s="271">
        <f>ROUND(AA63,0)</f>
        <v>0</v>
      </c>
      <c r="G758" s="271">
        <f>ROUND(AA64,0)</f>
        <v>0</v>
      </c>
      <c r="H758" s="271">
        <f>ROUND(AA65,0)</f>
        <v>0</v>
      </c>
      <c r="I758" s="271">
        <f>ROUND(AA66,0)</f>
        <v>0</v>
      </c>
      <c r="J758" s="271">
        <f>ROUND(AA67,0)</f>
        <v>0</v>
      </c>
      <c r="K758" s="271">
        <f>ROUND(AA68,0)</f>
        <v>0</v>
      </c>
      <c r="L758" s="271">
        <f>ROUND(AA69,0)</f>
        <v>0</v>
      </c>
      <c r="M758" s="271">
        <f>ROUND(AA70,0)</f>
        <v>0</v>
      </c>
      <c r="N758" s="271">
        <f>ROUND(AA75,0)</f>
        <v>0</v>
      </c>
      <c r="O758" s="271">
        <f>ROUND(AA73,0)</f>
        <v>0</v>
      </c>
      <c r="P758" s="271">
        <f>IF(AA76&gt;0,ROUND(AA76,0),0)</f>
        <v>0</v>
      </c>
      <c r="Q758" s="271">
        <f>IF(AA77&gt;0,ROUND(AA77,0),0)</f>
        <v>0</v>
      </c>
      <c r="R758" s="271">
        <f>IF(AA78&gt;0,ROUND(AA78,0),0)</f>
        <v>0</v>
      </c>
      <c r="S758" s="271">
        <f>IF(AA79&gt;0,ROUND(AA79,0),0)</f>
        <v>0</v>
      </c>
      <c r="T758" s="273">
        <f>IF(AA80&gt;0,ROUND(AA80,2),0)</f>
        <v>0</v>
      </c>
      <c r="U758" s="271"/>
      <c r="V758" s="272"/>
      <c r="W758" s="271"/>
      <c r="X758" s="271"/>
      <c r="Y758" s="271" t="e">
        <f t="shared" si="21"/>
        <v>#DIV/0!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5" customHeight="1" x14ac:dyDescent="0.35">
      <c r="A759" s="209" t="str">
        <f>RIGHT($C$83,3)&amp;"*"&amp;RIGHT($C$82,4)&amp;"*"&amp;AB$55&amp;"*"&amp;"A"</f>
        <v>137*2020*7170*A</v>
      </c>
      <c r="B759" s="271"/>
      <c r="C759" s="273">
        <f>ROUND(AB60,2)</f>
        <v>0</v>
      </c>
      <c r="D759" s="271">
        <f>ROUND(AB61,0)</f>
        <v>241080</v>
      </c>
      <c r="E759" s="271">
        <f>ROUND(AB62,0)</f>
        <v>49136</v>
      </c>
      <c r="F759" s="271">
        <f>ROUND(AB63,0)</f>
        <v>81333</v>
      </c>
      <c r="G759" s="271">
        <f>ROUND(AB64,0)</f>
        <v>501990</v>
      </c>
      <c r="H759" s="271">
        <f>ROUND(AB65,0)</f>
        <v>176</v>
      </c>
      <c r="I759" s="271">
        <f>ROUND(AB66,0)</f>
        <v>11071</v>
      </c>
      <c r="J759" s="271">
        <f>ROUND(AB67,0)</f>
        <v>1190</v>
      </c>
      <c r="K759" s="271">
        <f>ROUND(AB68,0)</f>
        <v>8423</v>
      </c>
      <c r="L759" s="271">
        <f>ROUND(AB69,0)</f>
        <v>47199</v>
      </c>
      <c r="M759" s="271">
        <f>ROUND(AB70,0)</f>
        <v>0</v>
      </c>
      <c r="N759" s="271">
        <f>ROUND(AB75,0)</f>
        <v>1697015</v>
      </c>
      <c r="O759" s="271">
        <f>ROUND(AB73,0)</f>
        <v>566559</v>
      </c>
      <c r="P759" s="271">
        <f>IF(AB76&gt;0,ROUND(AB76,0),0)</f>
        <v>380</v>
      </c>
      <c r="Q759" s="271">
        <f>IF(AB77&gt;0,ROUND(AB77,0),0)</f>
        <v>0</v>
      </c>
      <c r="R759" s="271">
        <f>IF(AB78&gt;0,ROUND(AB78,0),0)</f>
        <v>0</v>
      </c>
      <c r="S759" s="271">
        <f>IF(AB79&gt;0,ROUND(AB79,0),0)</f>
        <v>0</v>
      </c>
      <c r="T759" s="273">
        <f>IF(AB80&gt;0,ROUND(AB80,2),0)</f>
        <v>0</v>
      </c>
      <c r="U759" s="271"/>
      <c r="V759" s="272"/>
      <c r="W759" s="271"/>
      <c r="X759" s="271"/>
      <c r="Y759" s="271" t="e">
        <f t="shared" si="21"/>
        <v>#DIV/0!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5" customHeight="1" x14ac:dyDescent="0.35">
      <c r="A760" s="209" t="str">
        <f>RIGHT($C$83,3)&amp;"*"&amp;RIGHT($C$82,4)&amp;"*"&amp;AC$55&amp;"*"&amp;"A"</f>
        <v>137*2020*7180*A</v>
      </c>
      <c r="B760" s="271">
        <f>ROUND(AC59,0)</f>
        <v>0</v>
      </c>
      <c r="C760" s="273">
        <f>ROUND(AC60,2)</f>
        <v>0</v>
      </c>
      <c r="D760" s="271">
        <f>ROUND(AC61,0)</f>
        <v>151991</v>
      </c>
      <c r="E760" s="271">
        <f>ROUND(AC62,0)</f>
        <v>34138</v>
      </c>
      <c r="F760" s="271">
        <f>ROUND(AC63,0)</f>
        <v>0</v>
      </c>
      <c r="G760" s="271">
        <f>ROUND(AC64,0)</f>
        <v>26917</v>
      </c>
      <c r="H760" s="271">
        <f>ROUND(AC65,0)</f>
        <v>40</v>
      </c>
      <c r="I760" s="271">
        <f>ROUND(AC66,0)</f>
        <v>1844</v>
      </c>
      <c r="J760" s="271">
        <f>ROUND(AC67,0)</f>
        <v>125</v>
      </c>
      <c r="K760" s="271">
        <f>ROUND(AC68,0)</f>
        <v>3325</v>
      </c>
      <c r="L760" s="271">
        <f>ROUND(AC69,0)</f>
        <v>62</v>
      </c>
      <c r="M760" s="271">
        <f>ROUND(AC70,0)</f>
        <v>0</v>
      </c>
      <c r="N760" s="271">
        <f>ROUND(AC75,0)</f>
        <v>529115</v>
      </c>
      <c r="O760" s="271">
        <f>ROUND(AC73,0)</f>
        <v>377053</v>
      </c>
      <c r="P760" s="271">
        <f>IF(AC76&gt;0,ROUND(AC76,0),0)</f>
        <v>40</v>
      </c>
      <c r="Q760" s="271">
        <f>IF(AC77&gt;0,ROUND(AC77,0),0)</f>
        <v>0</v>
      </c>
      <c r="R760" s="271">
        <f>IF(AC78&gt;0,ROUND(AC78,0),0)</f>
        <v>0</v>
      </c>
      <c r="S760" s="271">
        <f>IF(AC79&gt;0,ROUND(AC79,0),0)</f>
        <v>0</v>
      </c>
      <c r="T760" s="273">
        <f>IF(AC80&gt;0,ROUND(AC80,2),0)</f>
        <v>0</v>
      </c>
      <c r="U760" s="271"/>
      <c r="V760" s="272"/>
      <c r="W760" s="271"/>
      <c r="X760" s="271"/>
      <c r="Y760" s="271" t="e">
        <f t="shared" si="21"/>
        <v>#DIV/0!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5" customHeight="1" x14ac:dyDescent="0.35">
      <c r="A761" s="209" t="str">
        <f>RIGHT($C$83,3)&amp;"*"&amp;RIGHT($C$82,4)&amp;"*"&amp;AD$55&amp;"*"&amp;"A"</f>
        <v>137*2020*7190*A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0</v>
      </c>
      <c r="G761" s="271">
        <f>ROUND(AD64,0)</f>
        <v>0</v>
      </c>
      <c r="H761" s="271">
        <f>ROUND(AD65,0)</f>
        <v>0</v>
      </c>
      <c r="I761" s="271">
        <f>ROUND(AD66,0)</f>
        <v>0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0</v>
      </c>
      <c r="O761" s="271">
        <f>ROUND(AD73,0)</f>
        <v>0</v>
      </c>
      <c r="P761" s="271">
        <f>IF(AD76&gt;0,ROUND(AD76,0),0)</f>
        <v>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 t="e">
        <f t="shared" si="21"/>
        <v>#DIV/0!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5" customHeight="1" x14ac:dyDescent="0.35">
      <c r="A762" s="209" t="str">
        <f>RIGHT($C$83,3)&amp;"*"&amp;RIGHT($C$82,4)&amp;"*"&amp;AE$55&amp;"*"&amp;"A"</f>
        <v>137*2020*7200*A</v>
      </c>
      <c r="B762" s="271">
        <f>ROUND(AE59,0)</f>
        <v>0</v>
      </c>
      <c r="C762" s="273">
        <f>ROUND(AE60,2)</f>
        <v>0</v>
      </c>
      <c r="D762" s="271">
        <f>ROUND(AE61,0)</f>
        <v>535464</v>
      </c>
      <c r="E762" s="271">
        <f>ROUND(AE62,0)</f>
        <v>133451</v>
      </c>
      <c r="F762" s="271">
        <f>ROUND(AE63,0)</f>
        <v>0</v>
      </c>
      <c r="G762" s="271">
        <f>ROUND(AE64,0)</f>
        <v>10768</v>
      </c>
      <c r="H762" s="271">
        <f>ROUND(AE65,0)</f>
        <v>9914</v>
      </c>
      <c r="I762" s="271">
        <f>ROUND(AE66,0)</f>
        <v>26353</v>
      </c>
      <c r="J762" s="271">
        <f>ROUND(AE67,0)</f>
        <v>5864</v>
      </c>
      <c r="K762" s="271">
        <f>ROUND(AE68,0)</f>
        <v>25200</v>
      </c>
      <c r="L762" s="271">
        <f>ROUND(AE69,0)</f>
        <v>759</v>
      </c>
      <c r="M762" s="271">
        <f>ROUND(AE70,0)</f>
        <v>-1355</v>
      </c>
      <c r="N762" s="271">
        <f>ROUND(AE75,0)</f>
        <v>1587489</v>
      </c>
      <c r="O762" s="271">
        <f>ROUND(AE73,0)</f>
        <v>349714</v>
      </c>
      <c r="P762" s="271">
        <f>IF(AE76&gt;0,ROUND(AE76,0),0)</f>
        <v>1465</v>
      </c>
      <c r="Q762" s="271">
        <f>IF(AE77&gt;0,ROUND(AE77,0),0)</f>
        <v>0</v>
      </c>
      <c r="R762" s="271">
        <f>IF(AE78&gt;0,ROUND(AE78,0),0)</f>
        <v>0</v>
      </c>
      <c r="S762" s="271">
        <f>IF(AE79&gt;0,ROUND(AE79,0),0)</f>
        <v>0</v>
      </c>
      <c r="T762" s="273">
        <f>IF(AE80&gt;0,ROUND(AE80,2),0)</f>
        <v>0</v>
      </c>
      <c r="U762" s="271"/>
      <c r="V762" s="272"/>
      <c r="W762" s="271"/>
      <c r="X762" s="271"/>
      <c r="Y762" s="271" t="e">
        <f t="shared" si="21"/>
        <v>#DIV/0!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5" customHeight="1" x14ac:dyDescent="0.35">
      <c r="A763" s="209" t="str">
        <f>RIGHT($C$83,3)&amp;"*"&amp;RIGHT($C$82,4)&amp;"*"&amp;AF$55&amp;"*"&amp;"A"</f>
        <v>137*2020*7220*A</v>
      </c>
      <c r="B763" s="271">
        <f>ROUND(AF59,0)</f>
        <v>0</v>
      </c>
      <c r="C763" s="273">
        <f>ROUND(AF60,2)</f>
        <v>0</v>
      </c>
      <c r="D763" s="271">
        <f>ROUND(AF61,0)</f>
        <v>0</v>
      </c>
      <c r="E763" s="271">
        <f>ROUND(AF62,0)</f>
        <v>0</v>
      </c>
      <c r="F763" s="271">
        <f>ROUND(AF63,0)</f>
        <v>0</v>
      </c>
      <c r="G763" s="271">
        <f>ROUND(AF64,0)</f>
        <v>0</v>
      </c>
      <c r="H763" s="271">
        <f>ROUND(AF65,0)</f>
        <v>0</v>
      </c>
      <c r="I763" s="271">
        <f>ROUND(AF66,0)</f>
        <v>0</v>
      </c>
      <c r="J763" s="271">
        <f>ROUND(AF67,0)</f>
        <v>0</v>
      </c>
      <c r="K763" s="271">
        <f>ROUND(AF68,0)</f>
        <v>0</v>
      </c>
      <c r="L763" s="271">
        <f>ROUND(AF69,0)</f>
        <v>0</v>
      </c>
      <c r="M763" s="271">
        <f>ROUND(AF70,0)</f>
        <v>0</v>
      </c>
      <c r="N763" s="271">
        <f>ROUND(AF75,0)</f>
        <v>0</v>
      </c>
      <c r="O763" s="271">
        <f>ROUND(AF73,0)</f>
        <v>0</v>
      </c>
      <c r="P763" s="271">
        <f>IF(AF76&gt;0,ROUND(AF76,0),0)</f>
        <v>0</v>
      </c>
      <c r="Q763" s="271">
        <f>IF(AF77&gt;0,ROUND(AF77,0),0)</f>
        <v>0</v>
      </c>
      <c r="R763" s="271">
        <f>IF(AF78&gt;0,ROUND(AF78,0),0)</f>
        <v>0</v>
      </c>
      <c r="S763" s="271">
        <f>IF(AF79&gt;0,ROUND(AF79,0),0)</f>
        <v>0</v>
      </c>
      <c r="T763" s="273">
        <f>IF(AF80&gt;0,ROUND(AF80,2),0)</f>
        <v>0</v>
      </c>
      <c r="U763" s="271"/>
      <c r="V763" s="272"/>
      <c r="W763" s="271"/>
      <c r="X763" s="271"/>
      <c r="Y763" s="271" t="e">
        <f t="shared" si="21"/>
        <v>#DIV/0!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5" customHeight="1" x14ac:dyDescent="0.35">
      <c r="A764" s="209" t="str">
        <f>RIGHT($C$83,3)&amp;"*"&amp;RIGHT($C$82,4)&amp;"*"&amp;AG$55&amp;"*"&amp;"A"</f>
        <v>137*2020*7230*A</v>
      </c>
      <c r="B764" s="271">
        <f>ROUND(AG59,0)</f>
        <v>0</v>
      </c>
      <c r="C764" s="273">
        <f>ROUND(AG60,2)</f>
        <v>0</v>
      </c>
      <c r="D764" s="271">
        <f>ROUND(AG61,0)</f>
        <v>645601</v>
      </c>
      <c r="E764" s="271">
        <f>ROUND(AG62,0)</f>
        <v>127204</v>
      </c>
      <c r="F764" s="271">
        <f>ROUND(AG63,0)</f>
        <v>0</v>
      </c>
      <c r="G764" s="271">
        <f>ROUND(AG64,0)</f>
        <v>43045</v>
      </c>
      <c r="H764" s="271">
        <f>ROUND(AG65,0)</f>
        <v>5</v>
      </c>
      <c r="I764" s="271">
        <f>ROUND(AG66,0)</f>
        <v>4348</v>
      </c>
      <c r="J764" s="271">
        <f>ROUND(AG67,0)</f>
        <v>6643</v>
      </c>
      <c r="K764" s="271">
        <f>ROUND(AG68,0)</f>
        <v>5988</v>
      </c>
      <c r="L764" s="271">
        <f>ROUND(AG69,0)</f>
        <v>0</v>
      </c>
      <c r="M764" s="271">
        <f>ROUND(AG70,0)</f>
        <v>0</v>
      </c>
      <c r="N764" s="271">
        <f>ROUND(AG75,0)</f>
        <v>1574653</v>
      </c>
      <c r="O764" s="271">
        <f>ROUND(AG73,0)</f>
        <v>77859</v>
      </c>
      <c r="P764" s="271">
        <f>IF(AG76&gt;0,ROUND(AG76,0),0)</f>
        <v>581</v>
      </c>
      <c r="Q764" s="271">
        <f>IF(AG77&gt;0,ROUND(AG77,0),0)</f>
        <v>0</v>
      </c>
      <c r="R764" s="271">
        <f>IF(AG78&gt;0,ROUND(AG78,0),0)</f>
        <v>0</v>
      </c>
      <c r="S764" s="271">
        <f>IF(AG79&gt;0,ROUND(AG79,0),0)</f>
        <v>0</v>
      </c>
      <c r="T764" s="273">
        <f>IF(AG80&gt;0,ROUND(AG80,2),0)</f>
        <v>0</v>
      </c>
      <c r="U764" s="271"/>
      <c r="V764" s="272"/>
      <c r="W764" s="271"/>
      <c r="X764" s="271"/>
      <c r="Y764" s="271" t="e">
        <f t="shared" si="21"/>
        <v>#DIV/0!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5" customHeight="1" x14ac:dyDescent="0.35">
      <c r="A765" s="209" t="str">
        <f>RIGHT($C$83,3)&amp;"*"&amp;RIGHT($C$82,4)&amp;"*"&amp;AH$55&amp;"*"&amp;"A"</f>
        <v>137*2020*7240*A</v>
      </c>
      <c r="B765" s="271">
        <f>ROUND(AH59,0)</f>
        <v>0</v>
      </c>
      <c r="C765" s="273">
        <f>ROUND(AH60,2)</f>
        <v>0</v>
      </c>
      <c r="D765" s="271">
        <f>ROUND(AH61,0)</f>
        <v>152983</v>
      </c>
      <c r="E765" s="271">
        <f>ROUND(AH62,0)</f>
        <v>25443</v>
      </c>
      <c r="F765" s="271">
        <f>ROUND(AH63,0)</f>
        <v>0</v>
      </c>
      <c r="G765" s="271">
        <f>ROUND(AH64,0)</f>
        <v>23148</v>
      </c>
      <c r="H765" s="271">
        <f>ROUND(AH65,0)</f>
        <v>5800</v>
      </c>
      <c r="I765" s="271">
        <f>ROUND(AH66,0)</f>
        <v>14236</v>
      </c>
      <c r="J765" s="271">
        <f>ROUND(AH67,0)</f>
        <v>8580</v>
      </c>
      <c r="K765" s="271">
        <f>ROUND(AH68,0)</f>
        <v>0</v>
      </c>
      <c r="L765" s="271">
        <f>ROUND(AH69,0)</f>
        <v>1002</v>
      </c>
      <c r="M765" s="271">
        <f>ROUND(AH70,0)</f>
        <v>-11250</v>
      </c>
      <c r="N765" s="271">
        <f>ROUND(AH75,0)</f>
        <v>461403</v>
      </c>
      <c r="O765" s="271">
        <f>ROUND(AH73,0)</f>
        <v>27081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0</v>
      </c>
      <c r="T765" s="273">
        <f>IF(AH80&gt;0,ROUND(AH80,2),0)</f>
        <v>0</v>
      </c>
      <c r="U765" s="271"/>
      <c r="V765" s="272"/>
      <c r="W765" s="271"/>
      <c r="X765" s="271"/>
      <c r="Y765" s="271" t="e">
        <f t="shared" si="21"/>
        <v>#DIV/0!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5" customHeight="1" x14ac:dyDescent="0.35">
      <c r="A766" s="209" t="str">
        <f>RIGHT($C$83,3)&amp;"*"&amp;RIGHT($C$82,4)&amp;"*"&amp;AI$55&amp;"*"&amp;"A"</f>
        <v>137*2020*7250*A</v>
      </c>
      <c r="B766" s="271">
        <f>ROUND(AI59,0)</f>
        <v>0</v>
      </c>
      <c r="C766" s="273">
        <f>ROUND(AI60,2)</f>
        <v>0</v>
      </c>
      <c r="D766" s="271">
        <f>ROUND(AI61,0)</f>
        <v>0</v>
      </c>
      <c r="E766" s="271">
        <f>ROUND(AI62,0)</f>
        <v>0</v>
      </c>
      <c r="F766" s="271">
        <f>ROUND(AI63,0)</f>
        <v>0</v>
      </c>
      <c r="G766" s="271">
        <f>ROUND(AI64,0)</f>
        <v>0</v>
      </c>
      <c r="H766" s="271">
        <f>ROUND(AI65,0)</f>
        <v>0</v>
      </c>
      <c r="I766" s="271">
        <f>ROUND(AI66,0)</f>
        <v>0</v>
      </c>
      <c r="J766" s="271">
        <f>ROUND(AI67,0)</f>
        <v>0</v>
      </c>
      <c r="K766" s="271">
        <f>ROUND(AI68,0)</f>
        <v>0</v>
      </c>
      <c r="L766" s="271">
        <f>ROUND(AI69,0)</f>
        <v>0</v>
      </c>
      <c r="M766" s="271">
        <f>ROUND(AI70,0)</f>
        <v>0</v>
      </c>
      <c r="N766" s="271">
        <f>ROUND(AI75,0)</f>
        <v>-6876</v>
      </c>
      <c r="O766" s="271">
        <f>ROUND(AI73,0)</f>
        <v>0</v>
      </c>
      <c r="P766" s="271">
        <f>IF(AI76&gt;0,ROUND(AI76,0),0)</f>
        <v>0</v>
      </c>
      <c r="Q766" s="271">
        <f>IF(AI77&gt;0,ROUND(AI77,0),0)</f>
        <v>0</v>
      </c>
      <c r="R766" s="271">
        <f>IF(AI78&gt;0,ROUND(AI78,0),0)</f>
        <v>0</v>
      </c>
      <c r="S766" s="271">
        <f>IF(AI79&gt;0,ROUND(AI79,0),0)</f>
        <v>0</v>
      </c>
      <c r="T766" s="273">
        <f>IF(AI80&gt;0,ROUND(AI80,2),0)</f>
        <v>0</v>
      </c>
      <c r="U766" s="271"/>
      <c r="V766" s="272"/>
      <c r="W766" s="271"/>
      <c r="X766" s="271"/>
      <c r="Y766" s="271" t="e">
        <f t="shared" si="21"/>
        <v>#DIV/0!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5" customHeight="1" x14ac:dyDescent="0.35">
      <c r="A767" s="209" t="str">
        <f>RIGHT($C$83,3)&amp;"*"&amp;RIGHT($C$82,4)&amp;"*"&amp;AJ$55&amp;"*"&amp;"A"</f>
        <v>137*2020*7260*A</v>
      </c>
      <c r="B767" s="271">
        <f>ROUND(AJ59,0)</f>
        <v>0</v>
      </c>
      <c r="C767" s="273">
        <f>ROUND(AJ60,2)</f>
        <v>0</v>
      </c>
      <c r="D767" s="271">
        <f>ROUND(AJ61,0)</f>
        <v>4340126</v>
      </c>
      <c r="E767" s="271">
        <f>ROUND(AJ62,0)</f>
        <v>829094</v>
      </c>
      <c r="F767" s="271">
        <f>ROUND(AJ63,0)</f>
        <v>0</v>
      </c>
      <c r="G767" s="271">
        <f>ROUND(AJ64,0)</f>
        <v>280967</v>
      </c>
      <c r="H767" s="271">
        <f>ROUND(AJ65,0)</f>
        <v>67041</v>
      </c>
      <c r="I767" s="271">
        <f>ROUND(AJ66,0)</f>
        <v>83111</v>
      </c>
      <c r="J767" s="271">
        <f>ROUND(AJ67,0)</f>
        <v>36943</v>
      </c>
      <c r="K767" s="271">
        <f>ROUND(AJ68,0)</f>
        <v>157654</v>
      </c>
      <c r="L767" s="271">
        <f>ROUND(AJ69,0)</f>
        <v>47008</v>
      </c>
      <c r="M767" s="271">
        <f>ROUND(AJ70,0)</f>
        <v>-41046</v>
      </c>
      <c r="N767" s="271">
        <f>ROUND(AJ75,0)</f>
        <v>6451333</v>
      </c>
      <c r="O767" s="271">
        <f>ROUND(AJ73,0)</f>
        <v>0</v>
      </c>
      <c r="P767" s="271">
        <f>IF(AJ76&gt;0,ROUND(AJ76,0),0)</f>
        <v>6493</v>
      </c>
      <c r="Q767" s="271">
        <f>IF(AJ77&gt;0,ROUND(AJ77,0),0)</f>
        <v>0</v>
      </c>
      <c r="R767" s="271">
        <f>IF(AJ78&gt;0,ROUND(AJ78,0),0)</f>
        <v>0</v>
      </c>
      <c r="S767" s="271">
        <f>IF(AJ79&gt;0,ROUND(AJ79,0),0)</f>
        <v>0</v>
      </c>
      <c r="T767" s="273">
        <f>IF(AJ80&gt;0,ROUND(AJ80,2),0)</f>
        <v>0</v>
      </c>
      <c r="U767" s="271"/>
      <c r="V767" s="272"/>
      <c r="W767" s="271"/>
      <c r="X767" s="271"/>
      <c r="Y767" s="271" t="e">
        <f t="shared" si="21"/>
        <v>#DIV/0!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5" customHeight="1" x14ac:dyDescent="0.35">
      <c r="A768" s="209" t="str">
        <f>RIGHT($C$83,3)&amp;"*"&amp;RIGHT($C$82,4)&amp;"*"&amp;AK$55&amp;"*"&amp;"A"</f>
        <v>137*2020*7310*A</v>
      </c>
      <c r="B768" s="271">
        <f>ROUND(AK59,0)</f>
        <v>0</v>
      </c>
      <c r="C768" s="273">
        <f>ROUND(AK60,2)</f>
        <v>0</v>
      </c>
      <c r="D768" s="271">
        <f>ROUND(AK61,0)</f>
        <v>92673</v>
      </c>
      <c r="E768" s="271">
        <f>ROUND(AK62,0)</f>
        <v>17487</v>
      </c>
      <c r="F768" s="271">
        <f>ROUND(AK63,0)</f>
        <v>0</v>
      </c>
      <c r="G768" s="271">
        <f>ROUND(AK64,0)</f>
        <v>1836</v>
      </c>
      <c r="H768" s="271">
        <f>ROUND(AK65,0)</f>
        <v>61</v>
      </c>
      <c r="I768" s="271">
        <f>ROUND(AK66,0)</f>
        <v>0</v>
      </c>
      <c r="J768" s="271">
        <f>ROUND(AK67,0)</f>
        <v>1337</v>
      </c>
      <c r="K768" s="271">
        <f>ROUND(AK68,0)</f>
        <v>0</v>
      </c>
      <c r="L768" s="271">
        <f>ROUND(AK69,0)</f>
        <v>541</v>
      </c>
      <c r="M768" s="271">
        <f>ROUND(AK70,0)</f>
        <v>0</v>
      </c>
      <c r="N768" s="271">
        <f>ROUND(AK75,0)</f>
        <v>260234</v>
      </c>
      <c r="O768" s="271">
        <f>ROUND(AK73,0)</f>
        <v>197553</v>
      </c>
      <c r="P768" s="271">
        <f>IF(AK76&gt;0,ROUND(AK76,0),0)</f>
        <v>427</v>
      </c>
      <c r="Q768" s="271">
        <f>IF(AK77&gt;0,ROUND(AK77,0),0)</f>
        <v>0</v>
      </c>
      <c r="R768" s="271">
        <f>IF(AK78&gt;0,ROUND(AK78,0),0)</f>
        <v>0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 t="e">
        <f t="shared" si="21"/>
        <v>#DIV/0!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5" customHeight="1" x14ac:dyDescent="0.35">
      <c r="A769" s="209" t="str">
        <f>RIGHT($C$83,3)&amp;"*"&amp;RIGHT($C$82,4)&amp;"*"&amp;AL$55&amp;"*"&amp;"A"</f>
        <v>137*2020*7320*A</v>
      </c>
      <c r="B769" s="271">
        <f>ROUND(AL59,0)</f>
        <v>0</v>
      </c>
      <c r="C769" s="273">
        <f>ROUND(AL60,2)</f>
        <v>0</v>
      </c>
      <c r="D769" s="271">
        <f>ROUND(AL61,0)</f>
        <v>57688</v>
      </c>
      <c r="E769" s="271">
        <f>ROUND(AL62,0)</f>
        <v>14590</v>
      </c>
      <c r="F769" s="271">
        <f>ROUND(AL63,0)</f>
        <v>0</v>
      </c>
      <c r="G769" s="271">
        <f>ROUND(AL64,0)</f>
        <v>327</v>
      </c>
      <c r="H769" s="271">
        <f>ROUND(AL65,0)</f>
        <v>6</v>
      </c>
      <c r="I769" s="271">
        <f>ROUND(AL66,0)</f>
        <v>0</v>
      </c>
      <c r="J769" s="271">
        <f>ROUND(AL67,0)</f>
        <v>0</v>
      </c>
      <c r="K769" s="271">
        <f>ROUND(AL68,0)</f>
        <v>0</v>
      </c>
      <c r="L769" s="271">
        <f>ROUND(AL69,0)</f>
        <v>0</v>
      </c>
      <c r="M769" s="271">
        <f>ROUND(AL70,0)</f>
        <v>0</v>
      </c>
      <c r="N769" s="271">
        <f>ROUND(AL75,0)</f>
        <v>94753</v>
      </c>
      <c r="O769" s="271">
        <f>ROUND(AL73,0)</f>
        <v>67244</v>
      </c>
      <c r="P769" s="271">
        <f>IF(AL76&gt;0,ROUND(AL76,0),0)</f>
        <v>0</v>
      </c>
      <c r="Q769" s="271">
        <f>IF(AL77&gt;0,ROUND(AL77,0),0)</f>
        <v>0</v>
      </c>
      <c r="R769" s="271">
        <f>IF(AL78&gt;0,ROUND(AL78,0),0)</f>
        <v>0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 t="e">
        <f t="shared" si="21"/>
        <v>#DIV/0!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5" customHeight="1" x14ac:dyDescent="0.35">
      <c r="A770" s="209" t="str">
        <f>RIGHT($C$83,3)&amp;"*"&amp;RIGHT($C$82,4)&amp;"*"&amp;AM$55&amp;"*"&amp;"A"</f>
        <v>137*2020*7330*A</v>
      </c>
      <c r="B770" s="271">
        <f>ROUND(AM59,0)</f>
        <v>0</v>
      </c>
      <c r="C770" s="273">
        <f>ROUND(AM60,2)</f>
        <v>0</v>
      </c>
      <c r="D770" s="271">
        <f>ROUND(AM61,0)</f>
        <v>41535</v>
      </c>
      <c r="E770" s="271">
        <f>ROUND(AM62,0)</f>
        <v>13730</v>
      </c>
      <c r="F770" s="271">
        <f>ROUND(AM63,0)</f>
        <v>0</v>
      </c>
      <c r="G770" s="271">
        <f>ROUND(AM64,0)</f>
        <v>91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0</v>
      </c>
      <c r="M770" s="271">
        <f>ROUND(AM70,0)</f>
        <v>0</v>
      </c>
      <c r="N770" s="271">
        <f>ROUND(AM75,0)</f>
        <v>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0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 t="e">
        <f t="shared" si="21"/>
        <v>#DIV/0!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5" customHeight="1" x14ac:dyDescent="0.35">
      <c r="A771" s="209" t="str">
        <f>RIGHT($C$83,3)&amp;"*"&amp;RIGHT($C$82,4)&amp;"*"&amp;AN$55&amp;"*"&amp;"A"</f>
        <v>137*2020*7340*A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 t="e">
        <f t="shared" si="21"/>
        <v>#DIV/0!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5" customHeight="1" x14ac:dyDescent="0.35">
      <c r="A772" s="209" t="str">
        <f>RIGHT($C$83,3)&amp;"*"&amp;RIGHT($C$82,4)&amp;"*"&amp;AO$55&amp;"*"&amp;"A"</f>
        <v>137*2020*7350*A</v>
      </c>
      <c r="B772" s="271">
        <f>ROUND(AO59,0)</f>
        <v>0</v>
      </c>
      <c r="C772" s="273">
        <f>ROUND(AO60,2)</f>
        <v>0</v>
      </c>
      <c r="D772" s="271">
        <f>ROUND(AO61,0)</f>
        <v>0</v>
      </c>
      <c r="E772" s="271">
        <f>ROUND(AO62,0)</f>
        <v>0</v>
      </c>
      <c r="F772" s="271">
        <f>ROUND(AO63,0)</f>
        <v>0</v>
      </c>
      <c r="G772" s="271">
        <f>ROUND(AO64,0)</f>
        <v>0</v>
      </c>
      <c r="H772" s="271">
        <f>ROUND(AO65,0)</f>
        <v>0</v>
      </c>
      <c r="I772" s="271">
        <f>ROUND(AO66,0)</f>
        <v>0</v>
      </c>
      <c r="J772" s="271">
        <f>ROUND(AO67,0)</f>
        <v>0</v>
      </c>
      <c r="K772" s="271">
        <f>ROUND(AO68,0)</f>
        <v>0</v>
      </c>
      <c r="L772" s="271">
        <f>ROUND(AO69,0)</f>
        <v>0</v>
      </c>
      <c r="M772" s="271">
        <f>ROUND(AO70,0)</f>
        <v>0</v>
      </c>
      <c r="N772" s="271">
        <f>ROUND(AO75,0)</f>
        <v>412486</v>
      </c>
      <c r="O772" s="271">
        <f>ROUND(AO73,0)</f>
        <v>0</v>
      </c>
      <c r="P772" s="271">
        <f>IF(AO76&gt;0,ROUND(AO76,0),0)</f>
        <v>0</v>
      </c>
      <c r="Q772" s="271">
        <f>IF(AO77&gt;0,ROUND(AO77,0),0)</f>
        <v>0</v>
      </c>
      <c r="R772" s="271">
        <f>IF(AO78&gt;0,ROUND(AO78,0),0)</f>
        <v>0</v>
      </c>
      <c r="S772" s="271">
        <f>IF(AO79&gt;0,ROUND(AO79,0),0)</f>
        <v>0</v>
      </c>
      <c r="T772" s="273">
        <f>IF(AO80&gt;0,ROUND(AO80,2),0)</f>
        <v>0</v>
      </c>
      <c r="U772" s="271"/>
      <c r="V772" s="272"/>
      <c r="W772" s="271"/>
      <c r="X772" s="271"/>
      <c r="Y772" s="271" t="e">
        <f t="shared" si="21"/>
        <v>#DIV/0!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5" customHeight="1" x14ac:dyDescent="0.35">
      <c r="A773" s="209" t="str">
        <f>RIGHT($C$83,3)&amp;"*"&amp;RIGHT($C$82,4)&amp;"*"&amp;AP$55&amp;"*"&amp;"A"</f>
        <v>137*2020*7380*A</v>
      </c>
      <c r="B773" s="271">
        <f>ROUND(AP59,0)</f>
        <v>0</v>
      </c>
      <c r="C773" s="273">
        <f>ROUND(AP60,2)</f>
        <v>0</v>
      </c>
      <c r="D773" s="271">
        <f>ROUND(AP61,0)</f>
        <v>0</v>
      </c>
      <c r="E773" s="271">
        <f>ROUND(AP62,0)</f>
        <v>0</v>
      </c>
      <c r="F773" s="271">
        <f>ROUND(AP63,0)</f>
        <v>0</v>
      </c>
      <c r="G773" s="271">
        <f>ROUND(AP64,0)</f>
        <v>0</v>
      </c>
      <c r="H773" s="271">
        <f>ROUND(AP65,0)</f>
        <v>0</v>
      </c>
      <c r="I773" s="271">
        <f>ROUND(AP66,0)</f>
        <v>0</v>
      </c>
      <c r="J773" s="271">
        <f>ROUND(AP67,0)</f>
        <v>0</v>
      </c>
      <c r="K773" s="271">
        <f>ROUND(AP68,0)</f>
        <v>0</v>
      </c>
      <c r="L773" s="271">
        <f>ROUND(AP69,0)</f>
        <v>0</v>
      </c>
      <c r="M773" s="271">
        <f>ROUND(AP70,0)</f>
        <v>0</v>
      </c>
      <c r="N773" s="271">
        <f>ROUND(AP75,0)</f>
        <v>0</v>
      </c>
      <c r="O773" s="271">
        <f>ROUND(AP73,0)</f>
        <v>0</v>
      </c>
      <c r="P773" s="271">
        <f>IF(AP76&gt;0,ROUND(AP76,0),0)</f>
        <v>0</v>
      </c>
      <c r="Q773" s="271">
        <f>IF(AP77&gt;0,ROUND(AP77,0),0)</f>
        <v>0</v>
      </c>
      <c r="R773" s="271">
        <f>IF(AP78&gt;0,ROUND(AP78,0),0)</f>
        <v>0</v>
      </c>
      <c r="S773" s="271">
        <f>IF(AP79&gt;0,ROUND(AP79,0),0)</f>
        <v>0</v>
      </c>
      <c r="T773" s="273">
        <f>IF(AP80&gt;0,ROUND(AP80,2),0)</f>
        <v>0</v>
      </c>
      <c r="U773" s="271"/>
      <c r="V773" s="272"/>
      <c r="W773" s="271"/>
      <c r="X773" s="271"/>
      <c r="Y773" s="271" t="e">
        <f t="shared" si="21"/>
        <v>#DIV/0!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5" customHeight="1" x14ac:dyDescent="0.35">
      <c r="A774" s="209" t="str">
        <f>RIGHT($C$83,3)&amp;"*"&amp;RIGHT($C$82,4)&amp;"*"&amp;AQ$55&amp;"*"&amp;"A"</f>
        <v>137*2020*7390*A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 t="e">
        <f t="shared" si="21"/>
        <v>#DIV/0!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5" customHeight="1" x14ac:dyDescent="0.35">
      <c r="A775" s="209" t="str">
        <f>RIGHT($C$83,3)&amp;"*"&amp;RIGHT($C$82,4)&amp;"*"&amp;AR$55&amp;"*"&amp;"A"</f>
        <v>137*2020*7400*A</v>
      </c>
      <c r="B775" s="271">
        <f>ROUND(AR59,0)</f>
        <v>0</v>
      </c>
      <c r="C775" s="273">
        <f>ROUND(AR60,2)</f>
        <v>0</v>
      </c>
      <c r="D775" s="271">
        <f>ROUND(AR61,0)</f>
        <v>0</v>
      </c>
      <c r="E775" s="271">
        <f>ROUND(AR62,0)</f>
        <v>0</v>
      </c>
      <c r="F775" s="271">
        <f>ROUND(AR63,0)</f>
        <v>0</v>
      </c>
      <c r="G775" s="271">
        <f>ROUND(AR64,0)</f>
        <v>0</v>
      </c>
      <c r="H775" s="271">
        <f>ROUND(AR65,0)</f>
        <v>0</v>
      </c>
      <c r="I775" s="271">
        <f>ROUND(AR66,0)</f>
        <v>0</v>
      </c>
      <c r="J775" s="271">
        <f>ROUND(AR67,0)</f>
        <v>0</v>
      </c>
      <c r="K775" s="271">
        <f>ROUND(AR68,0)</f>
        <v>0</v>
      </c>
      <c r="L775" s="271">
        <f>ROUND(AR69,0)</f>
        <v>0</v>
      </c>
      <c r="M775" s="271">
        <f>ROUND(AR70,0)</f>
        <v>0</v>
      </c>
      <c r="N775" s="271">
        <f>ROUND(AR75,0)</f>
        <v>0</v>
      </c>
      <c r="O775" s="271">
        <f>ROUND(AR73,0)</f>
        <v>0</v>
      </c>
      <c r="P775" s="271">
        <f>IF(AR76&gt;0,ROUND(AR76,0),0)</f>
        <v>0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0</v>
      </c>
      <c r="U775" s="271"/>
      <c r="V775" s="272"/>
      <c r="W775" s="271"/>
      <c r="X775" s="271"/>
      <c r="Y775" s="271" t="e">
        <f t="shared" si="21"/>
        <v>#DIV/0!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5" customHeight="1" x14ac:dyDescent="0.35">
      <c r="A776" s="209" t="str">
        <f>RIGHT($C$83,3)&amp;"*"&amp;RIGHT($C$82,4)&amp;"*"&amp;AS$55&amp;"*"&amp;"A"</f>
        <v>137*2020*7410*A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 t="e">
        <f t="shared" si="21"/>
        <v>#DIV/0!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5" customHeight="1" x14ac:dyDescent="0.35">
      <c r="A777" s="209" t="str">
        <f>RIGHT($C$83,3)&amp;"*"&amp;RIGHT($C$82,4)&amp;"*"&amp;AT$55&amp;"*"&amp;"A"</f>
        <v>137*2020*7420*A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 t="e">
        <f t="shared" si="21"/>
        <v>#DIV/0!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5" customHeight="1" x14ac:dyDescent="0.35">
      <c r="A778" s="209" t="str">
        <f>RIGHT($C$83,3)&amp;"*"&amp;RIGHT($C$82,4)&amp;"*"&amp;AU$55&amp;"*"&amp;"A"</f>
        <v>137*2020*7430*A</v>
      </c>
      <c r="B778" s="271">
        <f>ROUND(AU59,0)</f>
        <v>0</v>
      </c>
      <c r="C778" s="273">
        <f>ROUND(AU60,2)</f>
        <v>0</v>
      </c>
      <c r="D778" s="271">
        <f>ROUND(AU61,0)</f>
        <v>0</v>
      </c>
      <c r="E778" s="271">
        <f>ROUND(AU62,0)</f>
        <v>0</v>
      </c>
      <c r="F778" s="271">
        <f>ROUND(AU63,0)</f>
        <v>0</v>
      </c>
      <c r="G778" s="271">
        <f>ROUND(AU64,0)</f>
        <v>0</v>
      </c>
      <c r="H778" s="271">
        <f>ROUND(AU65,0)</f>
        <v>0</v>
      </c>
      <c r="I778" s="271">
        <f>ROUND(AU66,0)</f>
        <v>0</v>
      </c>
      <c r="J778" s="271">
        <f>ROUND(AU67,0)</f>
        <v>0</v>
      </c>
      <c r="K778" s="271">
        <f>ROUND(AU68,0)</f>
        <v>0</v>
      </c>
      <c r="L778" s="271">
        <f>ROUND(AU69,0)</f>
        <v>0</v>
      </c>
      <c r="M778" s="271">
        <f>ROUND(AU70,0)</f>
        <v>0</v>
      </c>
      <c r="N778" s="271">
        <f>ROUND(AU75,0)</f>
        <v>0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 t="e">
        <f t="shared" si="21"/>
        <v>#DIV/0!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5" customHeight="1" x14ac:dyDescent="0.35">
      <c r="A779" s="209" t="str">
        <f>RIGHT($C$83,3)&amp;"*"&amp;RIGHT($C$82,4)&amp;"*"&amp;AV$55&amp;"*"&amp;"A"</f>
        <v>137*2020*7490*A</v>
      </c>
      <c r="B779" s="271"/>
      <c r="C779" s="273">
        <f>ROUND(AV60,2)</f>
        <v>0</v>
      </c>
      <c r="D779" s="271">
        <f>ROUND(AV61,0)</f>
        <v>0</v>
      </c>
      <c r="E779" s="271">
        <f>ROUND(AV62,0)</f>
        <v>0</v>
      </c>
      <c r="F779" s="271">
        <f>ROUND(AV63,0)</f>
        <v>0</v>
      </c>
      <c r="G779" s="271">
        <f>ROUND(AV64,0)</f>
        <v>0</v>
      </c>
      <c r="H779" s="271">
        <f>ROUND(AV65,0)</f>
        <v>0</v>
      </c>
      <c r="I779" s="271">
        <f>ROUND(AV66,0)</f>
        <v>0</v>
      </c>
      <c r="J779" s="271">
        <f>ROUND(AV67,0)</f>
        <v>0</v>
      </c>
      <c r="K779" s="271">
        <f>ROUND(AV68,0)</f>
        <v>0</v>
      </c>
      <c r="L779" s="271">
        <f>ROUND(AV69,0)</f>
        <v>0</v>
      </c>
      <c r="M779" s="271">
        <f>ROUND(AV70,0)</f>
        <v>0</v>
      </c>
      <c r="N779" s="271">
        <f>ROUND(AV75,0)</f>
        <v>0</v>
      </c>
      <c r="O779" s="271">
        <f>ROUND(AV73,0)</f>
        <v>0</v>
      </c>
      <c r="P779" s="271">
        <f>IF(AV76&gt;0,ROUND(AV76,0),0)</f>
        <v>0</v>
      </c>
      <c r="Q779" s="271">
        <f>IF(AV77&gt;0,ROUND(AV77,0),0)</f>
        <v>0</v>
      </c>
      <c r="R779" s="271">
        <f>IF(AV78&gt;0,ROUND(AV78,0),0)</f>
        <v>0</v>
      </c>
      <c r="S779" s="271">
        <f>IF(AV79&gt;0,ROUND(AV79,0),0)</f>
        <v>0</v>
      </c>
      <c r="T779" s="273">
        <f>IF(AV80&gt;0,ROUND(AV80,2),0)</f>
        <v>0</v>
      </c>
      <c r="U779" s="271"/>
      <c r="V779" s="272"/>
      <c r="W779" s="271"/>
      <c r="X779" s="271"/>
      <c r="Y779" s="271" t="e">
        <f t="shared" si="21"/>
        <v>#DIV/0!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5" customHeight="1" x14ac:dyDescent="0.35">
      <c r="A780" s="209" t="str">
        <f>RIGHT($C$83,3)&amp;"*"&amp;RIGHT($C$82,4)&amp;"*"&amp;AW$55&amp;"*"&amp;"A"</f>
        <v>137*2020*8200*A</v>
      </c>
      <c r="B780" s="271"/>
      <c r="C780" s="273">
        <f>ROUND(AW60,2)</f>
        <v>0</v>
      </c>
      <c r="D780" s="271">
        <f>ROUND(AW61,0)</f>
        <v>0</v>
      </c>
      <c r="E780" s="271">
        <f>ROUND(AW62,0)</f>
        <v>0</v>
      </c>
      <c r="F780" s="271">
        <f>ROUND(AW63,0)</f>
        <v>0</v>
      </c>
      <c r="G780" s="271">
        <f>ROUND(AW64,0)</f>
        <v>0</v>
      </c>
      <c r="H780" s="271">
        <f>ROUND(AW65,0)</f>
        <v>0</v>
      </c>
      <c r="I780" s="271">
        <f>ROUND(AW66,0)</f>
        <v>0</v>
      </c>
      <c r="J780" s="271">
        <f>ROUND(AW67,0)</f>
        <v>0</v>
      </c>
      <c r="K780" s="271">
        <f>ROUND(AW68,0)</f>
        <v>0</v>
      </c>
      <c r="L780" s="271">
        <f>ROUND(AW69,0)</f>
        <v>0</v>
      </c>
      <c r="M780" s="271">
        <f>ROUND(AW70,0)</f>
        <v>0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5" customHeight="1" x14ac:dyDescent="0.35">
      <c r="A781" s="209" t="str">
        <f>RIGHT($C$83,3)&amp;"*"&amp;RIGHT($C$82,4)&amp;"*"&amp;AX$55&amp;"*"&amp;"A"</f>
        <v>137*2020*8310*A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0</v>
      </c>
      <c r="H781" s="271">
        <f>ROUND(AX65,0)</f>
        <v>0</v>
      </c>
      <c r="I781" s="271">
        <f>ROUND(AX66,0)</f>
        <v>0</v>
      </c>
      <c r="J781" s="271">
        <f>ROUND(AX67,0)</f>
        <v>0</v>
      </c>
      <c r="K781" s="271">
        <f>ROUND(AX68,0)</f>
        <v>0</v>
      </c>
      <c r="L781" s="271">
        <f>ROUND(AX69,0)</f>
        <v>0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5" customHeight="1" x14ac:dyDescent="0.35">
      <c r="A782" s="209" t="str">
        <f>RIGHT($C$83,3)&amp;"*"&amp;RIGHT($C$82,4)&amp;"*"&amp;AY$55&amp;"*"&amp;"A"</f>
        <v>137*2020*8320*A</v>
      </c>
      <c r="B782" s="271">
        <f>ROUND(AY59,0)</f>
        <v>0</v>
      </c>
      <c r="C782" s="273">
        <f>ROUND(AY60,2)</f>
        <v>0</v>
      </c>
      <c r="D782" s="271">
        <f>ROUND(AY61,0)</f>
        <v>366707</v>
      </c>
      <c r="E782" s="271">
        <f>ROUND(AY62,0)</f>
        <v>123982</v>
      </c>
      <c r="F782" s="271">
        <f>ROUND(AY63,0)</f>
        <v>0</v>
      </c>
      <c r="G782" s="271">
        <f>ROUND(AY64,0)</f>
        <v>182119</v>
      </c>
      <c r="H782" s="271">
        <f>ROUND(AY65,0)</f>
        <v>150</v>
      </c>
      <c r="I782" s="271">
        <f>ROUND(AY66,0)</f>
        <v>3935</v>
      </c>
      <c r="J782" s="271">
        <f>ROUND(AY67,0)</f>
        <v>12279</v>
      </c>
      <c r="K782" s="271">
        <f>ROUND(AY68,0)</f>
        <v>0</v>
      </c>
      <c r="L782" s="271">
        <f>ROUND(AY69,0)</f>
        <v>600</v>
      </c>
      <c r="M782" s="271">
        <f>ROUND(AY70,0)</f>
        <v>-78815</v>
      </c>
      <c r="N782" s="271"/>
      <c r="O782" s="271"/>
      <c r="P782" s="271">
        <f>IF(AY76&gt;0,ROUND(AY76,0),0)</f>
        <v>3690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5" customHeight="1" x14ac:dyDescent="0.35">
      <c r="A783" s="209" t="str">
        <f>RIGHT($C$83,3)&amp;"*"&amp;RIGHT($C$82,4)&amp;"*"&amp;AZ$55&amp;"*"&amp;"A"</f>
        <v>137*2020*8330*A</v>
      </c>
      <c r="B783" s="271">
        <f>ROUND(AZ59,0)</f>
        <v>0</v>
      </c>
      <c r="C783" s="273">
        <f>ROUND(AZ60,2)</f>
        <v>0</v>
      </c>
      <c r="D783" s="271">
        <f>ROUND(AZ61,0)</f>
        <v>0</v>
      </c>
      <c r="E783" s="271">
        <f>ROUND(AZ62,0)</f>
        <v>0</v>
      </c>
      <c r="F783" s="271">
        <f>ROUND(AZ63,0)</f>
        <v>0</v>
      </c>
      <c r="G783" s="271">
        <f>ROUND(AZ64,0)</f>
        <v>0</v>
      </c>
      <c r="H783" s="271">
        <f>ROUND(AZ65,0)</f>
        <v>0</v>
      </c>
      <c r="I783" s="271">
        <f>ROUND(AZ66,0)</f>
        <v>0</v>
      </c>
      <c r="J783" s="271">
        <f>ROUND(AZ67,0)</f>
        <v>0</v>
      </c>
      <c r="K783" s="271">
        <f>ROUND(AZ68,0)</f>
        <v>0</v>
      </c>
      <c r="L783" s="271">
        <f>ROUND(AZ69,0)</f>
        <v>0</v>
      </c>
      <c r="M783" s="271">
        <f>ROUND(AZ70,0)</f>
        <v>0</v>
      </c>
      <c r="N783" s="271"/>
      <c r="O783" s="271"/>
      <c r="P783" s="271">
        <f>IF(AZ76&gt;0,ROUND(AZ76,0),0)</f>
        <v>0</v>
      </c>
      <c r="Q783" s="271">
        <f>IF(AZ77&gt;0,ROUND(AZ77,0),0)</f>
        <v>0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5" customHeight="1" x14ac:dyDescent="0.35">
      <c r="A784" s="209" t="str">
        <f>RIGHT($C$83,3)&amp;"*"&amp;RIGHT($C$82,4)&amp;"*"&amp;BA$55&amp;"*"&amp;"A"</f>
        <v>137*2020*8350*A</v>
      </c>
      <c r="B784" s="271">
        <f>ROUND(BA59,0)</f>
        <v>0</v>
      </c>
      <c r="C784" s="273">
        <f>ROUND(BA60,2)</f>
        <v>0</v>
      </c>
      <c r="D784" s="271">
        <f>ROUND(BA61,0)</f>
        <v>71563</v>
      </c>
      <c r="E784" s="271">
        <f>ROUND(BA62,0)</f>
        <v>24180</v>
      </c>
      <c r="F784" s="271">
        <f>ROUND(BA63,0)</f>
        <v>0</v>
      </c>
      <c r="G784" s="271">
        <f>ROUND(BA64,0)</f>
        <v>725</v>
      </c>
      <c r="H784" s="271">
        <f>ROUND(BA65,0)</f>
        <v>24</v>
      </c>
      <c r="I784" s="271">
        <f>ROUND(BA66,0)</f>
        <v>1343</v>
      </c>
      <c r="J784" s="271">
        <f>ROUND(BA67,0)</f>
        <v>3506</v>
      </c>
      <c r="K784" s="271">
        <f>ROUND(BA68,0)</f>
        <v>0</v>
      </c>
      <c r="L784" s="271">
        <f>ROUND(BA69,0)</f>
        <v>0</v>
      </c>
      <c r="M784" s="271">
        <f>ROUND(BA70,0)</f>
        <v>0</v>
      </c>
      <c r="N784" s="271"/>
      <c r="O784" s="271"/>
      <c r="P784" s="271">
        <f>IF(BA76&gt;0,ROUND(BA76,0),0)</f>
        <v>858</v>
      </c>
      <c r="Q784" s="271">
        <f>IF(BA77&gt;0,ROUND(BA77,0),0)</f>
        <v>0</v>
      </c>
      <c r="R784" s="271">
        <f>IF(BA78&gt;0,ROUND(BA78,0),0)</f>
        <v>0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5" customHeight="1" x14ac:dyDescent="0.35">
      <c r="A785" s="209" t="str">
        <f>RIGHT($C$83,3)&amp;"*"&amp;RIGHT($C$82,4)&amp;"*"&amp;BB$55&amp;"*"&amp;"A"</f>
        <v>137*2020*8360*A</v>
      </c>
      <c r="B785" s="271"/>
      <c r="C785" s="273">
        <f>ROUND(BB60,2)</f>
        <v>0</v>
      </c>
      <c r="D785" s="271">
        <f>ROUND(BB61,0)</f>
        <v>80275</v>
      </c>
      <c r="E785" s="271">
        <f>ROUND(BB62,0)</f>
        <v>20103</v>
      </c>
      <c r="F785" s="271">
        <f>ROUND(BB63,0)</f>
        <v>0</v>
      </c>
      <c r="G785" s="271">
        <f>ROUND(BB64,0)</f>
        <v>24</v>
      </c>
      <c r="H785" s="271">
        <f>ROUND(BB65,0)</f>
        <v>130</v>
      </c>
      <c r="I785" s="271">
        <f>ROUND(BB66,0)</f>
        <v>0</v>
      </c>
      <c r="J785" s="271">
        <f>ROUND(BB67,0)</f>
        <v>401</v>
      </c>
      <c r="K785" s="271">
        <f>ROUND(BB68,0)</f>
        <v>0</v>
      </c>
      <c r="L785" s="271">
        <f>ROUND(BB69,0)</f>
        <v>0</v>
      </c>
      <c r="M785" s="271">
        <f>ROUND(BB70,0)</f>
        <v>0</v>
      </c>
      <c r="N785" s="271"/>
      <c r="O785" s="271"/>
      <c r="P785" s="271">
        <f>IF(BB76&gt;0,ROUND(BB76,0),0)</f>
        <v>128</v>
      </c>
      <c r="Q785" s="271">
        <f>IF(BB77&gt;0,ROUND(BB77,0),0)</f>
        <v>0</v>
      </c>
      <c r="R785" s="271">
        <f>IF(BB78&gt;0,ROUND(BB78,0),0)</f>
        <v>0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5" customHeight="1" x14ac:dyDescent="0.35">
      <c r="A786" s="209" t="str">
        <f>RIGHT($C$83,3)&amp;"*"&amp;RIGHT($C$82,4)&amp;"*"&amp;BC$55&amp;"*"&amp;"A"</f>
        <v>137*2020*8370*A</v>
      </c>
      <c r="B786" s="271"/>
      <c r="C786" s="273">
        <f>ROUND(BC60,2)</f>
        <v>0</v>
      </c>
      <c r="D786" s="271">
        <f>ROUND(BC61,0)</f>
        <v>0</v>
      </c>
      <c r="E786" s="271">
        <f>ROUND(BC62,0)</f>
        <v>0</v>
      </c>
      <c r="F786" s="271">
        <f>ROUND(BC63,0)</f>
        <v>0</v>
      </c>
      <c r="G786" s="271">
        <f>ROUND(BC64,0)</f>
        <v>0</v>
      </c>
      <c r="H786" s="271">
        <f>ROUND(BC65,0)</f>
        <v>0</v>
      </c>
      <c r="I786" s="271">
        <f>ROUND(BC66,0)</f>
        <v>0</v>
      </c>
      <c r="J786" s="271">
        <f>ROUND(BC67,0)</f>
        <v>0</v>
      </c>
      <c r="K786" s="271">
        <f>ROUND(BC68,0)</f>
        <v>0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5" customHeight="1" x14ac:dyDescent="0.35">
      <c r="A787" s="209" t="str">
        <f>RIGHT($C$83,3)&amp;"*"&amp;RIGHT($C$82,4)&amp;"*"&amp;BD$55&amp;"*"&amp;"A"</f>
        <v>137*2020*8420*A</v>
      </c>
      <c r="B787" s="271"/>
      <c r="C787" s="273">
        <f>ROUND(BD60,2)</f>
        <v>0</v>
      </c>
      <c r="D787" s="271">
        <f>ROUND(BD61,0)</f>
        <v>0</v>
      </c>
      <c r="E787" s="271">
        <f>ROUND(BD62,0)</f>
        <v>0</v>
      </c>
      <c r="F787" s="271">
        <f>ROUND(BD63,0)</f>
        <v>0</v>
      </c>
      <c r="G787" s="271">
        <f>ROUND(BD64,0)</f>
        <v>0</v>
      </c>
      <c r="H787" s="271">
        <f>ROUND(BD65,0)</f>
        <v>0</v>
      </c>
      <c r="I787" s="271">
        <f>ROUND(BD66,0)</f>
        <v>0</v>
      </c>
      <c r="J787" s="271">
        <f>ROUND(BD67,0)</f>
        <v>0</v>
      </c>
      <c r="K787" s="271">
        <f>ROUND(BD68,0)</f>
        <v>0</v>
      </c>
      <c r="L787" s="271">
        <f>ROUND(BD69,0)</f>
        <v>0</v>
      </c>
      <c r="M787" s="271">
        <f>ROUND(BD70,0)</f>
        <v>0</v>
      </c>
      <c r="N787" s="271"/>
      <c r="O787" s="271"/>
      <c r="P787" s="271">
        <f>IF(BD76&gt;0,ROUND(BD76,0),0)</f>
        <v>0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5" customHeight="1" x14ac:dyDescent="0.35">
      <c r="A788" s="209" t="str">
        <f>RIGHT($C$83,3)&amp;"*"&amp;RIGHT($C$82,4)&amp;"*"&amp;BE$55&amp;"*"&amp;"A"</f>
        <v>137*2020*8430*A</v>
      </c>
      <c r="B788" s="271">
        <f>ROUND(BE59,0)</f>
        <v>41043</v>
      </c>
      <c r="C788" s="273">
        <f>ROUND(BE60,2)</f>
        <v>0</v>
      </c>
      <c r="D788" s="271">
        <f>ROUND(BE61,0)</f>
        <v>233505</v>
      </c>
      <c r="E788" s="271">
        <f>ROUND(BE62,0)</f>
        <v>76818</v>
      </c>
      <c r="F788" s="271">
        <f>ROUND(BE63,0)</f>
        <v>0</v>
      </c>
      <c r="G788" s="271">
        <f>ROUND(BE64,0)</f>
        <v>52569</v>
      </c>
      <c r="H788" s="271">
        <f>ROUND(BE65,0)</f>
        <v>259662</v>
      </c>
      <c r="I788" s="271">
        <f>ROUND(BE66,0)</f>
        <v>71917</v>
      </c>
      <c r="J788" s="271">
        <f>ROUND(BE67,0)</f>
        <v>23918</v>
      </c>
      <c r="K788" s="271">
        <f>ROUND(BE68,0)</f>
        <v>0</v>
      </c>
      <c r="L788" s="271">
        <f>ROUND(BE69,0)</f>
        <v>4044</v>
      </c>
      <c r="M788" s="271">
        <f>ROUND(BE70,0)</f>
        <v>-300</v>
      </c>
      <c r="N788" s="271"/>
      <c r="O788" s="271"/>
      <c r="P788" s="271">
        <f>IF(BE76&gt;0,ROUND(BE76,0),0)</f>
        <v>2961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5" customHeight="1" x14ac:dyDescent="0.35">
      <c r="A789" s="209" t="str">
        <f>RIGHT($C$83,3)&amp;"*"&amp;RIGHT($C$82,4)&amp;"*"&amp;BF$55&amp;"*"&amp;"A"</f>
        <v>137*2020*8460*A</v>
      </c>
      <c r="B789" s="271"/>
      <c r="C789" s="273">
        <f>ROUND(BF60,2)</f>
        <v>0</v>
      </c>
      <c r="D789" s="271">
        <f>ROUND(BF61,0)</f>
        <v>256149</v>
      </c>
      <c r="E789" s="271">
        <f>ROUND(BF62,0)</f>
        <v>87070</v>
      </c>
      <c r="F789" s="271">
        <f>ROUND(BF63,0)</f>
        <v>0</v>
      </c>
      <c r="G789" s="271">
        <f>ROUND(BF64,0)</f>
        <v>43593</v>
      </c>
      <c r="H789" s="271">
        <f>ROUND(BF65,0)</f>
        <v>72</v>
      </c>
      <c r="I789" s="271">
        <f>ROUND(BF66,0)</f>
        <v>535</v>
      </c>
      <c r="J789" s="271">
        <f>ROUND(BF67,0)</f>
        <v>3292</v>
      </c>
      <c r="K789" s="271">
        <f>ROUND(BF68,0)</f>
        <v>65</v>
      </c>
      <c r="L789" s="271">
        <f>ROUND(BF69,0)</f>
        <v>68</v>
      </c>
      <c r="M789" s="271">
        <f>ROUND(BF70,0)</f>
        <v>0</v>
      </c>
      <c r="N789" s="271"/>
      <c r="O789" s="271"/>
      <c r="P789" s="271">
        <f>IF(BF76&gt;0,ROUND(BF76,0),0)</f>
        <v>1051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5" customHeight="1" x14ac:dyDescent="0.35">
      <c r="A790" s="209" t="str">
        <f>RIGHT($C$83,3)&amp;"*"&amp;RIGHT($C$82,4)&amp;"*"&amp;BG$55&amp;"*"&amp;"A"</f>
        <v>137*2020*8470*A</v>
      </c>
      <c r="B790" s="271"/>
      <c r="C790" s="273">
        <f>ROUND(BG60,2)</f>
        <v>0</v>
      </c>
      <c r="D790" s="271">
        <f>ROUND(BG61,0)</f>
        <v>0</v>
      </c>
      <c r="E790" s="271">
        <f>ROUND(BG62,0)</f>
        <v>0</v>
      </c>
      <c r="F790" s="271">
        <f>ROUND(BG63,0)</f>
        <v>0</v>
      </c>
      <c r="G790" s="271">
        <f>ROUND(BG64,0)</f>
        <v>0</v>
      </c>
      <c r="H790" s="271">
        <f>ROUND(BG65,0)</f>
        <v>0</v>
      </c>
      <c r="I790" s="271">
        <f>ROUND(BG66,0)</f>
        <v>0</v>
      </c>
      <c r="J790" s="271">
        <f>ROUND(BG67,0)</f>
        <v>0</v>
      </c>
      <c r="K790" s="271">
        <f>ROUND(BG68,0)</f>
        <v>0</v>
      </c>
      <c r="L790" s="271">
        <f>ROUND(BG69,0)</f>
        <v>0</v>
      </c>
      <c r="M790" s="271">
        <f>ROUND(BG70,0)</f>
        <v>0</v>
      </c>
      <c r="N790" s="271"/>
      <c r="O790" s="271"/>
      <c r="P790" s="271">
        <f>IF(BG76&gt;0,ROUND(BG76,0),0)</f>
        <v>0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5" customHeight="1" x14ac:dyDescent="0.35">
      <c r="A791" s="209" t="str">
        <f>RIGHT($C$83,3)&amp;"*"&amp;RIGHT($C$82,4)&amp;"*"&amp;BH$55&amp;"*"&amp;"A"</f>
        <v>137*2020*8480*A</v>
      </c>
      <c r="B791" s="271"/>
      <c r="C791" s="273">
        <f>ROUND(BH60,2)</f>
        <v>0</v>
      </c>
      <c r="D791" s="271">
        <f>ROUND(BH61,0)</f>
        <v>0</v>
      </c>
      <c r="E791" s="271">
        <f>ROUND(BH62,0)</f>
        <v>0</v>
      </c>
      <c r="F791" s="271">
        <f>ROUND(BH63,0)</f>
        <v>0</v>
      </c>
      <c r="G791" s="271">
        <f>ROUND(BH64,0)</f>
        <v>0</v>
      </c>
      <c r="H791" s="271">
        <f>ROUND(BH65,0)</f>
        <v>0</v>
      </c>
      <c r="I791" s="271">
        <f>ROUND(BH66,0)</f>
        <v>0</v>
      </c>
      <c r="J791" s="271">
        <f>ROUND(BH67,0)</f>
        <v>0</v>
      </c>
      <c r="K791" s="271">
        <f>ROUND(BH68,0)</f>
        <v>0</v>
      </c>
      <c r="L791" s="271">
        <f>ROUND(BH69,0)</f>
        <v>0</v>
      </c>
      <c r="M791" s="271">
        <f>ROUND(BH70,0)</f>
        <v>0</v>
      </c>
      <c r="N791" s="271"/>
      <c r="O791" s="271"/>
      <c r="P791" s="271">
        <f>IF(BH76&gt;0,ROUND(BH76,0),0)</f>
        <v>0</v>
      </c>
      <c r="Q791" s="271">
        <f>IF(BH77&gt;0,ROUND(BH77,0),0)</f>
        <v>0</v>
      </c>
      <c r="R791" s="271">
        <f>IF(BH78&gt;0,ROUND(BH78,0),0)</f>
        <v>0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5" customHeight="1" x14ac:dyDescent="0.35">
      <c r="A792" s="209" t="str">
        <f>RIGHT($C$83,3)&amp;"*"&amp;RIGHT($C$82,4)&amp;"*"&amp;BI$55&amp;"*"&amp;"A"</f>
        <v>137*2020*8490*A</v>
      </c>
      <c r="B792" s="271"/>
      <c r="C792" s="273">
        <f>ROUND(BI60,2)</f>
        <v>0</v>
      </c>
      <c r="D792" s="271">
        <f>ROUND(BI61,0)</f>
        <v>153001</v>
      </c>
      <c r="E792" s="271">
        <f>ROUND(BI62,0)</f>
        <v>43372</v>
      </c>
      <c r="F792" s="271">
        <f>ROUND(BI63,0)</f>
        <v>0</v>
      </c>
      <c r="G792" s="271">
        <f>ROUND(BI64,0)</f>
        <v>102904</v>
      </c>
      <c r="H792" s="271">
        <f>ROUND(BI65,0)</f>
        <v>88211</v>
      </c>
      <c r="I792" s="271">
        <f>ROUND(BI66,0)</f>
        <v>563456</v>
      </c>
      <c r="J792" s="271">
        <f>ROUND(BI67,0)</f>
        <v>12833</v>
      </c>
      <c r="K792" s="271">
        <f>ROUND(BI68,0)</f>
        <v>0</v>
      </c>
      <c r="L792" s="271">
        <f>ROUND(BI69,0)</f>
        <v>6051</v>
      </c>
      <c r="M792" s="271">
        <f>ROUND(BI70,0)</f>
        <v>0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0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5" customHeight="1" x14ac:dyDescent="0.35">
      <c r="A793" s="209" t="str">
        <f>RIGHT($C$83,3)&amp;"*"&amp;RIGHT($C$82,4)&amp;"*"&amp;BJ$55&amp;"*"&amp;"A"</f>
        <v>137*2020*8510*A</v>
      </c>
      <c r="B793" s="271"/>
      <c r="C793" s="273">
        <f>ROUND(BJ60,2)</f>
        <v>0</v>
      </c>
      <c r="D793" s="271">
        <f>ROUND(BJ61,0)</f>
        <v>260037</v>
      </c>
      <c r="E793" s="271">
        <f>ROUND(BJ62,0)</f>
        <v>76787</v>
      </c>
      <c r="F793" s="271">
        <f>ROUND(BJ63,0)</f>
        <v>58117</v>
      </c>
      <c r="G793" s="271">
        <f>ROUND(BJ64,0)</f>
        <v>2958</v>
      </c>
      <c r="H793" s="271">
        <f>ROUND(BJ65,0)</f>
        <v>229</v>
      </c>
      <c r="I793" s="271">
        <f>ROUND(BJ66,0)</f>
        <v>8282</v>
      </c>
      <c r="J793" s="271">
        <f>ROUND(BJ67,0)</f>
        <v>0</v>
      </c>
      <c r="K793" s="271">
        <f>ROUND(BJ68,0)</f>
        <v>0</v>
      </c>
      <c r="L793" s="271">
        <f>ROUND(BJ69,0)</f>
        <v>468</v>
      </c>
      <c r="M793" s="271">
        <f>ROUND(BJ70,0)</f>
        <v>0</v>
      </c>
      <c r="N793" s="271"/>
      <c r="O793" s="271"/>
      <c r="P793" s="271">
        <f>IF(BJ76&gt;0,ROUND(BJ76,0),0)</f>
        <v>0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5" customHeight="1" x14ac:dyDescent="0.35">
      <c r="A794" s="209" t="str">
        <f>RIGHT($C$83,3)&amp;"*"&amp;RIGHT($C$82,4)&amp;"*"&amp;BK$55&amp;"*"&amp;"A"</f>
        <v>137*2020*8530*A</v>
      </c>
      <c r="B794" s="271"/>
      <c r="C794" s="273">
        <f>ROUND(BK60,2)</f>
        <v>0</v>
      </c>
      <c r="D794" s="271">
        <f>ROUND(BK61,0)</f>
        <v>401377</v>
      </c>
      <c r="E794" s="271">
        <f>ROUND(BK62,0)</f>
        <v>124261</v>
      </c>
      <c r="F794" s="271">
        <f>ROUND(BK63,0)</f>
        <v>4651</v>
      </c>
      <c r="G794" s="271">
        <f>ROUND(BK64,0)</f>
        <v>2611</v>
      </c>
      <c r="H794" s="271">
        <f>ROUND(BK65,0)</f>
        <v>3085</v>
      </c>
      <c r="I794" s="271">
        <f>ROUND(BK66,0)</f>
        <v>335950</v>
      </c>
      <c r="J794" s="271">
        <f>ROUND(BK67,0)</f>
        <v>0</v>
      </c>
      <c r="K794" s="271">
        <f>ROUND(BK68,0)</f>
        <v>7418</v>
      </c>
      <c r="L794" s="271">
        <f>ROUND(BK69,0)</f>
        <v>850</v>
      </c>
      <c r="M794" s="271">
        <f>ROUND(BK70,0)</f>
        <v>-78</v>
      </c>
      <c r="N794" s="271"/>
      <c r="O794" s="271"/>
      <c r="P794" s="271">
        <f>IF(BK76&gt;0,ROUND(BK76,0),0)</f>
        <v>0</v>
      </c>
      <c r="Q794" s="271">
        <f>IF(BK77&gt;0,ROUND(BK77,0),0)</f>
        <v>0</v>
      </c>
      <c r="R794" s="271">
        <f>IF(BK78&gt;0,ROUND(BK78,0),0)</f>
        <v>0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5" customHeight="1" x14ac:dyDescent="0.35">
      <c r="A795" s="209" t="str">
        <f>RIGHT($C$83,3)&amp;"*"&amp;RIGHT($C$82,4)&amp;"*"&amp;BL$55&amp;"*"&amp;"A"</f>
        <v>137*2020*8560*A</v>
      </c>
      <c r="B795" s="271"/>
      <c r="C795" s="273">
        <f>ROUND(BL60,2)</f>
        <v>0</v>
      </c>
      <c r="D795" s="271">
        <f>ROUND(BL61,0)</f>
        <v>495600</v>
      </c>
      <c r="E795" s="271">
        <f>ROUND(BL62,0)</f>
        <v>163606</v>
      </c>
      <c r="F795" s="271">
        <f>ROUND(BL63,0)</f>
        <v>0</v>
      </c>
      <c r="G795" s="271">
        <f>ROUND(BL64,0)</f>
        <v>16344</v>
      </c>
      <c r="H795" s="271">
        <f>ROUND(BL65,0)</f>
        <v>376</v>
      </c>
      <c r="I795" s="271">
        <f>ROUND(BL66,0)</f>
        <v>168</v>
      </c>
      <c r="J795" s="271">
        <f>ROUND(BL67,0)</f>
        <v>0</v>
      </c>
      <c r="K795" s="271">
        <f>ROUND(BL68,0)</f>
        <v>0</v>
      </c>
      <c r="L795" s="271">
        <f>ROUND(BL69,0)</f>
        <v>188</v>
      </c>
      <c r="M795" s="271">
        <f>ROUND(BL70,0)</f>
        <v>0</v>
      </c>
      <c r="N795" s="271"/>
      <c r="O795" s="271"/>
      <c r="P795" s="271">
        <f>IF(BL76&gt;0,ROUND(BL76,0),0)</f>
        <v>0</v>
      </c>
      <c r="Q795" s="271">
        <f>IF(BL77&gt;0,ROUND(BL77,0),0)</f>
        <v>0</v>
      </c>
      <c r="R795" s="271">
        <f>IF(BL78&gt;0,ROUND(BL78,0),0)</f>
        <v>0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5" customHeight="1" x14ac:dyDescent="0.35">
      <c r="A796" s="209" t="str">
        <f>RIGHT($C$83,3)&amp;"*"&amp;RIGHT($C$82,4)&amp;"*"&amp;BM$55&amp;"*"&amp;"A"</f>
        <v>137*2020*8590*A</v>
      </c>
      <c r="B796" s="271"/>
      <c r="C796" s="273">
        <f>ROUND(BM60,2)</f>
        <v>0</v>
      </c>
      <c r="D796" s="271">
        <f>ROUND(BM61,0)</f>
        <v>0</v>
      </c>
      <c r="E796" s="271">
        <f>ROUND(BM62,0)</f>
        <v>0</v>
      </c>
      <c r="F796" s="271">
        <f>ROUND(BM63,0)</f>
        <v>0</v>
      </c>
      <c r="G796" s="271">
        <f>ROUND(BM64,0)</f>
        <v>0</v>
      </c>
      <c r="H796" s="271">
        <f>ROUND(BM65,0)</f>
        <v>0</v>
      </c>
      <c r="I796" s="271">
        <f>ROUND(BM66,0)</f>
        <v>0</v>
      </c>
      <c r="J796" s="271">
        <f>ROUND(BM67,0)</f>
        <v>0</v>
      </c>
      <c r="K796" s="271">
        <f>ROUND(BM68,0)</f>
        <v>0</v>
      </c>
      <c r="L796" s="271">
        <f>ROUND(BM69,0)</f>
        <v>0</v>
      </c>
      <c r="M796" s="271">
        <f>ROUND(BM70,0)</f>
        <v>0</v>
      </c>
      <c r="N796" s="271"/>
      <c r="O796" s="271"/>
      <c r="P796" s="271">
        <f>IF(BM76&gt;0,ROUND(BM76,0),0)</f>
        <v>0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5" customHeight="1" x14ac:dyDescent="0.35">
      <c r="A797" s="209" t="str">
        <f>RIGHT($C$83,3)&amp;"*"&amp;RIGHT($C$82,4)&amp;"*"&amp;BN$55&amp;"*"&amp;"A"</f>
        <v>137*2020*8610*A</v>
      </c>
      <c r="B797" s="271"/>
      <c r="C797" s="273">
        <f>ROUND(BN60,2)</f>
        <v>0</v>
      </c>
      <c r="D797" s="271">
        <f>ROUND(BN61,0)</f>
        <v>728506</v>
      </c>
      <c r="E797" s="271">
        <f>ROUND(BN62,0)</f>
        <v>282938</v>
      </c>
      <c r="F797" s="271">
        <f>ROUND(BN63,0)</f>
        <v>8548</v>
      </c>
      <c r="G797" s="271">
        <f>ROUND(BN64,0)</f>
        <v>6394</v>
      </c>
      <c r="H797" s="271">
        <f>ROUND(BN65,0)</f>
        <v>403</v>
      </c>
      <c r="I797" s="271">
        <f>ROUND(BN66,0)</f>
        <v>855185</v>
      </c>
      <c r="J797" s="271">
        <f>ROUND(BN67,0)</f>
        <v>22013</v>
      </c>
      <c r="K797" s="271">
        <f>ROUND(BN68,0)</f>
        <v>0</v>
      </c>
      <c r="L797" s="271">
        <f>ROUND(BN69,0)</f>
        <v>151773</v>
      </c>
      <c r="M797" s="271">
        <f>ROUND(BN70,0)</f>
        <v>-2910</v>
      </c>
      <c r="N797" s="271"/>
      <c r="O797" s="271"/>
      <c r="P797" s="271">
        <f>IF(BN76&gt;0,ROUND(BN76,0),0)</f>
        <v>7029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5" customHeight="1" x14ac:dyDescent="0.35">
      <c r="A798" s="209" t="str">
        <f>RIGHT($C$83,3)&amp;"*"&amp;RIGHT($C$82,4)&amp;"*"&amp;BO$55&amp;"*"&amp;"A"</f>
        <v>137*2020*8620*A</v>
      </c>
      <c r="B798" s="271"/>
      <c r="C798" s="273">
        <f>ROUND(BO60,2)</f>
        <v>0</v>
      </c>
      <c r="D798" s="271">
        <f>ROUND(BO61,0)</f>
        <v>0</v>
      </c>
      <c r="E798" s="271">
        <f>ROUND(BO62,0)</f>
        <v>0</v>
      </c>
      <c r="F798" s="271">
        <f>ROUND(BO63,0)</f>
        <v>0</v>
      </c>
      <c r="G798" s="271">
        <f>ROUND(BO64,0)</f>
        <v>0</v>
      </c>
      <c r="H798" s="271">
        <f>ROUND(BO65,0)</f>
        <v>0</v>
      </c>
      <c r="I798" s="271">
        <f>ROUND(BO66,0)</f>
        <v>0</v>
      </c>
      <c r="J798" s="271">
        <f>ROUND(BO67,0)</f>
        <v>0</v>
      </c>
      <c r="K798" s="271">
        <f>ROUND(BO68,0)</f>
        <v>0</v>
      </c>
      <c r="L798" s="271">
        <f>ROUND(BO69,0)</f>
        <v>0</v>
      </c>
      <c r="M798" s="271">
        <f>ROUND(BO70,0)</f>
        <v>0</v>
      </c>
      <c r="N798" s="271"/>
      <c r="O798" s="271"/>
      <c r="P798" s="271">
        <f>IF(BO76&gt;0,ROUND(BO76,0),0)</f>
        <v>0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5" customHeight="1" x14ac:dyDescent="0.35">
      <c r="A799" s="209" t="str">
        <f>RIGHT($C$83,3)&amp;"*"&amp;RIGHT($C$82,4)&amp;"*"&amp;BP$55&amp;"*"&amp;"A"</f>
        <v>137*2020*8630*A</v>
      </c>
      <c r="B799" s="271"/>
      <c r="C799" s="273">
        <f>ROUND(BP60,2)</f>
        <v>0</v>
      </c>
      <c r="D799" s="271">
        <f>ROUND(BP61,0)</f>
        <v>0</v>
      </c>
      <c r="E799" s="271">
        <f>ROUND(BP62,0)</f>
        <v>0</v>
      </c>
      <c r="F799" s="271">
        <f>ROUND(BP63,0)</f>
        <v>0</v>
      </c>
      <c r="G799" s="271">
        <f>ROUND(BP64,0)</f>
        <v>0</v>
      </c>
      <c r="H799" s="271">
        <f>ROUND(BP65,0)</f>
        <v>0</v>
      </c>
      <c r="I799" s="271">
        <f>ROUND(BP66,0)</f>
        <v>0</v>
      </c>
      <c r="J799" s="271">
        <f>ROUND(BP67,0)</f>
        <v>0</v>
      </c>
      <c r="K799" s="271">
        <f>ROUND(BP68,0)</f>
        <v>0</v>
      </c>
      <c r="L799" s="271">
        <f>ROUND(BP69,0)</f>
        <v>0</v>
      </c>
      <c r="M799" s="271">
        <f>ROUND(BP70,0)</f>
        <v>0</v>
      </c>
      <c r="N799" s="271"/>
      <c r="O799" s="271"/>
      <c r="P799" s="271">
        <f>IF(BP76&gt;0,ROUND(BP76,0),0)</f>
        <v>0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5" customHeight="1" x14ac:dyDescent="0.35">
      <c r="A800" s="209" t="str">
        <f>RIGHT($C$83,3)&amp;"*"&amp;RIGHT($C$82,4)&amp;"*"&amp;BQ$55&amp;"*"&amp;"A"</f>
        <v>137*2020*8640*A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5" customHeight="1" x14ac:dyDescent="0.35">
      <c r="A801" s="209" t="str">
        <f>RIGHT($C$83,3)&amp;"*"&amp;RIGHT($C$82,4)&amp;"*"&amp;BR$55&amp;"*"&amp;"A"</f>
        <v>137*2020*8650*A</v>
      </c>
      <c r="B801" s="271"/>
      <c r="C801" s="273">
        <f>ROUND(BR60,2)</f>
        <v>0</v>
      </c>
      <c r="D801" s="271">
        <f>ROUND(BR61,0)</f>
        <v>148355</v>
      </c>
      <c r="E801" s="271">
        <f>ROUND(BR62,0)</f>
        <v>45769</v>
      </c>
      <c r="F801" s="271">
        <f>ROUND(BR63,0)</f>
        <v>15431</v>
      </c>
      <c r="G801" s="271">
        <f>ROUND(BR64,0)</f>
        <v>3482</v>
      </c>
      <c r="H801" s="271">
        <f>ROUND(BR65,0)</f>
        <v>478</v>
      </c>
      <c r="I801" s="271">
        <f>ROUND(BR66,0)</f>
        <v>84691</v>
      </c>
      <c r="J801" s="271">
        <f>ROUND(BR67,0)</f>
        <v>0</v>
      </c>
      <c r="K801" s="271">
        <f>ROUND(BR68,0)</f>
        <v>25</v>
      </c>
      <c r="L801" s="271">
        <f>ROUND(BR69,0)</f>
        <v>5685</v>
      </c>
      <c r="M801" s="271">
        <f>ROUND(BR70,0)</f>
        <v>175</v>
      </c>
      <c r="N801" s="271"/>
      <c r="O801" s="271"/>
      <c r="P801" s="271">
        <f>IF(BR76&gt;0,ROUND(BR76,0),0)</f>
        <v>0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5" customHeight="1" x14ac:dyDescent="0.35">
      <c r="A802" s="209" t="str">
        <f>RIGHT($C$83,3)&amp;"*"&amp;RIGHT($C$82,4)&amp;"*"&amp;BS$55&amp;"*"&amp;"A"</f>
        <v>137*2020*8660*A</v>
      </c>
      <c r="B802" s="271"/>
      <c r="C802" s="273">
        <f>ROUND(BS60,2)</f>
        <v>0</v>
      </c>
      <c r="D802" s="271">
        <f>ROUND(BS61,0)</f>
        <v>0</v>
      </c>
      <c r="E802" s="271">
        <f>ROUND(BS62,0)</f>
        <v>0</v>
      </c>
      <c r="F802" s="271">
        <f>ROUND(BS63,0)</f>
        <v>0</v>
      </c>
      <c r="G802" s="271">
        <f>ROUND(BS64,0)</f>
        <v>0</v>
      </c>
      <c r="H802" s="271">
        <f>ROUND(BS65,0)</f>
        <v>0</v>
      </c>
      <c r="I802" s="271">
        <f>ROUND(BS66,0)</f>
        <v>0</v>
      </c>
      <c r="J802" s="271">
        <f>ROUND(BS67,0)</f>
        <v>0</v>
      </c>
      <c r="K802" s="271">
        <f>ROUND(BS68,0)</f>
        <v>0</v>
      </c>
      <c r="L802" s="271">
        <f>ROUND(BS69,0)</f>
        <v>0</v>
      </c>
      <c r="M802" s="271">
        <f>ROUND(BS70,0)</f>
        <v>0</v>
      </c>
      <c r="N802" s="271"/>
      <c r="O802" s="271"/>
      <c r="P802" s="271">
        <f>IF(BS76&gt;0,ROUND(BS76,0),0)</f>
        <v>0</v>
      </c>
      <c r="Q802" s="271">
        <f>IF(BS77&gt;0,ROUND(BS77,0),0)</f>
        <v>0</v>
      </c>
      <c r="R802" s="271">
        <f>IF(BS78&gt;0,ROUND(BS78,0),0)</f>
        <v>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5" customHeight="1" x14ac:dyDescent="0.35">
      <c r="A803" s="209" t="str">
        <f>RIGHT($C$83,3)&amp;"*"&amp;RIGHT($C$82,4)&amp;"*"&amp;BT$55&amp;"*"&amp;"A"</f>
        <v>137*2020*8670*A</v>
      </c>
      <c r="B803" s="271"/>
      <c r="C803" s="273">
        <f>ROUND(BT60,2)</f>
        <v>0</v>
      </c>
      <c r="D803" s="271">
        <f>ROUND(BT61,0)</f>
        <v>0</v>
      </c>
      <c r="E803" s="271">
        <f>ROUND(BT62,0)</f>
        <v>0</v>
      </c>
      <c r="F803" s="271">
        <f>ROUND(BT63,0)</f>
        <v>0</v>
      </c>
      <c r="G803" s="271">
        <f>ROUND(BT64,0)</f>
        <v>0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0</v>
      </c>
      <c r="M803" s="271">
        <f>ROUND(BT70,0)</f>
        <v>0</v>
      </c>
      <c r="N803" s="271"/>
      <c r="O803" s="271"/>
      <c r="P803" s="271">
        <f>IF(BT76&gt;0,ROUND(BT76,0),0)</f>
        <v>0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5" customHeight="1" x14ac:dyDescent="0.35">
      <c r="A804" s="209" t="str">
        <f>RIGHT($C$83,3)&amp;"*"&amp;RIGHT($C$82,4)&amp;"*"&amp;BU$55&amp;"*"&amp;"A"</f>
        <v>137*2020*8680*A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0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0</v>
      </c>
      <c r="Q804" s="271">
        <f>IF(BU77&gt;0,ROUND(BU77,0),0)</f>
        <v>0</v>
      </c>
      <c r="R804" s="271">
        <f>IF(BU78&gt;0,ROUND(BU78,0),0)</f>
        <v>0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5" customHeight="1" x14ac:dyDescent="0.35">
      <c r="A805" s="209" t="str">
        <f>RIGHT($C$83,3)&amp;"*"&amp;RIGHT($C$82,4)&amp;"*"&amp;BV$55&amp;"*"&amp;"A"</f>
        <v>137*2020*8690*A</v>
      </c>
      <c r="B805" s="271"/>
      <c r="C805" s="273">
        <f>ROUND(BV60,2)</f>
        <v>0</v>
      </c>
      <c r="D805" s="271">
        <f>ROUND(BV61,0)</f>
        <v>190346</v>
      </c>
      <c r="E805" s="271">
        <f>ROUND(BV62,0)</f>
        <v>57770</v>
      </c>
      <c r="F805" s="271">
        <f>ROUND(BV63,0)</f>
        <v>65109</v>
      </c>
      <c r="G805" s="271">
        <f>ROUND(BV64,0)</f>
        <v>5694</v>
      </c>
      <c r="H805" s="271">
        <f>ROUND(BV65,0)</f>
        <v>877</v>
      </c>
      <c r="I805" s="271">
        <f>ROUND(BV66,0)</f>
        <v>38436</v>
      </c>
      <c r="J805" s="271">
        <f>ROUND(BV67,0)</f>
        <v>1146</v>
      </c>
      <c r="K805" s="271">
        <f>ROUND(BV68,0)</f>
        <v>3896</v>
      </c>
      <c r="L805" s="271">
        <f>ROUND(BV69,0)</f>
        <v>1437</v>
      </c>
      <c r="M805" s="271">
        <f>ROUND(BV70,0)</f>
        <v>-3972</v>
      </c>
      <c r="N805" s="271"/>
      <c r="O805" s="271"/>
      <c r="P805" s="271">
        <f>IF(BV76&gt;0,ROUND(BV76,0),0)</f>
        <v>366</v>
      </c>
      <c r="Q805" s="271">
        <f>IF(BV77&gt;0,ROUND(BV77,0),0)</f>
        <v>0</v>
      </c>
      <c r="R805" s="271">
        <f>IF(BV78&gt;0,ROUND(BV78,0),0)</f>
        <v>0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5" customHeight="1" x14ac:dyDescent="0.35">
      <c r="A806" s="209" t="str">
        <f>RIGHT($C$83,3)&amp;"*"&amp;RIGHT($C$82,4)&amp;"*"&amp;BW$55&amp;"*"&amp;"A"</f>
        <v>137*2020*8700*A</v>
      </c>
      <c r="B806" s="271"/>
      <c r="C806" s="273">
        <f>ROUND(BW60,2)</f>
        <v>0</v>
      </c>
      <c r="D806" s="271">
        <f>ROUND(BW61,0)</f>
        <v>0</v>
      </c>
      <c r="E806" s="271">
        <f>ROUND(BW62,0)</f>
        <v>0</v>
      </c>
      <c r="F806" s="271">
        <f>ROUND(BW63,0)</f>
        <v>0</v>
      </c>
      <c r="G806" s="271">
        <f>ROUND(BW64,0)</f>
        <v>0</v>
      </c>
      <c r="H806" s="271">
        <f>ROUND(BW65,0)</f>
        <v>0</v>
      </c>
      <c r="I806" s="271">
        <f>ROUND(BW66,0)</f>
        <v>0</v>
      </c>
      <c r="J806" s="271">
        <f>ROUND(BW67,0)</f>
        <v>0</v>
      </c>
      <c r="K806" s="271">
        <f>ROUND(BW68,0)</f>
        <v>0</v>
      </c>
      <c r="L806" s="271">
        <f>ROUND(BW69,0)</f>
        <v>0</v>
      </c>
      <c r="M806" s="271">
        <f>ROUND(BW70,0)</f>
        <v>0</v>
      </c>
      <c r="N806" s="271"/>
      <c r="O806" s="271"/>
      <c r="P806" s="271">
        <f>IF(BW76&gt;0,ROUND(BW76,0),0)</f>
        <v>0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5" customHeight="1" x14ac:dyDescent="0.35">
      <c r="A807" s="209" t="str">
        <f>RIGHT($C$83,3)&amp;"*"&amp;RIGHT($C$82,4)&amp;"*"&amp;BX$55&amp;"*"&amp;"A"</f>
        <v>137*2020*8710*A</v>
      </c>
      <c r="B807" s="271"/>
      <c r="C807" s="273">
        <f>ROUND(BX60,2)</f>
        <v>0</v>
      </c>
      <c r="D807" s="271">
        <f>ROUND(BX61,0)</f>
        <v>0</v>
      </c>
      <c r="E807" s="271">
        <f>ROUND(BX62,0)</f>
        <v>0</v>
      </c>
      <c r="F807" s="271">
        <f>ROUND(BX63,0)</f>
        <v>0</v>
      </c>
      <c r="G807" s="271">
        <f>ROUND(BX64,0)</f>
        <v>0</v>
      </c>
      <c r="H807" s="271">
        <f>ROUND(BX65,0)</f>
        <v>0</v>
      </c>
      <c r="I807" s="271">
        <f>ROUND(BX66,0)</f>
        <v>0</v>
      </c>
      <c r="J807" s="271">
        <f>ROUND(BX67,0)</f>
        <v>0</v>
      </c>
      <c r="K807" s="271">
        <f>ROUND(BX68,0)</f>
        <v>0</v>
      </c>
      <c r="L807" s="271">
        <f>ROUND(BX69,0)</f>
        <v>0</v>
      </c>
      <c r="M807" s="271">
        <f>ROUND(BX70,0)</f>
        <v>0</v>
      </c>
      <c r="N807" s="271"/>
      <c r="O807" s="271"/>
      <c r="P807" s="271">
        <f>IF(BX76&gt;0,ROUND(BX76,0),0)</f>
        <v>0</v>
      </c>
      <c r="Q807" s="271">
        <f>IF(BX77&gt;0,ROUND(BX77,0),0)</f>
        <v>0</v>
      </c>
      <c r="R807" s="271">
        <f>IF(BX78&gt;0,ROUND(BX78,0),0)</f>
        <v>0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5" customHeight="1" x14ac:dyDescent="0.35">
      <c r="A808" s="209" t="str">
        <f>RIGHT($C$83,3)&amp;"*"&amp;RIGHT($C$82,4)&amp;"*"&amp;BY$55&amp;"*"&amp;"A"</f>
        <v>137*2020*8720*A</v>
      </c>
      <c r="B808" s="271"/>
      <c r="C808" s="273">
        <f>ROUND(BY60,2)</f>
        <v>0</v>
      </c>
      <c r="D808" s="271">
        <f>ROUND(BY61,0)</f>
        <v>0</v>
      </c>
      <c r="E808" s="271">
        <f>ROUND(BY62,0)</f>
        <v>0</v>
      </c>
      <c r="F808" s="271">
        <f>ROUND(BY63,0)</f>
        <v>0</v>
      </c>
      <c r="G808" s="271">
        <f>ROUND(BY64,0)</f>
        <v>0</v>
      </c>
      <c r="H808" s="271">
        <f>ROUND(BY65,0)</f>
        <v>0</v>
      </c>
      <c r="I808" s="271">
        <f>ROUND(BY66,0)</f>
        <v>0</v>
      </c>
      <c r="J808" s="271">
        <f>ROUND(BY67,0)</f>
        <v>225</v>
      </c>
      <c r="K808" s="271">
        <f>ROUND(BY68,0)</f>
        <v>0</v>
      </c>
      <c r="L808" s="271">
        <f>ROUND(BY69,0)</f>
        <v>0</v>
      </c>
      <c r="M808" s="271">
        <f>ROUND(BY70,0)</f>
        <v>-500</v>
      </c>
      <c r="N808" s="271"/>
      <c r="O808" s="271"/>
      <c r="P808" s="271">
        <f>IF(BY76&gt;0,ROUND(BY76,0),0)</f>
        <v>72</v>
      </c>
      <c r="Q808" s="271">
        <f>IF(BY77&gt;0,ROUND(BY77,0),0)</f>
        <v>0</v>
      </c>
      <c r="R808" s="271">
        <f>IF(BY78&gt;0,ROUND(BY78,0),0)</f>
        <v>0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5" customHeight="1" x14ac:dyDescent="0.35">
      <c r="A809" s="209" t="str">
        <f>RIGHT($C$83,3)&amp;"*"&amp;RIGHT($C$82,4)&amp;"*"&amp;BZ$55&amp;"*"&amp;"A"</f>
        <v>137*2020*8730*A</v>
      </c>
      <c r="B809" s="271"/>
      <c r="C809" s="273">
        <f>ROUND(BZ60,2)</f>
        <v>0</v>
      </c>
      <c r="D809" s="271">
        <f>ROUND(BZ61,0)</f>
        <v>0</v>
      </c>
      <c r="E809" s="271">
        <f>ROUND(BZ62,0)</f>
        <v>0</v>
      </c>
      <c r="F809" s="271">
        <f>ROUND(BZ63,0)</f>
        <v>0</v>
      </c>
      <c r="G809" s="271">
        <f>ROUND(BZ64,0)</f>
        <v>0</v>
      </c>
      <c r="H809" s="271">
        <f>ROUND(BZ65,0)</f>
        <v>0</v>
      </c>
      <c r="I809" s="271">
        <f>ROUND(BZ66,0)</f>
        <v>0</v>
      </c>
      <c r="J809" s="271">
        <f>ROUND(BZ67,0)</f>
        <v>0</v>
      </c>
      <c r="K809" s="271">
        <f>ROUND(BZ68,0)</f>
        <v>0</v>
      </c>
      <c r="L809" s="271">
        <f>ROUND(BZ69,0)</f>
        <v>0</v>
      </c>
      <c r="M809" s="271">
        <f>ROUND(BZ70,0)</f>
        <v>0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5" customHeight="1" x14ac:dyDescent="0.35">
      <c r="A810" s="209" t="str">
        <f>RIGHT($C$83,3)&amp;"*"&amp;RIGHT($C$82,4)&amp;"*"&amp;CA$55&amp;"*"&amp;"A"</f>
        <v>137*2020*8740*A</v>
      </c>
      <c r="B810" s="271"/>
      <c r="C810" s="273">
        <f>ROUND(CA60,2)</f>
        <v>0</v>
      </c>
      <c r="D810" s="271">
        <f>ROUND(CA61,0)</f>
        <v>0</v>
      </c>
      <c r="E810" s="271">
        <f>ROUND(CA62,0)</f>
        <v>0</v>
      </c>
      <c r="F810" s="271">
        <f>ROUND(CA63,0)</f>
        <v>0</v>
      </c>
      <c r="G810" s="271">
        <f>ROUND(CA64,0)</f>
        <v>639</v>
      </c>
      <c r="H810" s="271">
        <f>ROUND(CA65,0)</f>
        <v>0</v>
      </c>
      <c r="I810" s="271">
        <f>ROUND(CA66,0)</f>
        <v>0</v>
      </c>
      <c r="J810" s="271">
        <f>ROUND(CA67,0)</f>
        <v>0</v>
      </c>
      <c r="K810" s="271">
        <f>ROUND(CA68,0)</f>
        <v>0</v>
      </c>
      <c r="L810" s="271">
        <f>ROUND(CA69,0)</f>
        <v>164</v>
      </c>
      <c r="M810" s="271">
        <f>ROUND(CA70,0)</f>
        <v>-200</v>
      </c>
      <c r="N810" s="271"/>
      <c r="O810" s="271"/>
      <c r="P810" s="271">
        <f>IF(CA76&gt;0,ROUND(CA76,0),0)</f>
        <v>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5" customHeight="1" x14ac:dyDescent="0.35">
      <c r="A811" s="209" t="str">
        <f>RIGHT($C$83,3)&amp;"*"&amp;RIGHT($C$82,4)&amp;"*"&amp;CB$55&amp;"*"&amp;"A"</f>
        <v>137*2020*8770*A</v>
      </c>
      <c r="B811" s="271"/>
      <c r="C811" s="273">
        <f>ROUND(CB60,2)</f>
        <v>0</v>
      </c>
      <c r="D811" s="271">
        <f>ROUND(CB61,0)</f>
        <v>0</v>
      </c>
      <c r="E811" s="271">
        <f>ROUND(CB62,0)</f>
        <v>0</v>
      </c>
      <c r="F811" s="271">
        <f>ROUND(CB63,0)</f>
        <v>0</v>
      </c>
      <c r="G811" s="271">
        <f>ROUND(CB64,0)</f>
        <v>0</v>
      </c>
      <c r="H811" s="271">
        <f>ROUND(CB65,0)</f>
        <v>0</v>
      </c>
      <c r="I811" s="271">
        <f>ROUND(CB66,0)</f>
        <v>0</v>
      </c>
      <c r="J811" s="271">
        <f>ROUND(CB67,0)</f>
        <v>0</v>
      </c>
      <c r="K811" s="271">
        <f>ROUND(CB68,0)</f>
        <v>0</v>
      </c>
      <c r="L811" s="271">
        <f>ROUND(CB69,0)</f>
        <v>0</v>
      </c>
      <c r="M811" s="271">
        <f>ROUND(CB70,0)</f>
        <v>0</v>
      </c>
      <c r="N811" s="271"/>
      <c r="O811" s="271"/>
      <c r="P811" s="271">
        <f>IF(CB76&gt;0,ROUND(CB76,0),0)</f>
        <v>0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5" customHeight="1" x14ac:dyDescent="0.35">
      <c r="A812" s="209" t="str">
        <f>RIGHT($C$83,3)&amp;"*"&amp;RIGHT($C$82,4)&amp;"*"&amp;CC$55&amp;"*"&amp;"A"</f>
        <v>137*2020*8790*A</v>
      </c>
      <c r="B812" s="271"/>
      <c r="C812" s="273">
        <f>ROUND(CC60,2)</f>
        <v>0</v>
      </c>
      <c r="D812" s="271">
        <f>ROUND(CC61,0)</f>
        <v>0</v>
      </c>
      <c r="E812" s="271">
        <f>ROUND(CC62,0)</f>
        <v>10761</v>
      </c>
      <c r="F812" s="271">
        <f>ROUND(CC63,0)</f>
        <v>127815</v>
      </c>
      <c r="G812" s="271">
        <f>ROUND(CC64,0)</f>
        <v>0</v>
      </c>
      <c r="H812" s="271">
        <f>ROUND(CC65,0)</f>
        <v>-270</v>
      </c>
      <c r="I812" s="271">
        <f>ROUND(CC66,0)</f>
        <v>0</v>
      </c>
      <c r="J812" s="271">
        <f>ROUND(CC67,0)</f>
        <v>517</v>
      </c>
      <c r="K812" s="271">
        <f>ROUND(CC68,0)</f>
        <v>0</v>
      </c>
      <c r="L812" s="271">
        <f>ROUND(CC69,0)</f>
        <v>-12138</v>
      </c>
      <c r="M812" s="271">
        <f>ROUND(CC70,0)</f>
        <v>724371</v>
      </c>
      <c r="N812" s="271"/>
      <c r="O812" s="271"/>
      <c r="P812" s="271">
        <f>IF(CC76&gt;0,ROUND(CC76,0),0)</f>
        <v>165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5" customHeight="1" x14ac:dyDescent="0.35">
      <c r="A813" s="209" t="str">
        <f>RIGHT($C$83,3)&amp;"*"&amp;RIGHT($C$82,4)&amp;"*"&amp;"9000"&amp;"*"&amp;"A"</f>
        <v>137*2020*9000*A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310432</v>
      </c>
      <c r="V813" s="272">
        <f>ROUND(CD70,0)</f>
        <v>0</v>
      </c>
      <c r="W813" s="271">
        <f>ROUND(CE72,0)</f>
        <v>693208</v>
      </c>
      <c r="X813" s="271">
        <f>ROUND(C131,0)</f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5" customHeight="1" x14ac:dyDescent="0.3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5" customHeight="1" x14ac:dyDescent="0.35">
      <c r="B815" s="275" t="s">
        <v>1004</v>
      </c>
      <c r="C815" s="276">
        <f t="shared" ref="C815:K815" si="22">SUM(C734:C813)</f>
        <v>0</v>
      </c>
      <c r="D815" s="272">
        <f t="shared" si="22"/>
        <v>14745838</v>
      </c>
      <c r="E815" s="272">
        <f t="shared" si="22"/>
        <v>3742632</v>
      </c>
      <c r="F815" s="272">
        <f t="shared" si="22"/>
        <v>996381</v>
      </c>
      <c r="G815" s="272">
        <f t="shared" si="22"/>
        <v>2471522</v>
      </c>
      <c r="H815" s="272">
        <f t="shared" si="22"/>
        <v>443922</v>
      </c>
      <c r="I815" s="272">
        <f t="shared" si="22"/>
        <v>2425837</v>
      </c>
      <c r="J815" s="272">
        <f t="shared" si="22"/>
        <v>458502</v>
      </c>
      <c r="K815" s="272">
        <f t="shared" si="22"/>
        <v>259663</v>
      </c>
      <c r="L815" s="272">
        <f>SUM(L734:L813)+SUM(U734:U813)</f>
        <v>670020</v>
      </c>
      <c r="M815" s="272">
        <f>SUM(M734:M813)+SUM(V734:V813)</f>
        <v>549893</v>
      </c>
      <c r="N815" s="272">
        <f t="shared" ref="N815:Y815" si="23">SUM(N734:N813)</f>
        <v>32182358</v>
      </c>
      <c r="O815" s="272">
        <f t="shared" si="23"/>
        <v>7193166</v>
      </c>
      <c r="P815" s="272">
        <f t="shared" si="23"/>
        <v>41043</v>
      </c>
      <c r="Q815" s="272">
        <f t="shared" si="23"/>
        <v>0</v>
      </c>
      <c r="R815" s="272">
        <f t="shared" si="23"/>
        <v>0</v>
      </c>
      <c r="S815" s="272">
        <f t="shared" si="23"/>
        <v>0</v>
      </c>
      <c r="T815" s="276">
        <f t="shared" si="23"/>
        <v>0</v>
      </c>
      <c r="U815" s="272">
        <f t="shared" si="23"/>
        <v>310432</v>
      </c>
      <c r="V815" s="272">
        <f t="shared" si="23"/>
        <v>0</v>
      </c>
      <c r="W815" s="272">
        <f t="shared" si="23"/>
        <v>693208</v>
      </c>
      <c r="X815" s="272">
        <f t="shared" si="23"/>
        <v>0</v>
      </c>
      <c r="Y815" s="272" t="e">
        <f t="shared" si="23"/>
        <v>#DIV/0!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5" customHeight="1" x14ac:dyDescent="0.35">
      <c r="B816" s="272" t="s">
        <v>1005</v>
      </c>
      <c r="C816" s="276">
        <f>CE60</f>
        <v>0</v>
      </c>
      <c r="D816" s="272">
        <f>CE61</f>
        <v>14745838.430000002</v>
      </c>
      <c r="E816" s="272">
        <f>CE62</f>
        <v>3742632</v>
      </c>
      <c r="F816" s="272">
        <f>CE63</f>
        <v>996380.8</v>
      </c>
      <c r="G816" s="272">
        <f>CE64</f>
        <v>2471521.81</v>
      </c>
      <c r="H816" s="275">
        <f>CE65</f>
        <v>443922.23</v>
      </c>
      <c r="I816" s="275">
        <f>CE66</f>
        <v>2425837.91</v>
      </c>
      <c r="J816" s="275">
        <f>CE67</f>
        <v>458502</v>
      </c>
      <c r="K816" s="275">
        <f>CE68</f>
        <v>259663.2</v>
      </c>
      <c r="L816" s="275">
        <f>CE69</f>
        <v>670020.66</v>
      </c>
      <c r="M816" s="275">
        <f>CE70</f>
        <v>549893</v>
      </c>
      <c r="N816" s="272">
        <f>CE75</f>
        <v>32182357.990000002</v>
      </c>
      <c r="O816" s="272">
        <f>CE73</f>
        <v>7193165.6500000004</v>
      </c>
      <c r="P816" s="272">
        <f>CE76</f>
        <v>41043</v>
      </c>
      <c r="Q816" s="272">
        <f>CE77</f>
        <v>0</v>
      </c>
      <c r="R816" s="272">
        <f>CE78</f>
        <v>0</v>
      </c>
      <c r="S816" s="272">
        <f>CE79</f>
        <v>0</v>
      </c>
      <c r="T816" s="276">
        <f>CE80</f>
        <v>0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7463276.2700000005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14745838</v>
      </c>
      <c r="E817" s="180">
        <f>C379</f>
        <v>3742633</v>
      </c>
      <c r="F817" s="180">
        <f>C380</f>
        <v>996381</v>
      </c>
      <c r="G817" s="237">
        <f>C381</f>
        <v>2471522</v>
      </c>
      <c r="H817" s="237">
        <f>C382</f>
        <v>443922</v>
      </c>
      <c r="I817" s="237">
        <f>C383</f>
        <v>2425838</v>
      </c>
      <c r="J817" s="237">
        <f>C384</f>
        <v>458502</v>
      </c>
      <c r="K817" s="237">
        <f>C385</f>
        <v>259663</v>
      </c>
      <c r="L817" s="237">
        <f>C386+C387+C388+C389</f>
        <v>795676</v>
      </c>
      <c r="M817" s="237">
        <f>C370</f>
        <v>549893</v>
      </c>
      <c r="N817" s="180">
        <f>D361</f>
        <v>32182358</v>
      </c>
      <c r="O817" s="180">
        <f>C359</f>
        <v>7193166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81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U22" transitionEvaluation="1" transitionEntry="1" codeName="Sheet10">
    <pageSetUpPr autoPageBreaks="0" fitToPage="1"/>
  </sheetPr>
  <dimension ref="A1:CF816"/>
  <sheetViews>
    <sheetView showGridLines="0" topLeftCell="AU22" zoomScale="75" workbookViewId="0">
      <selection activeCell="A66" sqref="A66:XFD6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29" t="s">
        <v>1231</v>
      </c>
      <c r="B1" s="230"/>
      <c r="C1" s="230"/>
      <c r="D1" s="230"/>
      <c r="E1" s="230"/>
      <c r="F1" s="230"/>
    </row>
    <row r="2" spans="1:6" ht="12.75" customHeight="1" x14ac:dyDescent="0.35">
      <c r="A2" s="230" t="s">
        <v>1232</v>
      </c>
      <c r="B2" s="230"/>
      <c r="C2" s="231"/>
      <c r="D2" s="230"/>
      <c r="E2" s="230"/>
      <c r="F2" s="230"/>
    </row>
    <row r="3" spans="1:6" ht="12.75" customHeight="1" x14ac:dyDescent="0.35">
      <c r="A3" s="199"/>
      <c r="C3" s="232"/>
    </row>
    <row r="4" spans="1:6" ht="12.75" customHeight="1" x14ac:dyDescent="0.35">
      <c r="C4" s="232"/>
    </row>
    <row r="5" spans="1:6" ht="12.75" customHeight="1" x14ac:dyDescent="0.35">
      <c r="A5" s="199" t="s">
        <v>1258</v>
      </c>
      <c r="C5" s="232"/>
    </row>
    <row r="6" spans="1:6" ht="12.75" customHeight="1" x14ac:dyDescent="0.35">
      <c r="A6" s="199" t="s">
        <v>0</v>
      </c>
      <c r="C6" s="232"/>
    </row>
    <row r="7" spans="1:6" ht="12.75" customHeight="1" x14ac:dyDescent="0.35">
      <c r="A7" s="199" t="s">
        <v>1</v>
      </c>
      <c r="C7" s="232"/>
    </row>
    <row r="8" spans="1:6" ht="12.75" customHeight="1" x14ac:dyDescent="0.35">
      <c r="C8" s="232"/>
    </row>
    <row r="9" spans="1:6" ht="12.75" customHeight="1" x14ac:dyDescent="0.35">
      <c r="C9" s="232"/>
    </row>
    <row r="10" spans="1:6" ht="12.75" customHeight="1" x14ac:dyDescent="0.35">
      <c r="A10" s="198" t="s">
        <v>1228</v>
      </c>
      <c r="C10" s="232"/>
    </row>
    <row r="11" spans="1:6" ht="12.75" customHeight="1" x14ac:dyDescent="0.35">
      <c r="A11" s="198" t="s">
        <v>1230</v>
      </c>
      <c r="C11" s="232"/>
    </row>
    <row r="12" spans="1:6" ht="12.75" customHeight="1" x14ac:dyDescent="0.35">
      <c r="C12" s="232"/>
    </row>
    <row r="13" spans="1:6" ht="12.75" customHeight="1" x14ac:dyDescent="0.35">
      <c r="C13" s="232"/>
    </row>
    <row r="14" spans="1:6" ht="12.75" customHeight="1" x14ac:dyDescent="0.35">
      <c r="A14" s="199" t="s">
        <v>2</v>
      </c>
      <c r="C14" s="232"/>
    </row>
    <row r="15" spans="1:6" ht="12.75" customHeight="1" x14ac:dyDescent="0.35">
      <c r="A15" s="199"/>
      <c r="C15" s="232"/>
    </row>
    <row r="16" spans="1:6" ht="12.75" customHeight="1" x14ac:dyDescent="0.35">
      <c r="A16" s="287" t="s">
        <v>1265</v>
      </c>
      <c r="C16" s="232"/>
    </row>
    <row r="17" spans="1:7" ht="12.75" customHeight="1" x14ac:dyDescent="0.35">
      <c r="A17" s="287" t="s">
        <v>1264</v>
      </c>
      <c r="C17" s="282"/>
      <c r="F17" s="233"/>
    </row>
    <row r="18" spans="1:7" ht="12.75" customHeight="1" x14ac:dyDescent="0.35">
      <c r="A18" s="285"/>
      <c r="C18" s="232"/>
    </row>
    <row r="19" spans="1:7" ht="12.75" customHeight="1" x14ac:dyDescent="0.35">
      <c r="C19" s="232"/>
    </row>
    <row r="20" spans="1:7" ht="12.75" customHeight="1" x14ac:dyDescent="0.35">
      <c r="A20" s="268" t="s">
        <v>1233</v>
      </c>
      <c r="B20" s="268"/>
      <c r="C20" s="283"/>
      <c r="D20" s="268"/>
      <c r="E20" s="268"/>
      <c r="F20" s="268"/>
      <c r="G20" s="268"/>
    </row>
    <row r="21" spans="1:7" ht="22.5" customHeight="1" x14ac:dyDescent="0.35">
      <c r="A21" s="199"/>
      <c r="C21" s="232"/>
    </row>
    <row r="22" spans="1:7" ht="12.65" customHeight="1" x14ac:dyDescent="0.35">
      <c r="A22" s="268" t="s">
        <v>1253</v>
      </c>
      <c r="B22" s="286"/>
      <c r="C22" s="283"/>
      <c r="D22" s="268"/>
      <c r="E22" s="268"/>
      <c r="F22" s="268"/>
    </row>
    <row r="23" spans="1:7" ht="12.65" customHeight="1" x14ac:dyDescent="0.35">
      <c r="B23" s="199"/>
      <c r="C23" s="232"/>
    </row>
    <row r="24" spans="1:7" ht="12.65" customHeight="1" x14ac:dyDescent="0.35">
      <c r="A24" s="237" t="s">
        <v>3</v>
      </c>
      <c r="C24" s="232"/>
    </row>
    <row r="25" spans="1:7" ht="12.65" customHeight="1" x14ac:dyDescent="0.35">
      <c r="A25" s="198" t="s">
        <v>1234</v>
      </c>
      <c r="C25" s="232"/>
    </row>
    <row r="26" spans="1:7" ht="12.65" customHeight="1" x14ac:dyDescent="0.35">
      <c r="A26" s="199" t="s">
        <v>4</v>
      </c>
      <c r="C26" s="232"/>
    </row>
    <row r="27" spans="1:7" ht="12.65" customHeight="1" x14ac:dyDescent="0.35">
      <c r="A27" s="198" t="s">
        <v>1235</v>
      </c>
      <c r="C27" s="232"/>
    </row>
    <row r="28" spans="1:7" ht="12.65" customHeight="1" x14ac:dyDescent="0.35">
      <c r="A28" s="199" t="s">
        <v>5</v>
      </c>
      <c r="C28" s="232"/>
    </row>
    <row r="29" spans="1:7" ht="12.65" customHeight="1" x14ac:dyDescent="0.35">
      <c r="A29" s="198"/>
      <c r="C29" s="232"/>
    </row>
    <row r="30" spans="1:7" ht="12.65" customHeight="1" x14ac:dyDescent="0.35">
      <c r="A30" s="180" t="s">
        <v>6</v>
      </c>
      <c r="C30" s="232"/>
    </row>
    <row r="31" spans="1:7" ht="12.65" customHeight="1" x14ac:dyDescent="0.35">
      <c r="A31" s="199" t="s">
        <v>7</v>
      </c>
      <c r="C31" s="232"/>
    </row>
    <row r="32" spans="1:7" ht="12.65" customHeight="1" x14ac:dyDescent="0.35">
      <c r="A32" s="199" t="s">
        <v>8</v>
      </c>
      <c r="C32" s="232"/>
    </row>
    <row r="33" spans="1:84" ht="12.65" customHeight="1" x14ac:dyDescent="0.35">
      <c r="A33" s="198" t="s">
        <v>1236</v>
      </c>
      <c r="C33" s="232"/>
    </row>
    <row r="34" spans="1:84" ht="12.65" customHeight="1" x14ac:dyDescent="0.35">
      <c r="A34" s="199" t="s">
        <v>9</v>
      </c>
      <c r="C34" s="232"/>
    </row>
    <row r="35" spans="1:84" ht="12.65" customHeight="1" x14ac:dyDescent="0.35">
      <c r="A35" s="199"/>
      <c r="C35" s="232"/>
    </row>
    <row r="36" spans="1:84" ht="12.65" customHeight="1" x14ac:dyDescent="0.35">
      <c r="A36" s="198" t="s">
        <v>1237</v>
      </c>
      <c r="C36" s="232"/>
    </row>
    <row r="37" spans="1:84" ht="12.65" customHeight="1" x14ac:dyDescent="0.35">
      <c r="A37" s="199" t="s">
        <v>1229</v>
      </c>
      <c r="C37" s="232"/>
    </row>
    <row r="38" spans="1:84" ht="12" customHeight="1" x14ac:dyDescent="0.35">
      <c r="A38" s="198"/>
      <c r="C38" s="232"/>
    </row>
    <row r="39" spans="1:84" ht="12.65" customHeight="1" x14ac:dyDescent="0.35">
      <c r="A39" s="199"/>
      <c r="C39" s="232"/>
    </row>
    <row r="40" spans="1:84" ht="12" customHeight="1" x14ac:dyDescent="0.35">
      <c r="A40" s="199"/>
      <c r="C40" s="232"/>
    </row>
    <row r="41" spans="1:84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4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4" ht="12" customHeight="1" x14ac:dyDescent="0.35">
      <c r="A43" s="199"/>
      <c r="C43" s="232"/>
      <c r="F43" s="181"/>
    </row>
    <row r="44" spans="1:84" ht="12" customHeight="1" x14ac:dyDescent="0.35">
      <c r="A44" s="290"/>
      <c r="B44" s="290"/>
      <c r="C44" s="291" t="s">
        <v>10</v>
      </c>
      <c r="D44" s="292" t="s">
        <v>11</v>
      </c>
      <c r="E44" s="292" t="s">
        <v>12</v>
      </c>
      <c r="F44" s="292" t="s">
        <v>13</v>
      </c>
      <c r="G44" s="292" t="s">
        <v>14</v>
      </c>
      <c r="H44" s="292" t="s">
        <v>15</v>
      </c>
      <c r="I44" s="292" t="s">
        <v>16</v>
      </c>
      <c r="J44" s="292" t="s">
        <v>17</v>
      </c>
      <c r="K44" s="292" t="s">
        <v>18</v>
      </c>
      <c r="L44" s="292" t="s">
        <v>19</v>
      </c>
      <c r="M44" s="292" t="s">
        <v>20</v>
      </c>
      <c r="N44" s="292" t="s">
        <v>21</v>
      </c>
      <c r="O44" s="292" t="s">
        <v>22</v>
      </c>
      <c r="P44" s="292" t="s">
        <v>23</v>
      </c>
      <c r="Q44" s="292" t="s">
        <v>24</v>
      </c>
      <c r="R44" s="292" t="s">
        <v>25</v>
      </c>
      <c r="S44" s="292" t="s">
        <v>26</v>
      </c>
      <c r="T44" s="292" t="s">
        <v>27</v>
      </c>
      <c r="U44" s="292" t="s">
        <v>28</v>
      </c>
      <c r="V44" s="292" t="s">
        <v>29</v>
      </c>
      <c r="W44" s="292" t="s">
        <v>30</v>
      </c>
      <c r="X44" s="292" t="s">
        <v>31</v>
      </c>
      <c r="Y44" s="292" t="s">
        <v>32</v>
      </c>
      <c r="Z44" s="292" t="s">
        <v>33</v>
      </c>
      <c r="AA44" s="292" t="s">
        <v>34</v>
      </c>
      <c r="AB44" s="292" t="s">
        <v>35</v>
      </c>
      <c r="AC44" s="292" t="s">
        <v>36</v>
      </c>
      <c r="AD44" s="292" t="s">
        <v>37</v>
      </c>
      <c r="AE44" s="292" t="s">
        <v>38</v>
      </c>
      <c r="AF44" s="292" t="s">
        <v>39</v>
      </c>
      <c r="AG44" s="292" t="s">
        <v>40</v>
      </c>
      <c r="AH44" s="292" t="s">
        <v>41</v>
      </c>
      <c r="AI44" s="292" t="s">
        <v>42</v>
      </c>
      <c r="AJ44" s="292" t="s">
        <v>43</v>
      </c>
      <c r="AK44" s="292" t="s">
        <v>44</v>
      </c>
      <c r="AL44" s="292" t="s">
        <v>45</v>
      </c>
      <c r="AM44" s="292" t="s">
        <v>46</v>
      </c>
      <c r="AN44" s="292" t="s">
        <v>47</v>
      </c>
      <c r="AO44" s="292" t="s">
        <v>48</v>
      </c>
      <c r="AP44" s="292" t="s">
        <v>49</v>
      </c>
      <c r="AQ44" s="292" t="s">
        <v>50</v>
      </c>
      <c r="AR44" s="292" t="s">
        <v>51</v>
      </c>
      <c r="AS44" s="292" t="s">
        <v>52</v>
      </c>
      <c r="AT44" s="292" t="s">
        <v>53</v>
      </c>
      <c r="AU44" s="292" t="s">
        <v>54</v>
      </c>
      <c r="AV44" s="292" t="s">
        <v>55</v>
      </c>
      <c r="AW44" s="292" t="s">
        <v>56</v>
      </c>
      <c r="AX44" s="292" t="s">
        <v>57</v>
      </c>
      <c r="AY44" s="292" t="s">
        <v>58</v>
      </c>
      <c r="AZ44" s="292" t="s">
        <v>59</v>
      </c>
      <c r="BA44" s="292" t="s">
        <v>60</v>
      </c>
      <c r="BB44" s="292" t="s">
        <v>61</v>
      </c>
      <c r="BC44" s="292" t="s">
        <v>62</v>
      </c>
      <c r="BD44" s="292" t="s">
        <v>63</v>
      </c>
      <c r="BE44" s="292" t="s">
        <v>64</v>
      </c>
      <c r="BF44" s="292" t="s">
        <v>65</v>
      </c>
      <c r="BG44" s="292" t="s">
        <v>66</v>
      </c>
      <c r="BH44" s="292" t="s">
        <v>67</v>
      </c>
      <c r="BI44" s="292" t="s">
        <v>68</v>
      </c>
      <c r="BJ44" s="292" t="s">
        <v>69</v>
      </c>
      <c r="BK44" s="292" t="s">
        <v>70</v>
      </c>
      <c r="BL44" s="292" t="s">
        <v>71</v>
      </c>
      <c r="BM44" s="292" t="s">
        <v>72</v>
      </c>
      <c r="BN44" s="292" t="s">
        <v>73</v>
      </c>
      <c r="BO44" s="292" t="s">
        <v>74</v>
      </c>
      <c r="BP44" s="292" t="s">
        <v>75</v>
      </c>
      <c r="BQ44" s="292" t="s">
        <v>76</v>
      </c>
      <c r="BR44" s="292" t="s">
        <v>77</v>
      </c>
      <c r="BS44" s="292" t="s">
        <v>78</v>
      </c>
      <c r="BT44" s="292" t="s">
        <v>79</v>
      </c>
      <c r="BU44" s="292" t="s">
        <v>80</v>
      </c>
      <c r="BV44" s="292" t="s">
        <v>81</v>
      </c>
      <c r="BW44" s="292" t="s">
        <v>82</v>
      </c>
      <c r="BX44" s="292" t="s">
        <v>83</v>
      </c>
      <c r="BY44" s="292" t="s">
        <v>84</v>
      </c>
      <c r="BZ44" s="292" t="s">
        <v>85</v>
      </c>
      <c r="CA44" s="292" t="s">
        <v>86</v>
      </c>
      <c r="CB44" s="292" t="s">
        <v>87</v>
      </c>
      <c r="CC44" s="292" t="s">
        <v>88</v>
      </c>
      <c r="CD44" s="292" t="s">
        <v>89</v>
      </c>
      <c r="CE44" s="292" t="s">
        <v>90</v>
      </c>
      <c r="CF44" s="2"/>
    </row>
    <row r="45" spans="1:84" ht="12" customHeight="1" x14ac:dyDescent="0.35">
      <c r="A45" s="290"/>
      <c r="B45" s="293" t="s">
        <v>91</v>
      </c>
      <c r="C45" s="291" t="s">
        <v>92</v>
      </c>
      <c r="D45" s="292" t="s">
        <v>93</v>
      </c>
      <c r="E45" s="292" t="s">
        <v>94</v>
      </c>
      <c r="F45" s="292" t="s">
        <v>95</v>
      </c>
      <c r="G45" s="292" t="s">
        <v>96</v>
      </c>
      <c r="H45" s="292" t="s">
        <v>97</v>
      </c>
      <c r="I45" s="292" t="s">
        <v>98</v>
      </c>
      <c r="J45" s="292" t="s">
        <v>99</v>
      </c>
      <c r="K45" s="292" t="s">
        <v>100</v>
      </c>
      <c r="L45" s="292" t="s">
        <v>101</v>
      </c>
      <c r="M45" s="292" t="s">
        <v>102</v>
      </c>
      <c r="N45" s="292" t="s">
        <v>103</v>
      </c>
      <c r="O45" s="292" t="s">
        <v>104</v>
      </c>
      <c r="P45" s="292" t="s">
        <v>105</v>
      </c>
      <c r="Q45" s="292" t="s">
        <v>106</v>
      </c>
      <c r="R45" s="292" t="s">
        <v>107</v>
      </c>
      <c r="S45" s="292" t="s">
        <v>108</v>
      </c>
      <c r="T45" s="292" t="s">
        <v>1194</v>
      </c>
      <c r="U45" s="292" t="s">
        <v>109</v>
      </c>
      <c r="V45" s="292" t="s">
        <v>110</v>
      </c>
      <c r="W45" s="292" t="s">
        <v>111</v>
      </c>
      <c r="X45" s="292" t="s">
        <v>112</v>
      </c>
      <c r="Y45" s="292" t="s">
        <v>113</v>
      </c>
      <c r="Z45" s="292" t="s">
        <v>113</v>
      </c>
      <c r="AA45" s="292" t="s">
        <v>114</v>
      </c>
      <c r="AB45" s="292" t="s">
        <v>115</v>
      </c>
      <c r="AC45" s="292" t="s">
        <v>116</v>
      </c>
      <c r="AD45" s="292" t="s">
        <v>117</v>
      </c>
      <c r="AE45" s="292" t="s">
        <v>96</v>
      </c>
      <c r="AF45" s="292" t="s">
        <v>97</v>
      </c>
      <c r="AG45" s="292" t="s">
        <v>118</v>
      </c>
      <c r="AH45" s="292" t="s">
        <v>119</v>
      </c>
      <c r="AI45" s="292" t="s">
        <v>120</v>
      </c>
      <c r="AJ45" s="292" t="s">
        <v>121</v>
      </c>
      <c r="AK45" s="292" t="s">
        <v>122</v>
      </c>
      <c r="AL45" s="292" t="s">
        <v>123</v>
      </c>
      <c r="AM45" s="292" t="s">
        <v>124</v>
      </c>
      <c r="AN45" s="292" t="s">
        <v>110</v>
      </c>
      <c r="AO45" s="292" t="s">
        <v>125</v>
      </c>
      <c r="AP45" s="292" t="s">
        <v>126</v>
      </c>
      <c r="AQ45" s="292" t="s">
        <v>127</v>
      </c>
      <c r="AR45" s="292" t="s">
        <v>128</v>
      </c>
      <c r="AS45" s="292" t="s">
        <v>129</v>
      </c>
      <c r="AT45" s="292" t="s">
        <v>130</v>
      </c>
      <c r="AU45" s="292" t="s">
        <v>131</v>
      </c>
      <c r="AV45" s="292" t="s">
        <v>132</v>
      </c>
      <c r="AW45" s="292" t="s">
        <v>133</v>
      </c>
      <c r="AX45" s="292" t="s">
        <v>134</v>
      </c>
      <c r="AY45" s="292" t="s">
        <v>135</v>
      </c>
      <c r="AZ45" s="292" t="s">
        <v>136</v>
      </c>
      <c r="BA45" s="292" t="s">
        <v>137</v>
      </c>
      <c r="BB45" s="292" t="s">
        <v>138</v>
      </c>
      <c r="BC45" s="292" t="s">
        <v>108</v>
      </c>
      <c r="BD45" s="292" t="s">
        <v>139</v>
      </c>
      <c r="BE45" s="292" t="s">
        <v>140</v>
      </c>
      <c r="BF45" s="292" t="s">
        <v>141</v>
      </c>
      <c r="BG45" s="292" t="s">
        <v>142</v>
      </c>
      <c r="BH45" s="292" t="s">
        <v>143</v>
      </c>
      <c r="BI45" s="292" t="s">
        <v>144</v>
      </c>
      <c r="BJ45" s="292" t="s">
        <v>145</v>
      </c>
      <c r="BK45" s="292" t="s">
        <v>146</v>
      </c>
      <c r="BL45" s="292" t="s">
        <v>147</v>
      </c>
      <c r="BM45" s="292" t="s">
        <v>132</v>
      </c>
      <c r="BN45" s="292" t="s">
        <v>148</v>
      </c>
      <c r="BO45" s="292" t="s">
        <v>149</v>
      </c>
      <c r="BP45" s="292" t="s">
        <v>150</v>
      </c>
      <c r="BQ45" s="292" t="s">
        <v>151</v>
      </c>
      <c r="BR45" s="292" t="s">
        <v>152</v>
      </c>
      <c r="BS45" s="292" t="s">
        <v>153</v>
      </c>
      <c r="BT45" s="292" t="s">
        <v>154</v>
      </c>
      <c r="BU45" s="292" t="s">
        <v>155</v>
      </c>
      <c r="BV45" s="292" t="s">
        <v>155</v>
      </c>
      <c r="BW45" s="292" t="s">
        <v>155</v>
      </c>
      <c r="BX45" s="292" t="s">
        <v>156</v>
      </c>
      <c r="BY45" s="292" t="s">
        <v>157</v>
      </c>
      <c r="BZ45" s="292" t="s">
        <v>158</v>
      </c>
      <c r="CA45" s="292" t="s">
        <v>159</v>
      </c>
      <c r="CB45" s="292" t="s">
        <v>160</v>
      </c>
      <c r="CC45" s="292" t="s">
        <v>132</v>
      </c>
      <c r="CD45" s="292"/>
      <c r="CE45" s="292" t="s">
        <v>161</v>
      </c>
      <c r="CF45" s="2"/>
    </row>
    <row r="46" spans="1:84" ht="12.65" customHeight="1" x14ac:dyDescent="0.35">
      <c r="A46" s="290" t="s">
        <v>3</v>
      </c>
      <c r="B46" s="292" t="s">
        <v>162</v>
      </c>
      <c r="C46" s="291" t="s">
        <v>163</v>
      </c>
      <c r="D46" s="292" t="s">
        <v>163</v>
      </c>
      <c r="E46" s="292" t="s">
        <v>163</v>
      </c>
      <c r="F46" s="292" t="s">
        <v>164</v>
      </c>
      <c r="G46" s="292" t="s">
        <v>165</v>
      </c>
      <c r="H46" s="292" t="s">
        <v>163</v>
      </c>
      <c r="I46" s="292" t="s">
        <v>166</v>
      </c>
      <c r="J46" s="292"/>
      <c r="K46" s="292" t="s">
        <v>157</v>
      </c>
      <c r="L46" s="292" t="s">
        <v>167</v>
      </c>
      <c r="M46" s="292" t="s">
        <v>168</v>
      </c>
      <c r="N46" s="292" t="s">
        <v>169</v>
      </c>
      <c r="O46" s="292" t="s">
        <v>170</v>
      </c>
      <c r="P46" s="292" t="s">
        <v>169</v>
      </c>
      <c r="Q46" s="292" t="s">
        <v>171</v>
      </c>
      <c r="R46" s="292"/>
      <c r="S46" s="292" t="s">
        <v>169</v>
      </c>
      <c r="T46" s="292" t="s">
        <v>172</v>
      </c>
      <c r="U46" s="292"/>
      <c r="V46" s="292" t="s">
        <v>173</v>
      </c>
      <c r="W46" s="292" t="s">
        <v>174</v>
      </c>
      <c r="X46" s="292" t="s">
        <v>175</v>
      </c>
      <c r="Y46" s="292" t="s">
        <v>176</v>
      </c>
      <c r="Z46" s="292" t="s">
        <v>177</v>
      </c>
      <c r="AA46" s="292" t="s">
        <v>178</v>
      </c>
      <c r="AB46" s="292"/>
      <c r="AC46" s="292" t="s">
        <v>172</v>
      </c>
      <c r="AD46" s="292"/>
      <c r="AE46" s="292" t="s">
        <v>172</v>
      </c>
      <c r="AF46" s="292" t="s">
        <v>179</v>
      </c>
      <c r="AG46" s="292" t="s">
        <v>171</v>
      </c>
      <c r="AH46" s="292"/>
      <c r="AI46" s="292" t="s">
        <v>180</v>
      </c>
      <c r="AJ46" s="292"/>
      <c r="AK46" s="292" t="s">
        <v>172</v>
      </c>
      <c r="AL46" s="292" t="s">
        <v>172</v>
      </c>
      <c r="AM46" s="292" t="s">
        <v>172</v>
      </c>
      <c r="AN46" s="292" t="s">
        <v>181</v>
      </c>
      <c r="AO46" s="292" t="s">
        <v>182</v>
      </c>
      <c r="AP46" s="292" t="s">
        <v>121</v>
      </c>
      <c r="AQ46" s="292" t="s">
        <v>183</v>
      </c>
      <c r="AR46" s="292" t="s">
        <v>169</v>
      </c>
      <c r="AS46" s="292"/>
      <c r="AT46" s="292" t="s">
        <v>184</v>
      </c>
      <c r="AU46" s="292" t="s">
        <v>185</v>
      </c>
      <c r="AV46" s="292" t="s">
        <v>186</v>
      </c>
      <c r="AW46" s="292" t="s">
        <v>187</v>
      </c>
      <c r="AX46" s="292" t="s">
        <v>188</v>
      </c>
      <c r="AY46" s="292"/>
      <c r="AZ46" s="292"/>
      <c r="BA46" s="292" t="s">
        <v>189</v>
      </c>
      <c r="BB46" s="292" t="s">
        <v>169</v>
      </c>
      <c r="BC46" s="292" t="s">
        <v>183</v>
      </c>
      <c r="BD46" s="292"/>
      <c r="BE46" s="292"/>
      <c r="BF46" s="292"/>
      <c r="BG46" s="292"/>
      <c r="BH46" s="292" t="s">
        <v>190</v>
      </c>
      <c r="BI46" s="292" t="s">
        <v>169</v>
      </c>
      <c r="BJ46" s="292"/>
      <c r="BK46" s="292" t="s">
        <v>191</v>
      </c>
      <c r="BL46" s="292"/>
      <c r="BM46" s="292" t="s">
        <v>192</v>
      </c>
      <c r="BN46" s="292" t="s">
        <v>193</v>
      </c>
      <c r="BO46" s="292" t="s">
        <v>194</v>
      </c>
      <c r="BP46" s="292" t="s">
        <v>195</v>
      </c>
      <c r="BQ46" s="292" t="s">
        <v>196</v>
      </c>
      <c r="BR46" s="292"/>
      <c r="BS46" s="292" t="s">
        <v>197</v>
      </c>
      <c r="BT46" s="292" t="s">
        <v>169</v>
      </c>
      <c r="BU46" s="292" t="s">
        <v>198</v>
      </c>
      <c r="BV46" s="292" t="s">
        <v>199</v>
      </c>
      <c r="BW46" s="292" t="s">
        <v>200</v>
      </c>
      <c r="BX46" s="292" t="s">
        <v>151</v>
      </c>
      <c r="BY46" s="292" t="s">
        <v>193</v>
      </c>
      <c r="BZ46" s="292" t="s">
        <v>152</v>
      </c>
      <c r="CA46" s="292" t="s">
        <v>201</v>
      </c>
      <c r="CB46" s="292" t="s">
        <v>201</v>
      </c>
      <c r="CC46" s="292" t="s">
        <v>202</v>
      </c>
      <c r="CD46" s="292"/>
      <c r="CE46" s="292" t="s">
        <v>203</v>
      </c>
      <c r="CF46" s="2"/>
    </row>
    <row r="47" spans="1:84" ht="12.65" customHeight="1" x14ac:dyDescent="0.35">
      <c r="A47" s="290" t="s">
        <v>204</v>
      </c>
      <c r="B47" s="294"/>
      <c r="C47" s="295"/>
      <c r="D47" s="295"/>
      <c r="E47" s="295">
        <v>462120</v>
      </c>
      <c r="F47" s="295"/>
      <c r="G47" s="295"/>
      <c r="H47" s="295"/>
      <c r="I47" s="295"/>
      <c r="J47" s="295"/>
      <c r="K47" s="295"/>
      <c r="L47" s="295">
        <v>309021</v>
      </c>
      <c r="M47" s="295"/>
      <c r="N47" s="295"/>
      <c r="O47" s="295"/>
      <c r="P47" s="295">
        <v>58989</v>
      </c>
      <c r="Q47" s="295">
        <v>47680</v>
      </c>
      <c r="R47" s="295">
        <f>58740+55796</f>
        <v>114536</v>
      </c>
      <c r="S47" s="295">
        <v>27679</v>
      </c>
      <c r="T47" s="295"/>
      <c r="U47" s="295">
        <v>109517</v>
      </c>
      <c r="V47" s="295"/>
      <c r="W47" s="295"/>
      <c r="X47" s="295"/>
      <c r="Y47" s="295">
        <f>98668+20929</f>
        <v>119597</v>
      </c>
      <c r="Z47" s="295"/>
      <c r="AA47" s="295"/>
      <c r="AB47" s="295">
        <v>45337</v>
      </c>
      <c r="AC47" s="295">
        <v>28457</v>
      </c>
      <c r="AD47" s="295"/>
      <c r="AE47" s="295">
        <v>119159</v>
      </c>
      <c r="AF47" s="295"/>
      <c r="AG47" s="295">
        <v>108015</v>
      </c>
      <c r="AH47" s="295">
        <f>21484+15725</f>
        <v>37209</v>
      </c>
      <c r="AI47" s="295"/>
      <c r="AJ47" s="295">
        <f>113759+424439+97782+112213</f>
        <v>748193</v>
      </c>
      <c r="AK47" s="295">
        <v>10117</v>
      </c>
      <c r="AL47" s="295">
        <v>6368</v>
      </c>
      <c r="AM47" s="295">
        <v>9799</v>
      </c>
      <c r="AN47" s="295"/>
      <c r="AO47" s="295"/>
      <c r="AP47" s="295"/>
      <c r="AQ47" s="295"/>
      <c r="AR47" s="295"/>
      <c r="AS47" s="295"/>
      <c r="AT47" s="295"/>
      <c r="AU47" s="295"/>
      <c r="AV47" s="295">
        <v>34291</v>
      </c>
      <c r="AW47" s="295"/>
      <c r="AX47" s="295"/>
      <c r="AY47" s="295">
        <v>114033</v>
      </c>
      <c r="AZ47" s="295"/>
      <c r="BA47" s="295">
        <v>14168</v>
      </c>
      <c r="BB47" s="295">
        <v>18138</v>
      </c>
      <c r="BC47" s="295"/>
      <c r="BD47" s="295"/>
      <c r="BE47" s="295">
        <v>75892</v>
      </c>
      <c r="BF47" s="295">
        <v>94120</v>
      </c>
      <c r="BG47" s="295"/>
      <c r="BH47" s="295"/>
      <c r="BI47" s="295"/>
      <c r="BJ47" s="295">
        <v>69683</v>
      </c>
      <c r="BK47" s="295">
        <v>78960</v>
      </c>
      <c r="BL47" s="295">
        <f>101002+64572</f>
        <v>165574</v>
      </c>
      <c r="BM47" s="295">
        <v>43294</v>
      </c>
      <c r="BN47" s="295">
        <f>256506+39729</f>
        <v>296235</v>
      </c>
      <c r="BO47" s="295"/>
      <c r="BP47" s="295"/>
      <c r="BQ47" s="295"/>
      <c r="BR47" s="295">
        <v>38649</v>
      </c>
      <c r="BS47" s="295"/>
      <c r="BT47" s="295"/>
      <c r="BU47" s="295"/>
      <c r="BV47" s="295">
        <v>57678</v>
      </c>
      <c r="BW47" s="295"/>
      <c r="BX47" s="295"/>
      <c r="BY47" s="295"/>
      <c r="BZ47" s="295"/>
      <c r="CA47" s="295"/>
      <c r="CB47" s="295"/>
      <c r="CC47" s="295"/>
      <c r="CD47" s="290"/>
      <c r="CE47" s="290">
        <f>SUM(C47:CC47)</f>
        <v>3462508</v>
      </c>
      <c r="CF47" s="2"/>
    </row>
    <row r="48" spans="1:84" ht="12.65" customHeight="1" x14ac:dyDescent="0.35">
      <c r="A48" s="290" t="s">
        <v>205</v>
      </c>
      <c r="B48" s="294">
        <v>303832.5</v>
      </c>
      <c r="C48" s="296">
        <f>ROUND(((B48/CE61)*C61),0)</f>
        <v>0</v>
      </c>
      <c r="D48" s="296">
        <f>ROUND(((B48/CE61)*D61),0)</f>
        <v>0</v>
      </c>
      <c r="E48" s="290">
        <f>ROUND(((B48/CE61)*E61),0)</f>
        <v>36309</v>
      </c>
      <c r="F48" s="290">
        <f>ROUND(((B48/CE61)*F61),0)</f>
        <v>0</v>
      </c>
      <c r="G48" s="290">
        <f>ROUND(((B48/CE61)*G61),0)</f>
        <v>0</v>
      </c>
      <c r="H48" s="290">
        <f>ROUND(((B48/CE61)*H61),0)</f>
        <v>0</v>
      </c>
      <c r="I48" s="290">
        <f>ROUND(((B48/CE61)*I61),0)</f>
        <v>0</v>
      </c>
      <c r="J48" s="290">
        <f>ROUND(((B48/CE61)*J61),0)</f>
        <v>0</v>
      </c>
      <c r="K48" s="290">
        <f>ROUND(((B48/CE61)*K61),0)</f>
        <v>0</v>
      </c>
      <c r="L48" s="290">
        <f>ROUND(((B48/CE61)*L61),0)</f>
        <v>21895</v>
      </c>
      <c r="M48" s="290">
        <f>ROUND(((B48/CE61)*M61),0)</f>
        <v>0</v>
      </c>
      <c r="N48" s="290">
        <f>ROUND(((B48/CE61)*N61),0)</f>
        <v>0</v>
      </c>
      <c r="O48" s="290">
        <f>ROUND(((B48/CE61)*O61),0)</f>
        <v>0</v>
      </c>
      <c r="P48" s="290">
        <f>ROUND(((B48/CE61)*P61),0)</f>
        <v>4660</v>
      </c>
      <c r="Q48" s="290">
        <f>ROUND(((B48/CE61)*Q61),0)</f>
        <v>4329</v>
      </c>
      <c r="R48" s="290">
        <f>ROUND(((B48/CE61)*R61),0)</f>
        <v>14336</v>
      </c>
      <c r="S48" s="290">
        <f>ROUND(((B48/CE61)*S61),0)</f>
        <v>1870</v>
      </c>
      <c r="T48" s="290">
        <f>ROUND(((B48/CE61)*T61),0)</f>
        <v>0</v>
      </c>
      <c r="U48" s="290">
        <f>ROUND(((B48/CE61)*U61),0)</f>
        <v>9511</v>
      </c>
      <c r="V48" s="290">
        <f>ROUND(((B48/CE61)*V61),0)</f>
        <v>0</v>
      </c>
      <c r="W48" s="290">
        <f>ROUND(((B48/CE61)*W61),0)</f>
        <v>0</v>
      </c>
      <c r="X48" s="290">
        <f>ROUND(((B48/CE61)*X61),0)</f>
        <v>0</v>
      </c>
      <c r="Y48" s="290">
        <f>ROUND(((B48/CE61)*Y61),0)</f>
        <v>10284</v>
      </c>
      <c r="Z48" s="290">
        <f>ROUND(((B48/CE61)*Z61),0)</f>
        <v>0</v>
      </c>
      <c r="AA48" s="290">
        <f>ROUND(((B48/CE61)*AA61),0)</f>
        <v>0</v>
      </c>
      <c r="AB48" s="290">
        <f>ROUND(((B48/CE61)*AB61),0)</f>
        <v>4403</v>
      </c>
      <c r="AC48" s="290">
        <f>ROUND(((B48/CE61)*AC61),0)</f>
        <v>2926</v>
      </c>
      <c r="AD48" s="290">
        <f>ROUND(((B48/CE61)*AD61),0)</f>
        <v>0</v>
      </c>
      <c r="AE48" s="290">
        <f>ROUND(((B48/CE61)*AE61),0)</f>
        <v>12104</v>
      </c>
      <c r="AF48" s="290">
        <f>ROUND(((B48/CE61)*AF61),0)</f>
        <v>0</v>
      </c>
      <c r="AG48" s="290">
        <f>ROUND(((B48/CE61)*AG61),0)</f>
        <v>11820</v>
      </c>
      <c r="AH48" s="290">
        <f>ROUND(((B48/CE61)*AH61),0)</f>
        <v>3585</v>
      </c>
      <c r="AI48" s="290">
        <f>ROUND(((B48/CE61)*AI61),0)</f>
        <v>0</v>
      </c>
      <c r="AJ48" s="290">
        <f>ROUND(((B48/CE61)*AJ61),0)</f>
        <v>89174</v>
      </c>
      <c r="AK48" s="290">
        <f>ROUND(((B48/CE61)*AK61),0)</f>
        <v>1241</v>
      </c>
      <c r="AL48" s="290">
        <f>ROUND(((B48/CE61)*AL61),0)</f>
        <v>1054</v>
      </c>
      <c r="AM48" s="290">
        <f>ROUND(((B48/CE61)*AM61),0)</f>
        <v>623</v>
      </c>
      <c r="AN48" s="290">
        <f>ROUND(((B48/CE61)*AN61),0)</f>
        <v>0</v>
      </c>
      <c r="AO48" s="290">
        <f>ROUND(((B48/CE61)*AO61),0)</f>
        <v>0</v>
      </c>
      <c r="AP48" s="290">
        <f>ROUND(((B48/CE61)*AP61),0)</f>
        <v>0</v>
      </c>
      <c r="AQ48" s="290">
        <f>ROUND(((B48/CE61)*AQ61),0)</f>
        <v>0</v>
      </c>
      <c r="AR48" s="290">
        <f>ROUND(((B48/CE61)*AR61),0)</f>
        <v>0</v>
      </c>
      <c r="AS48" s="290">
        <f>ROUND(((B48/CE61)*AS61),0)</f>
        <v>0</v>
      </c>
      <c r="AT48" s="290">
        <f>ROUND(((B48/CE61)*AT61),0)</f>
        <v>0</v>
      </c>
      <c r="AU48" s="290">
        <f>ROUND(((B48/CE61)*AU61),0)</f>
        <v>0</v>
      </c>
      <c r="AV48" s="290">
        <f>ROUND(((B48/CE61)*AV61),0)</f>
        <v>3100</v>
      </c>
      <c r="AW48" s="290">
        <f>ROUND(((B48/CE61)*AW61),0)</f>
        <v>0</v>
      </c>
      <c r="AX48" s="290">
        <f>ROUND(((B48/CE61)*AX61),0)</f>
        <v>0</v>
      </c>
      <c r="AY48" s="290">
        <f>ROUND(((B48/CE61)*AY61),0)</f>
        <v>7357</v>
      </c>
      <c r="AZ48" s="290">
        <f>ROUND(((B48/CE61)*AZ61),0)</f>
        <v>0</v>
      </c>
      <c r="BA48" s="290">
        <f>ROUND(((B48/CE61)*BA61),0)</f>
        <v>874</v>
      </c>
      <c r="BB48" s="290">
        <f>ROUND(((B48/CE61)*BB61),0)</f>
        <v>1666</v>
      </c>
      <c r="BC48" s="290">
        <f>ROUND(((B48/CE61)*BC61),0)</f>
        <v>0</v>
      </c>
      <c r="BD48" s="290">
        <f>ROUND(((B48/CE61)*BD61),0)</f>
        <v>0</v>
      </c>
      <c r="BE48" s="290">
        <f>ROUND(((B48/CE61)*BE61),0)</f>
        <v>4983</v>
      </c>
      <c r="BF48" s="290">
        <f>ROUND(((B48/CE61)*BF61),0)</f>
        <v>5704</v>
      </c>
      <c r="BG48" s="290">
        <f>ROUND(((B48/CE61)*BG61),0)</f>
        <v>0</v>
      </c>
      <c r="BH48" s="290">
        <f>ROUND(((B48/CE61)*BH61),0)</f>
        <v>0</v>
      </c>
      <c r="BI48" s="290">
        <f>ROUND(((B48/CE61)*BI61),0)</f>
        <v>0</v>
      </c>
      <c r="BJ48" s="290">
        <f>ROUND(((B48/CE61)*BJ61),0)</f>
        <v>5813</v>
      </c>
      <c r="BK48" s="290">
        <f>ROUND(((B48/CE61)*BK61),0)</f>
        <v>5526</v>
      </c>
      <c r="BL48" s="290">
        <f>ROUND(((B48/CE61)*BL61),0)</f>
        <v>10706</v>
      </c>
      <c r="BM48" s="290">
        <f>ROUND(((B48/CE61)*BM61),0)</f>
        <v>3410</v>
      </c>
      <c r="BN48" s="290">
        <f>ROUND(((B48/CE61)*BN61),0)</f>
        <v>17445</v>
      </c>
      <c r="BO48" s="290">
        <f>ROUND(((B48/CE61)*BO61),0)</f>
        <v>0</v>
      </c>
      <c r="BP48" s="290">
        <f>ROUND(((B48/CE61)*BP61),0)</f>
        <v>0</v>
      </c>
      <c r="BQ48" s="290">
        <f>ROUND(((B48/CE61)*BQ61),0)</f>
        <v>0</v>
      </c>
      <c r="BR48" s="290">
        <f>ROUND(((B48/CE61)*BR61),0)</f>
        <v>2883</v>
      </c>
      <c r="BS48" s="290">
        <f>ROUND(((B48/CE61)*BS61),0)</f>
        <v>0</v>
      </c>
      <c r="BT48" s="290">
        <f>ROUND(((B48/CE61)*BT61),0)</f>
        <v>0</v>
      </c>
      <c r="BU48" s="290">
        <f>ROUND(((B48/CE61)*BU61),0)</f>
        <v>0</v>
      </c>
      <c r="BV48" s="290">
        <f>ROUND(((B48/CE61)*BV61),0)</f>
        <v>4240</v>
      </c>
      <c r="BW48" s="290">
        <f>ROUND(((B48/CE61)*BW61),0)</f>
        <v>0</v>
      </c>
      <c r="BX48" s="290">
        <f>ROUND(((B48/CE61)*BX61),0)</f>
        <v>0</v>
      </c>
      <c r="BY48" s="290">
        <f>ROUND(((B48/CE61)*BY61),0)</f>
        <v>0</v>
      </c>
      <c r="BZ48" s="290">
        <f>ROUND(((B48/CE61)*BZ61),0)</f>
        <v>0</v>
      </c>
      <c r="CA48" s="290">
        <f>ROUND(((B48/CE61)*CA61),0)</f>
        <v>0</v>
      </c>
      <c r="CB48" s="290">
        <f>ROUND(((B48/CE61)*CB61),0)</f>
        <v>0</v>
      </c>
      <c r="CC48" s="290">
        <f>ROUND(((B48/CE61)*CC61),0)</f>
        <v>0</v>
      </c>
      <c r="CD48" s="290"/>
      <c r="CE48" s="290">
        <f>SUM(C48:CD48)</f>
        <v>303831</v>
      </c>
      <c r="CF48" s="2"/>
    </row>
    <row r="49" spans="1:84" ht="12.65" customHeight="1" x14ac:dyDescent="0.35">
      <c r="A49" s="290" t="s">
        <v>206</v>
      </c>
      <c r="B49" s="290">
        <f>B47+B48</f>
        <v>303832.5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290"/>
      <c r="BK49" s="290"/>
      <c r="BL49" s="290"/>
      <c r="BM49" s="290"/>
      <c r="BN49" s="290"/>
      <c r="BO49" s="290"/>
      <c r="BP49" s="290"/>
      <c r="BQ49" s="290"/>
      <c r="BR49" s="290"/>
      <c r="BS49" s="290"/>
      <c r="BT49" s="290"/>
      <c r="BU49" s="290"/>
      <c r="BV49" s="290"/>
      <c r="BW49" s="290"/>
      <c r="BX49" s="290"/>
      <c r="BY49" s="290"/>
      <c r="BZ49" s="290"/>
      <c r="CA49" s="290"/>
      <c r="CB49" s="290"/>
      <c r="CC49" s="290"/>
      <c r="CD49" s="290"/>
      <c r="CE49" s="290"/>
      <c r="CF49" s="2"/>
    </row>
    <row r="50" spans="1:84" ht="12.65" customHeight="1" x14ac:dyDescent="0.35">
      <c r="A50" s="290" t="s">
        <v>6</v>
      </c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0"/>
      <c r="BK50" s="290"/>
      <c r="BL50" s="290"/>
      <c r="BM50" s="290"/>
      <c r="BN50" s="290"/>
      <c r="BO50" s="290"/>
      <c r="BP50" s="290"/>
      <c r="BQ50" s="290"/>
      <c r="BR50" s="290"/>
      <c r="BS50" s="290"/>
      <c r="BT50" s="290"/>
      <c r="BU50" s="290"/>
      <c r="BV50" s="290"/>
      <c r="BW50" s="290"/>
      <c r="BX50" s="290"/>
      <c r="BY50" s="290"/>
      <c r="BZ50" s="290"/>
      <c r="CA50" s="290"/>
      <c r="CB50" s="290"/>
      <c r="CC50" s="290"/>
      <c r="CD50" s="290"/>
      <c r="CE50" s="290"/>
      <c r="CF50" s="2"/>
    </row>
    <row r="51" spans="1:84" ht="12.65" customHeight="1" x14ac:dyDescent="0.35">
      <c r="A51" s="297" t="s">
        <v>207</v>
      </c>
      <c r="B51" s="295"/>
      <c r="C51" s="295"/>
      <c r="D51" s="295"/>
      <c r="E51" s="295">
        <v>21927</v>
      </c>
      <c r="F51" s="295"/>
      <c r="G51" s="295"/>
      <c r="H51" s="295"/>
      <c r="I51" s="295"/>
      <c r="J51" s="295"/>
      <c r="K51" s="295"/>
      <c r="L51" s="295">
        <v>26817</v>
      </c>
      <c r="M51" s="295"/>
      <c r="N51" s="295"/>
      <c r="O51" s="295"/>
      <c r="P51" s="295">
        <v>56636</v>
      </c>
      <c r="Q51" s="295">
        <v>0</v>
      </c>
      <c r="R51" s="295">
        <f>11063+0</f>
        <v>11063</v>
      </c>
      <c r="S51" s="295">
        <v>0</v>
      </c>
      <c r="T51" s="295"/>
      <c r="U51" s="295">
        <v>11030</v>
      </c>
      <c r="V51" s="295"/>
      <c r="W51" s="295"/>
      <c r="X51" s="295">
        <v>95710</v>
      </c>
      <c r="Y51" s="295">
        <v>14809</v>
      </c>
      <c r="Z51" s="295"/>
      <c r="AA51" s="295"/>
      <c r="AB51" s="295"/>
      <c r="AC51" s="295">
        <v>5526</v>
      </c>
      <c r="AD51" s="295"/>
      <c r="AE51" s="295">
        <v>1276</v>
      </c>
      <c r="AF51" s="295"/>
      <c r="AG51" s="295">
        <v>5297</v>
      </c>
      <c r="AH51" s="295">
        <v>4238</v>
      </c>
      <c r="AI51" s="295"/>
      <c r="AJ51" s="295">
        <f>10828+6087+2335+604</f>
        <v>19854</v>
      </c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>
        <v>1513</v>
      </c>
      <c r="AZ51" s="295"/>
      <c r="BA51" s="295">
        <v>819</v>
      </c>
      <c r="BB51" s="295"/>
      <c r="BC51" s="295"/>
      <c r="BD51" s="295"/>
      <c r="BE51" s="295">
        <v>13598</v>
      </c>
      <c r="BF51" s="295">
        <v>0</v>
      </c>
      <c r="BG51" s="295"/>
      <c r="BH51" s="295"/>
      <c r="BI51" s="295"/>
      <c r="BJ51" s="295">
        <v>0</v>
      </c>
      <c r="BK51" s="295">
        <v>3157</v>
      </c>
      <c r="BL51" s="295">
        <v>1321</v>
      </c>
      <c r="BM51" s="295">
        <v>0</v>
      </c>
      <c r="BN51" s="295">
        <f>449+14269</f>
        <v>14718</v>
      </c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5"/>
      <c r="CC51" s="295"/>
      <c r="CD51" s="290"/>
      <c r="CE51" s="290">
        <f>SUM(C51:CD51)</f>
        <v>309309</v>
      </c>
      <c r="CF51" s="2"/>
    </row>
    <row r="52" spans="1:84" ht="12.65" customHeight="1" x14ac:dyDescent="0.35">
      <c r="A52" s="297" t="s">
        <v>208</v>
      </c>
      <c r="B52" s="295">
        <f>150212-5.1</f>
        <v>150206.9</v>
      </c>
      <c r="C52" s="290">
        <f>ROUND((B52/(CE76+CF76)*C76),0)</f>
        <v>0</v>
      </c>
      <c r="D52" s="290">
        <f>ROUND((B52/(CE76+CF76)*D76),0)</f>
        <v>0</v>
      </c>
      <c r="E52" s="290">
        <f>ROUND((B52/(CE76+CF76)*E76),0)</f>
        <v>17574</v>
      </c>
      <c r="F52" s="290">
        <f>ROUND((B52/(CE76+CF76)*F76),0)</f>
        <v>0</v>
      </c>
      <c r="G52" s="290">
        <f>ROUND((B52/(CE76+CF76)*G76),0)</f>
        <v>0</v>
      </c>
      <c r="H52" s="290">
        <f>ROUND((B52/(CE76+CF76)*H76),0)</f>
        <v>0</v>
      </c>
      <c r="I52" s="290">
        <f>ROUND((B52/(CE76+CF76)*I76),0)</f>
        <v>0</v>
      </c>
      <c r="J52" s="290">
        <f>ROUND((B52/(CE76+CF76)*J76),0)</f>
        <v>0</v>
      </c>
      <c r="K52" s="290">
        <f>ROUND((B52/(CE76+CF76)*K76),0)</f>
        <v>0</v>
      </c>
      <c r="L52" s="290">
        <f>ROUND((B52/(CE76+CF76)*L76),0)</f>
        <v>22474</v>
      </c>
      <c r="M52" s="290">
        <f>ROUND((B52/(CE76+CF76)*M76),0)</f>
        <v>0</v>
      </c>
      <c r="N52" s="290">
        <f>ROUND((B52/(CE76+CF76)*N76),0)</f>
        <v>0</v>
      </c>
      <c r="O52" s="290">
        <f>ROUND((B52/(CE76+CF76)*O76),0)</f>
        <v>0</v>
      </c>
      <c r="P52" s="290">
        <f>ROUND((B52/(CE76+CF76)*P76),0)</f>
        <v>5135</v>
      </c>
      <c r="Q52" s="290">
        <f>ROUND((B52/(CE76+CF76)*Q76),0)</f>
        <v>0</v>
      </c>
      <c r="R52" s="290">
        <f>ROUND((B52/(CE76+CF76)*R76),0)</f>
        <v>823</v>
      </c>
      <c r="S52" s="290">
        <f>ROUND((B52/(CE76+CF76)*S76),0)</f>
        <v>2452</v>
      </c>
      <c r="T52" s="290">
        <f>ROUND((B52/(CE76+CF76)*T76),0)</f>
        <v>0</v>
      </c>
      <c r="U52" s="290">
        <f>ROUND((B52/(CE76+CF76)*U76),0)</f>
        <v>1929</v>
      </c>
      <c r="V52" s="290">
        <f>ROUND((B52/(CE76+CF76)*V76),0)</f>
        <v>0</v>
      </c>
      <c r="W52" s="290">
        <f>ROUND((B52/(CE76+CF76)*W76),0)</f>
        <v>0</v>
      </c>
      <c r="X52" s="290">
        <f>ROUND((B52/(CE76+CF76)*X76),0)</f>
        <v>0</v>
      </c>
      <c r="Y52" s="290">
        <f>ROUND((B52/(CE76+CF76)*Y76),0)</f>
        <v>5742</v>
      </c>
      <c r="Z52" s="290">
        <f>ROUND((B52/(CE76+CF76)*Z76),0)</f>
        <v>0</v>
      </c>
      <c r="AA52" s="290">
        <f>ROUND((B52/(CE76+CF76)*AA76),0)</f>
        <v>0</v>
      </c>
      <c r="AB52" s="290">
        <f>ROUND((B52/(CE76+CF76)*AB76),0)</f>
        <v>1391</v>
      </c>
      <c r="AC52" s="290">
        <f>ROUND((B52/(CE76+CF76)*AC76),0)</f>
        <v>146</v>
      </c>
      <c r="AD52" s="290">
        <f>ROUND((B52/(CE76+CF76)*AD76),0)</f>
        <v>0</v>
      </c>
      <c r="AE52" s="290">
        <f>ROUND((B52/(CE76+CF76)*AE76),0)</f>
        <v>5362</v>
      </c>
      <c r="AF52" s="290">
        <f>ROUND((B52/(CE76+CF76)*AF76),0)</f>
        <v>0</v>
      </c>
      <c r="AG52" s="290">
        <f>ROUND((B52/(CE76+CF76)*AG76),0)</f>
        <v>2126</v>
      </c>
      <c r="AH52" s="290">
        <f>ROUND((B52/(CE76+CF76)*AH76),0)</f>
        <v>0</v>
      </c>
      <c r="AI52" s="290">
        <f>ROUND((B52/(CE76+CF76)*AI76),0)</f>
        <v>0</v>
      </c>
      <c r="AJ52" s="290">
        <f>ROUND((B52/(CE76+CF76)*AJ76),0)</f>
        <v>23763</v>
      </c>
      <c r="AK52" s="290">
        <f>ROUND((B52/(CE76+CF76)*AK76),0)</f>
        <v>1563</v>
      </c>
      <c r="AL52" s="290">
        <f>ROUND((B52/(CE76+CF76)*AL76),0)</f>
        <v>0</v>
      </c>
      <c r="AM52" s="290">
        <f>ROUND((B52/(CE76+CF76)*AM76),0)</f>
        <v>0</v>
      </c>
      <c r="AN52" s="290">
        <f>ROUND((B52/(CE76+CF76)*AN76),0)</f>
        <v>0</v>
      </c>
      <c r="AO52" s="290">
        <f>ROUND((B52/(CE76+CF76)*AO76),0)</f>
        <v>0</v>
      </c>
      <c r="AP52" s="290">
        <f>ROUND((B52/(CE76+CF76)*AP76),0)</f>
        <v>0</v>
      </c>
      <c r="AQ52" s="290">
        <f>ROUND((B52/(CE76+CF76)*AQ76),0)</f>
        <v>0</v>
      </c>
      <c r="AR52" s="290">
        <f>ROUND((B52/(CE76+CF76)*AR76),0)</f>
        <v>0</v>
      </c>
      <c r="AS52" s="290">
        <f>ROUND((B52/(CE76+CF76)*AS76),0)</f>
        <v>0</v>
      </c>
      <c r="AT52" s="290">
        <f>ROUND((B52/(CE76+CF76)*AT76),0)</f>
        <v>0</v>
      </c>
      <c r="AU52" s="290">
        <f>ROUND((B52/(CE76+CF76)*AU76),0)</f>
        <v>0</v>
      </c>
      <c r="AV52" s="290">
        <f>ROUND((B52/(CE76+CF76)*AV76),0)</f>
        <v>0</v>
      </c>
      <c r="AW52" s="290">
        <f>ROUND((B52/(CE76+CF76)*AW76),0)</f>
        <v>0</v>
      </c>
      <c r="AX52" s="290">
        <f>ROUND((B52/(CE76+CF76)*AX76),0)</f>
        <v>0</v>
      </c>
      <c r="AY52" s="290">
        <f>ROUND((B52/(CE76+CF76)*AY76),0)</f>
        <v>13504</v>
      </c>
      <c r="AZ52" s="290">
        <f>ROUND((B52/(CE76+CF76)*AZ76),0)</f>
        <v>0</v>
      </c>
      <c r="BA52" s="290">
        <f>ROUND((B52/(CE76+CF76)*BA76),0)</f>
        <v>3140</v>
      </c>
      <c r="BB52" s="290">
        <f>ROUND((B52/(CE76+CF76)*BB76),0)</f>
        <v>468</v>
      </c>
      <c r="BC52" s="290">
        <f>ROUND((B52/(CE76+CF76)*BC76),0)</f>
        <v>0</v>
      </c>
      <c r="BD52" s="290">
        <f>ROUND((B52/(CE76+CF76)*BD76),0)</f>
        <v>0</v>
      </c>
      <c r="BE52" s="290">
        <f>ROUND((B52/(CE76+CF76)*BE76),0)</f>
        <v>10837</v>
      </c>
      <c r="BF52" s="290">
        <f>ROUND((B52/(CE76+CF76)*BF76),0)</f>
        <v>3846</v>
      </c>
      <c r="BG52" s="290">
        <f>ROUND((B52/(CE76+CF76)*BG76),0)</f>
        <v>0</v>
      </c>
      <c r="BH52" s="290">
        <f>ROUND((B52/(CE76+CF76)*BH76),0)</f>
        <v>0</v>
      </c>
      <c r="BI52" s="290">
        <f>ROUND((B52/(CE76+CF76)*BI76),0)</f>
        <v>0</v>
      </c>
      <c r="BJ52" s="290">
        <f>ROUND((B52/(CE76+CF76)*BJ76),0)</f>
        <v>0</v>
      </c>
      <c r="BK52" s="290">
        <f>ROUND((B52/(CE76+CF76)*BK76),0)</f>
        <v>0</v>
      </c>
      <c r="BL52" s="290">
        <f>ROUND((B52/(CE76+CF76)*BL76),0)</f>
        <v>0</v>
      </c>
      <c r="BM52" s="290">
        <f>ROUND((B52/(CE76+CF76)*BM76),0)</f>
        <v>0</v>
      </c>
      <c r="BN52" s="290">
        <f>ROUND((B52/(CE76+CF76)*BN76),0)</f>
        <v>25724</v>
      </c>
      <c r="BO52" s="290">
        <f>ROUND((B52/(CE76+CF76)*BO76),0)</f>
        <v>0</v>
      </c>
      <c r="BP52" s="290">
        <f>ROUND((B52/(CE76+CF76)*BP76),0)</f>
        <v>0</v>
      </c>
      <c r="BQ52" s="290">
        <f>ROUND((B52/(CE76+CF76)*BQ76),0)</f>
        <v>0</v>
      </c>
      <c r="BR52" s="290">
        <f>ROUND((B52/(CE76+CF76)*BR76),0)</f>
        <v>0</v>
      </c>
      <c r="BS52" s="290">
        <f>ROUND((B52/(CE76+CF76)*BS76),0)</f>
        <v>0</v>
      </c>
      <c r="BT52" s="290">
        <f>ROUND((B52/(CE76+CF76)*BT76),0)</f>
        <v>0</v>
      </c>
      <c r="BU52" s="290">
        <f>ROUND((B52/(CE76+CF76)*BU76),0)</f>
        <v>0</v>
      </c>
      <c r="BV52" s="290">
        <f>ROUND((B52/(CE76+CF76)*BV76),0)</f>
        <v>1339</v>
      </c>
      <c r="BW52" s="290">
        <f>ROUND((B52/(CE76+CF76)*BW76),0)</f>
        <v>0</v>
      </c>
      <c r="BX52" s="290">
        <f>ROUND((B52/(CE76+CF76)*BX76),0)</f>
        <v>0</v>
      </c>
      <c r="BY52" s="290">
        <f>ROUND((B52/(CE76+CF76)*BY76),0)</f>
        <v>264</v>
      </c>
      <c r="BZ52" s="290">
        <f>ROUND((B52/(CE76+CF76)*BZ76),0)</f>
        <v>0</v>
      </c>
      <c r="CA52" s="290">
        <f>ROUND((B52/(CE76+CF76)*CA76),0)</f>
        <v>0</v>
      </c>
      <c r="CB52" s="290">
        <f>ROUND((B52/(CE76+CF76)*CB76),0)</f>
        <v>0</v>
      </c>
      <c r="CC52" s="290">
        <f>ROUND((B52/(CE76+CF76)*CC76),0)</f>
        <v>604</v>
      </c>
      <c r="CD52" s="290"/>
      <c r="CE52" s="290">
        <f>SUM(C52:CD52)</f>
        <v>150206</v>
      </c>
      <c r="CF52" s="2"/>
    </row>
    <row r="53" spans="1:84" ht="12.65" customHeight="1" x14ac:dyDescent="0.35">
      <c r="A53" s="290" t="s">
        <v>206</v>
      </c>
      <c r="B53" s="290">
        <f>B51+B52</f>
        <v>150206.9</v>
      </c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F53" s="290"/>
      <c r="BG53" s="290"/>
      <c r="BH53" s="290"/>
      <c r="BI53" s="290"/>
      <c r="BJ53" s="290"/>
      <c r="BK53" s="290"/>
      <c r="BL53" s="290"/>
      <c r="BM53" s="290"/>
      <c r="BN53" s="290"/>
      <c r="BO53" s="290"/>
      <c r="BP53" s="290"/>
      <c r="BQ53" s="290"/>
      <c r="BR53" s="290"/>
      <c r="BS53" s="290"/>
      <c r="BT53" s="290"/>
      <c r="BU53" s="290"/>
      <c r="BV53" s="290"/>
      <c r="BW53" s="290"/>
      <c r="BX53" s="290"/>
      <c r="BY53" s="290"/>
      <c r="BZ53" s="290"/>
      <c r="CA53" s="290"/>
      <c r="CB53" s="290"/>
      <c r="CC53" s="290"/>
      <c r="CD53" s="290"/>
      <c r="CE53" s="290"/>
      <c r="CF53" s="2"/>
    </row>
    <row r="54" spans="1:84" ht="15.75" customHeight="1" x14ac:dyDescent="0.35">
      <c r="A54" s="290"/>
      <c r="B54" s="290"/>
      <c r="C54" s="298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290"/>
      <c r="AS54" s="290"/>
      <c r="AT54" s="290"/>
      <c r="AU54" s="290"/>
      <c r="AV54" s="290"/>
      <c r="AW54" s="290"/>
      <c r="AX54" s="290"/>
      <c r="AY54" s="290"/>
      <c r="AZ54" s="290"/>
      <c r="BA54" s="290"/>
      <c r="BB54" s="290"/>
      <c r="BC54" s="290"/>
      <c r="BD54" s="290"/>
      <c r="BE54" s="290"/>
      <c r="BF54" s="290"/>
      <c r="BG54" s="290"/>
      <c r="BH54" s="290"/>
      <c r="BI54" s="290"/>
      <c r="BJ54" s="290"/>
      <c r="BK54" s="290"/>
      <c r="BL54" s="290"/>
      <c r="BM54" s="290"/>
      <c r="BN54" s="290"/>
      <c r="BO54" s="290"/>
      <c r="BP54" s="290"/>
      <c r="BQ54" s="290"/>
      <c r="BR54" s="290"/>
      <c r="BS54" s="290"/>
      <c r="BT54" s="290"/>
      <c r="BU54" s="290"/>
      <c r="BV54" s="290"/>
      <c r="BW54" s="290"/>
      <c r="BX54" s="290"/>
      <c r="BY54" s="290"/>
      <c r="BZ54" s="290"/>
      <c r="CA54" s="290"/>
      <c r="CB54" s="290"/>
      <c r="CC54" s="290"/>
      <c r="CD54" s="290"/>
      <c r="CE54" s="290"/>
      <c r="CF54" s="2"/>
    </row>
    <row r="55" spans="1:84" ht="12.65" customHeight="1" x14ac:dyDescent="0.35">
      <c r="A55" s="297" t="s">
        <v>209</v>
      </c>
      <c r="B55" s="290"/>
      <c r="C55" s="291" t="s">
        <v>10</v>
      </c>
      <c r="D55" s="292" t="s">
        <v>11</v>
      </c>
      <c r="E55" s="292" t="s">
        <v>12</v>
      </c>
      <c r="F55" s="292" t="s">
        <v>13</v>
      </c>
      <c r="G55" s="292" t="s">
        <v>14</v>
      </c>
      <c r="H55" s="292" t="s">
        <v>15</v>
      </c>
      <c r="I55" s="292" t="s">
        <v>16</v>
      </c>
      <c r="J55" s="292" t="s">
        <v>17</v>
      </c>
      <c r="K55" s="292" t="s">
        <v>18</v>
      </c>
      <c r="L55" s="292" t="s">
        <v>19</v>
      </c>
      <c r="M55" s="292" t="s">
        <v>20</v>
      </c>
      <c r="N55" s="292" t="s">
        <v>21</v>
      </c>
      <c r="O55" s="292" t="s">
        <v>22</v>
      </c>
      <c r="P55" s="292" t="s">
        <v>23</v>
      </c>
      <c r="Q55" s="292" t="s">
        <v>24</v>
      </c>
      <c r="R55" s="292" t="s">
        <v>25</v>
      </c>
      <c r="S55" s="292" t="s">
        <v>26</v>
      </c>
      <c r="T55" s="299" t="s">
        <v>27</v>
      </c>
      <c r="U55" s="292" t="s">
        <v>28</v>
      </c>
      <c r="V55" s="292" t="s">
        <v>29</v>
      </c>
      <c r="W55" s="292" t="s">
        <v>30</v>
      </c>
      <c r="X55" s="292" t="s">
        <v>31</v>
      </c>
      <c r="Y55" s="292" t="s">
        <v>32</v>
      </c>
      <c r="Z55" s="292" t="s">
        <v>33</v>
      </c>
      <c r="AA55" s="292" t="s">
        <v>34</v>
      </c>
      <c r="AB55" s="292" t="s">
        <v>35</v>
      </c>
      <c r="AC55" s="292" t="s">
        <v>36</v>
      </c>
      <c r="AD55" s="292" t="s">
        <v>37</v>
      </c>
      <c r="AE55" s="292" t="s">
        <v>38</v>
      </c>
      <c r="AF55" s="292" t="s">
        <v>39</v>
      </c>
      <c r="AG55" s="292" t="s">
        <v>40</v>
      </c>
      <c r="AH55" s="292" t="s">
        <v>41</v>
      </c>
      <c r="AI55" s="292" t="s">
        <v>42</v>
      </c>
      <c r="AJ55" s="292" t="s">
        <v>43</v>
      </c>
      <c r="AK55" s="292" t="s">
        <v>44</v>
      </c>
      <c r="AL55" s="292" t="s">
        <v>45</v>
      </c>
      <c r="AM55" s="292" t="s">
        <v>46</v>
      </c>
      <c r="AN55" s="292" t="s">
        <v>47</v>
      </c>
      <c r="AO55" s="292" t="s">
        <v>48</v>
      </c>
      <c r="AP55" s="292" t="s">
        <v>49</v>
      </c>
      <c r="AQ55" s="292" t="s">
        <v>50</v>
      </c>
      <c r="AR55" s="292" t="s">
        <v>51</v>
      </c>
      <c r="AS55" s="292" t="s">
        <v>52</v>
      </c>
      <c r="AT55" s="292" t="s">
        <v>53</v>
      </c>
      <c r="AU55" s="292" t="s">
        <v>54</v>
      </c>
      <c r="AV55" s="292" t="s">
        <v>55</v>
      </c>
      <c r="AW55" s="292" t="s">
        <v>56</v>
      </c>
      <c r="AX55" s="292" t="s">
        <v>57</v>
      </c>
      <c r="AY55" s="292" t="s">
        <v>58</v>
      </c>
      <c r="AZ55" s="292" t="s">
        <v>59</v>
      </c>
      <c r="BA55" s="292" t="s">
        <v>60</v>
      </c>
      <c r="BB55" s="292" t="s">
        <v>61</v>
      </c>
      <c r="BC55" s="292" t="s">
        <v>62</v>
      </c>
      <c r="BD55" s="292" t="s">
        <v>63</v>
      </c>
      <c r="BE55" s="292" t="s">
        <v>64</v>
      </c>
      <c r="BF55" s="292" t="s">
        <v>65</v>
      </c>
      <c r="BG55" s="292" t="s">
        <v>66</v>
      </c>
      <c r="BH55" s="292" t="s">
        <v>67</v>
      </c>
      <c r="BI55" s="292" t="s">
        <v>68</v>
      </c>
      <c r="BJ55" s="292" t="s">
        <v>69</v>
      </c>
      <c r="BK55" s="292" t="s">
        <v>70</v>
      </c>
      <c r="BL55" s="292" t="s">
        <v>71</v>
      </c>
      <c r="BM55" s="292" t="s">
        <v>72</v>
      </c>
      <c r="BN55" s="292" t="s">
        <v>73</v>
      </c>
      <c r="BO55" s="292" t="s">
        <v>74</v>
      </c>
      <c r="BP55" s="292" t="s">
        <v>75</v>
      </c>
      <c r="BQ55" s="292" t="s">
        <v>76</v>
      </c>
      <c r="BR55" s="292" t="s">
        <v>77</v>
      </c>
      <c r="BS55" s="292" t="s">
        <v>78</v>
      </c>
      <c r="BT55" s="292" t="s">
        <v>79</v>
      </c>
      <c r="BU55" s="292" t="s">
        <v>80</v>
      </c>
      <c r="BV55" s="292" t="s">
        <v>81</v>
      </c>
      <c r="BW55" s="292" t="s">
        <v>82</v>
      </c>
      <c r="BX55" s="292" t="s">
        <v>83</v>
      </c>
      <c r="BY55" s="292" t="s">
        <v>84</v>
      </c>
      <c r="BZ55" s="292" t="s">
        <v>85</v>
      </c>
      <c r="CA55" s="292" t="s">
        <v>86</v>
      </c>
      <c r="CB55" s="292" t="s">
        <v>87</v>
      </c>
      <c r="CC55" s="292" t="s">
        <v>88</v>
      </c>
      <c r="CD55" s="292" t="s">
        <v>89</v>
      </c>
      <c r="CE55" s="292" t="s">
        <v>90</v>
      </c>
      <c r="CF55" s="2"/>
    </row>
    <row r="56" spans="1:84" ht="12.65" customHeight="1" x14ac:dyDescent="0.35">
      <c r="A56" s="297" t="s">
        <v>210</v>
      </c>
      <c r="B56" s="290"/>
      <c r="C56" s="291" t="s">
        <v>92</v>
      </c>
      <c r="D56" s="292" t="s">
        <v>93</v>
      </c>
      <c r="E56" s="292" t="s">
        <v>94</v>
      </c>
      <c r="F56" s="292" t="s">
        <v>95</v>
      </c>
      <c r="G56" s="292" t="s">
        <v>96</v>
      </c>
      <c r="H56" s="292" t="s">
        <v>97</v>
      </c>
      <c r="I56" s="292" t="s">
        <v>98</v>
      </c>
      <c r="J56" s="292" t="s">
        <v>99</v>
      </c>
      <c r="K56" s="292" t="s">
        <v>100</v>
      </c>
      <c r="L56" s="292" t="s">
        <v>101</v>
      </c>
      <c r="M56" s="292" t="s">
        <v>102</v>
      </c>
      <c r="N56" s="292" t="s">
        <v>103</v>
      </c>
      <c r="O56" s="292" t="s">
        <v>104</v>
      </c>
      <c r="P56" s="292" t="s">
        <v>105</v>
      </c>
      <c r="Q56" s="292" t="s">
        <v>106</v>
      </c>
      <c r="R56" s="292" t="s">
        <v>107</v>
      </c>
      <c r="S56" s="292" t="s">
        <v>108</v>
      </c>
      <c r="T56" s="292" t="s">
        <v>1194</v>
      </c>
      <c r="U56" s="292" t="s">
        <v>109</v>
      </c>
      <c r="V56" s="292" t="s">
        <v>110</v>
      </c>
      <c r="W56" s="292" t="s">
        <v>111</v>
      </c>
      <c r="X56" s="292" t="s">
        <v>112</v>
      </c>
      <c r="Y56" s="292" t="s">
        <v>113</v>
      </c>
      <c r="Z56" s="292" t="s">
        <v>113</v>
      </c>
      <c r="AA56" s="292" t="s">
        <v>114</v>
      </c>
      <c r="AB56" s="292" t="s">
        <v>115</v>
      </c>
      <c r="AC56" s="292" t="s">
        <v>116</v>
      </c>
      <c r="AD56" s="292" t="s">
        <v>117</v>
      </c>
      <c r="AE56" s="292" t="s">
        <v>96</v>
      </c>
      <c r="AF56" s="292" t="s">
        <v>97</v>
      </c>
      <c r="AG56" s="292" t="s">
        <v>118</v>
      </c>
      <c r="AH56" s="292" t="s">
        <v>119</v>
      </c>
      <c r="AI56" s="292" t="s">
        <v>120</v>
      </c>
      <c r="AJ56" s="292" t="s">
        <v>121</v>
      </c>
      <c r="AK56" s="292" t="s">
        <v>122</v>
      </c>
      <c r="AL56" s="292" t="s">
        <v>123</v>
      </c>
      <c r="AM56" s="292" t="s">
        <v>124</v>
      </c>
      <c r="AN56" s="292" t="s">
        <v>110</v>
      </c>
      <c r="AO56" s="292" t="s">
        <v>125</v>
      </c>
      <c r="AP56" s="292" t="s">
        <v>126</v>
      </c>
      <c r="AQ56" s="292" t="s">
        <v>127</v>
      </c>
      <c r="AR56" s="292" t="s">
        <v>128</v>
      </c>
      <c r="AS56" s="292" t="s">
        <v>129</v>
      </c>
      <c r="AT56" s="292" t="s">
        <v>130</v>
      </c>
      <c r="AU56" s="292" t="s">
        <v>131</v>
      </c>
      <c r="AV56" s="292" t="s">
        <v>132</v>
      </c>
      <c r="AW56" s="292" t="s">
        <v>133</v>
      </c>
      <c r="AX56" s="292" t="s">
        <v>134</v>
      </c>
      <c r="AY56" s="292" t="s">
        <v>135</v>
      </c>
      <c r="AZ56" s="292" t="s">
        <v>136</v>
      </c>
      <c r="BA56" s="292" t="s">
        <v>137</v>
      </c>
      <c r="BB56" s="292" t="s">
        <v>138</v>
      </c>
      <c r="BC56" s="292" t="s">
        <v>108</v>
      </c>
      <c r="BD56" s="292" t="s">
        <v>139</v>
      </c>
      <c r="BE56" s="292" t="s">
        <v>140</v>
      </c>
      <c r="BF56" s="292" t="s">
        <v>141</v>
      </c>
      <c r="BG56" s="292" t="s">
        <v>142</v>
      </c>
      <c r="BH56" s="292" t="s">
        <v>143</v>
      </c>
      <c r="BI56" s="292" t="s">
        <v>144</v>
      </c>
      <c r="BJ56" s="292" t="s">
        <v>145</v>
      </c>
      <c r="BK56" s="292" t="s">
        <v>146</v>
      </c>
      <c r="BL56" s="292" t="s">
        <v>147</v>
      </c>
      <c r="BM56" s="292" t="s">
        <v>132</v>
      </c>
      <c r="BN56" s="292" t="s">
        <v>148</v>
      </c>
      <c r="BO56" s="292" t="s">
        <v>149</v>
      </c>
      <c r="BP56" s="292" t="s">
        <v>150</v>
      </c>
      <c r="BQ56" s="292" t="s">
        <v>151</v>
      </c>
      <c r="BR56" s="292" t="s">
        <v>152</v>
      </c>
      <c r="BS56" s="292" t="s">
        <v>153</v>
      </c>
      <c r="BT56" s="292" t="s">
        <v>154</v>
      </c>
      <c r="BU56" s="292" t="s">
        <v>155</v>
      </c>
      <c r="BV56" s="292" t="s">
        <v>155</v>
      </c>
      <c r="BW56" s="292" t="s">
        <v>155</v>
      </c>
      <c r="BX56" s="292" t="s">
        <v>156</v>
      </c>
      <c r="BY56" s="292" t="s">
        <v>157</v>
      </c>
      <c r="BZ56" s="292" t="s">
        <v>158</v>
      </c>
      <c r="CA56" s="292" t="s">
        <v>159</v>
      </c>
      <c r="CB56" s="292" t="s">
        <v>160</v>
      </c>
      <c r="CC56" s="292" t="s">
        <v>132</v>
      </c>
      <c r="CD56" s="292" t="s">
        <v>211</v>
      </c>
      <c r="CE56" s="292" t="s">
        <v>161</v>
      </c>
      <c r="CF56" s="2"/>
    </row>
    <row r="57" spans="1:84" ht="12.65" customHeight="1" x14ac:dyDescent="0.35">
      <c r="A57" s="297" t="s">
        <v>212</v>
      </c>
      <c r="B57" s="290"/>
      <c r="C57" s="291" t="s">
        <v>163</v>
      </c>
      <c r="D57" s="292" t="s">
        <v>163</v>
      </c>
      <c r="E57" s="292" t="s">
        <v>163</v>
      </c>
      <c r="F57" s="292" t="s">
        <v>164</v>
      </c>
      <c r="G57" s="292" t="s">
        <v>165</v>
      </c>
      <c r="H57" s="292" t="s">
        <v>163</v>
      </c>
      <c r="I57" s="292" t="s">
        <v>166</v>
      </c>
      <c r="J57" s="292"/>
      <c r="K57" s="292" t="s">
        <v>157</v>
      </c>
      <c r="L57" s="292" t="s">
        <v>167</v>
      </c>
      <c r="M57" s="292" t="s">
        <v>168</v>
      </c>
      <c r="N57" s="292" t="s">
        <v>169</v>
      </c>
      <c r="O57" s="292" t="s">
        <v>170</v>
      </c>
      <c r="P57" s="292" t="s">
        <v>169</v>
      </c>
      <c r="Q57" s="292" t="s">
        <v>171</v>
      </c>
      <c r="R57" s="292"/>
      <c r="S57" s="292" t="s">
        <v>169</v>
      </c>
      <c r="T57" s="292" t="s">
        <v>172</v>
      </c>
      <c r="U57" s="292"/>
      <c r="V57" s="292" t="s">
        <v>173</v>
      </c>
      <c r="W57" s="292" t="s">
        <v>174</v>
      </c>
      <c r="X57" s="292" t="s">
        <v>175</v>
      </c>
      <c r="Y57" s="292" t="s">
        <v>176</v>
      </c>
      <c r="Z57" s="292" t="s">
        <v>177</v>
      </c>
      <c r="AA57" s="292" t="s">
        <v>178</v>
      </c>
      <c r="AB57" s="292"/>
      <c r="AC57" s="292" t="s">
        <v>172</v>
      </c>
      <c r="AD57" s="292"/>
      <c r="AE57" s="292" t="s">
        <v>172</v>
      </c>
      <c r="AF57" s="292" t="s">
        <v>179</v>
      </c>
      <c r="AG57" s="292" t="s">
        <v>171</v>
      </c>
      <c r="AH57" s="292"/>
      <c r="AI57" s="292" t="s">
        <v>180</v>
      </c>
      <c r="AJ57" s="292"/>
      <c r="AK57" s="292" t="s">
        <v>172</v>
      </c>
      <c r="AL57" s="292" t="s">
        <v>172</v>
      </c>
      <c r="AM57" s="292" t="s">
        <v>172</v>
      </c>
      <c r="AN57" s="292" t="s">
        <v>181</v>
      </c>
      <c r="AO57" s="292" t="s">
        <v>182</v>
      </c>
      <c r="AP57" s="292" t="s">
        <v>121</v>
      </c>
      <c r="AQ57" s="292" t="s">
        <v>183</v>
      </c>
      <c r="AR57" s="292" t="s">
        <v>169</v>
      </c>
      <c r="AS57" s="292"/>
      <c r="AT57" s="292" t="s">
        <v>184</v>
      </c>
      <c r="AU57" s="292" t="s">
        <v>185</v>
      </c>
      <c r="AV57" s="292" t="s">
        <v>186</v>
      </c>
      <c r="AW57" s="292" t="s">
        <v>187</v>
      </c>
      <c r="AX57" s="292" t="s">
        <v>188</v>
      </c>
      <c r="AY57" s="292"/>
      <c r="AZ57" s="292"/>
      <c r="BA57" s="292" t="s">
        <v>189</v>
      </c>
      <c r="BB57" s="292" t="s">
        <v>169</v>
      </c>
      <c r="BC57" s="292" t="s">
        <v>183</v>
      </c>
      <c r="BD57" s="292"/>
      <c r="BE57" s="292"/>
      <c r="BF57" s="292"/>
      <c r="BG57" s="292"/>
      <c r="BH57" s="292" t="s">
        <v>190</v>
      </c>
      <c r="BI57" s="292" t="s">
        <v>169</v>
      </c>
      <c r="BJ57" s="292"/>
      <c r="BK57" s="292" t="s">
        <v>191</v>
      </c>
      <c r="BL57" s="292"/>
      <c r="BM57" s="292" t="s">
        <v>192</v>
      </c>
      <c r="BN57" s="292" t="s">
        <v>193</v>
      </c>
      <c r="BO57" s="292" t="s">
        <v>194</v>
      </c>
      <c r="BP57" s="292" t="s">
        <v>195</v>
      </c>
      <c r="BQ57" s="292" t="s">
        <v>196</v>
      </c>
      <c r="BR57" s="292"/>
      <c r="BS57" s="292" t="s">
        <v>197</v>
      </c>
      <c r="BT57" s="292" t="s">
        <v>169</v>
      </c>
      <c r="BU57" s="292" t="s">
        <v>198</v>
      </c>
      <c r="BV57" s="292" t="s">
        <v>199</v>
      </c>
      <c r="BW57" s="292" t="s">
        <v>200</v>
      </c>
      <c r="BX57" s="292" t="s">
        <v>151</v>
      </c>
      <c r="BY57" s="292" t="s">
        <v>193</v>
      </c>
      <c r="BZ57" s="292" t="s">
        <v>152</v>
      </c>
      <c r="CA57" s="292" t="s">
        <v>201</v>
      </c>
      <c r="CB57" s="292" t="s">
        <v>201</v>
      </c>
      <c r="CC57" s="292" t="s">
        <v>202</v>
      </c>
      <c r="CD57" s="292" t="s">
        <v>213</v>
      </c>
      <c r="CE57" s="292" t="s">
        <v>203</v>
      </c>
      <c r="CF57" s="2"/>
    </row>
    <row r="58" spans="1:84" ht="12.65" customHeight="1" x14ac:dyDescent="0.35">
      <c r="A58" s="297" t="s">
        <v>214</v>
      </c>
      <c r="B58" s="290"/>
      <c r="C58" s="291" t="s">
        <v>215</v>
      </c>
      <c r="D58" s="292" t="s">
        <v>215</v>
      </c>
      <c r="E58" s="292" t="s">
        <v>215</v>
      </c>
      <c r="F58" s="292" t="s">
        <v>215</v>
      </c>
      <c r="G58" s="292" t="s">
        <v>215</v>
      </c>
      <c r="H58" s="292" t="s">
        <v>215</v>
      </c>
      <c r="I58" s="292" t="s">
        <v>215</v>
      </c>
      <c r="J58" s="292" t="s">
        <v>216</v>
      </c>
      <c r="K58" s="292" t="s">
        <v>215</v>
      </c>
      <c r="L58" s="292" t="s">
        <v>215</v>
      </c>
      <c r="M58" s="292" t="s">
        <v>215</v>
      </c>
      <c r="N58" s="292" t="s">
        <v>215</v>
      </c>
      <c r="O58" s="292" t="s">
        <v>217</v>
      </c>
      <c r="P58" s="292" t="s">
        <v>218</v>
      </c>
      <c r="Q58" s="292" t="s">
        <v>219</v>
      </c>
      <c r="R58" s="293" t="s">
        <v>220</v>
      </c>
      <c r="S58" s="300" t="s">
        <v>221</v>
      </c>
      <c r="T58" s="300" t="s">
        <v>221</v>
      </c>
      <c r="U58" s="292" t="s">
        <v>222</v>
      </c>
      <c r="V58" s="292" t="s">
        <v>222</v>
      </c>
      <c r="W58" s="292" t="s">
        <v>223</v>
      </c>
      <c r="X58" s="292" t="s">
        <v>224</v>
      </c>
      <c r="Y58" s="292" t="s">
        <v>225</v>
      </c>
      <c r="Z58" s="292" t="s">
        <v>225</v>
      </c>
      <c r="AA58" s="292" t="s">
        <v>225</v>
      </c>
      <c r="AB58" s="300" t="s">
        <v>221</v>
      </c>
      <c r="AC58" s="292" t="s">
        <v>226</v>
      </c>
      <c r="AD58" s="292" t="s">
        <v>227</v>
      </c>
      <c r="AE58" s="292" t="s">
        <v>226</v>
      </c>
      <c r="AF58" s="292" t="s">
        <v>228</v>
      </c>
      <c r="AG58" s="292" t="s">
        <v>228</v>
      </c>
      <c r="AH58" s="292" t="s">
        <v>229</v>
      </c>
      <c r="AI58" s="292" t="s">
        <v>230</v>
      </c>
      <c r="AJ58" s="292" t="s">
        <v>228</v>
      </c>
      <c r="AK58" s="292" t="s">
        <v>226</v>
      </c>
      <c r="AL58" s="292" t="s">
        <v>226</v>
      </c>
      <c r="AM58" s="292" t="s">
        <v>226</v>
      </c>
      <c r="AN58" s="292" t="s">
        <v>217</v>
      </c>
      <c r="AO58" s="292" t="s">
        <v>227</v>
      </c>
      <c r="AP58" s="292" t="s">
        <v>228</v>
      </c>
      <c r="AQ58" s="292" t="s">
        <v>229</v>
      </c>
      <c r="AR58" s="292" t="s">
        <v>228</v>
      </c>
      <c r="AS58" s="292" t="s">
        <v>226</v>
      </c>
      <c r="AT58" s="292" t="s">
        <v>1212</v>
      </c>
      <c r="AU58" s="292" t="s">
        <v>228</v>
      </c>
      <c r="AV58" s="300" t="s">
        <v>221</v>
      </c>
      <c r="AW58" s="300" t="s">
        <v>221</v>
      </c>
      <c r="AX58" s="300" t="s">
        <v>221</v>
      </c>
      <c r="AY58" s="292" t="s">
        <v>231</v>
      </c>
      <c r="AZ58" s="292" t="s">
        <v>231</v>
      </c>
      <c r="BA58" s="300" t="s">
        <v>221</v>
      </c>
      <c r="BB58" s="300" t="s">
        <v>221</v>
      </c>
      <c r="BC58" s="300" t="s">
        <v>221</v>
      </c>
      <c r="BD58" s="300" t="s">
        <v>221</v>
      </c>
      <c r="BE58" s="292" t="s">
        <v>232</v>
      </c>
      <c r="BF58" s="300" t="s">
        <v>221</v>
      </c>
      <c r="BG58" s="300" t="s">
        <v>221</v>
      </c>
      <c r="BH58" s="300" t="s">
        <v>221</v>
      </c>
      <c r="BI58" s="300" t="s">
        <v>221</v>
      </c>
      <c r="BJ58" s="300" t="s">
        <v>221</v>
      </c>
      <c r="BK58" s="300" t="s">
        <v>221</v>
      </c>
      <c r="BL58" s="300" t="s">
        <v>221</v>
      </c>
      <c r="BM58" s="300" t="s">
        <v>221</v>
      </c>
      <c r="BN58" s="300" t="s">
        <v>221</v>
      </c>
      <c r="BO58" s="300" t="s">
        <v>221</v>
      </c>
      <c r="BP58" s="300" t="s">
        <v>221</v>
      </c>
      <c r="BQ58" s="300" t="s">
        <v>221</v>
      </c>
      <c r="BR58" s="300" t="s">
        <v>221</v>
      </c>
      <c r="BS58" s="300" t="s">
        <v>221</v>
      </c>
      <c r="BT58" s="300" t="s">
        <v>221</v>
      </c>
      <c r="BU58" s="300" t="s">
        <v>221</v>
      </c>
      <c r="BV58" s="300" t="s">
        <v>221</v>
      </c>
      <c r="BW58" s="300" t="s">
        <v>221</v>
      </c>
      <c r="BX58" s="300" t="s">
        <v>221</v>
      </c>
      <c r="BY58" s="300" t="s">
        <v>221</v>
      </c>
      <c r="BZ58" s="300" t="s">
        <v>221</v>
      </c>
      <c r="CA58" s="300" t="s">
        <v>221</v>
      </c>
      <c r="CB58" s="300" t="s">
        <v>221</v>
      </c>
      <c r="CC58" s="300" t="s">
        <v>221</v>
      </c>
      <c r="CD58" s="300" t="s">
        <v>221</v>
      </c>
      <c r="CE58" s="300" t="s">
        <v>221</v>
      </c>
      <c r="CF58" s="2"/>
    </row>
    <row r="59" spans="1:84" ht="12.65" customHeight="1" x14ac:dyDescent="0.35">
      <c r="A59" s="297" t="s">
        <v>233</v>
      </c>
      <c r="B59" s="290"/>
      <c r="C59" s="295"/>
      <c r="D59" s="295"/>
      <c r="E59" s="295">
        <v>1201</v>
      </c>
      <c r="F59" s="295"/>
      <c r="G59" s="295"/>
      <c r="H59" s="295"/>
      <c r="I59" s="295"/>
      <c r="J59" s="295"/>
      <c r="K59" s="295"/>
      <c r="L59" s="295">
        <v>4542</v>
      </c>
      <c r="M59" s="295"/>
      <c r="N59" s="295"/>
      <c r="O59" s="295"/>
      <c r="P59" s="185">
        <v>19488</v>
      </c>
      <c r="Q59" s="185">
        <v>25905</v>
      </c>
      <c r="R59" s="185">
        <v>38660</v>
      </c>
      <c r="S59" s="245"/>
      <c r="T59" s="245"/>
      <c r="U59" s="224">
        <v>53660</v>
      </c>
      <c r="V59" s="185">
        <v>313</v>
      </c>
      <c r="W59" s="185">
        <v>399</v>
      </c>
      <c r="X59" s="185">
        <v>1493</v>
      </c>
      <c r="Y59" s="185">
        <v>7136</v>
      </c>
      <c r="Z59" s="185"/>
      <c r="AA59" s="185"/>
      <c r="AB59" s="245"/>
      <c r="AC59" s="185">
        <v>5743</v>
      </c>
      <c r="AD59" s="185"/>
      <c r="AE59" s="185">
        <v>9400</v>
      </c>
      <c r="AF59" s="185"/>
      <c r="AG59" s="185">
        <v>2792</v>
      </c>
      <c r="AH59" s="185">
        <v>396</v>
      </c>
      <c r="AI59" s="185"/>
      <c r="AJ59" s="185">
        <f>4643+14372+2994+752+994</f>
        <v>23755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17045</v>
      </c>
      <c r="AZ59" s="185"/>
      <c r="BA59" s="245"/>
      <c r="BB59" s="245"/>
      <c r="BC59" s="245"/>
      <c r="BD59" s="245"/>
      <c r="BE59" s="185">
        <v>41043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300"/>
      <c r="CE59" s="290"/>
      <c r="CF59" s="2"/>
    </row>
    <row r="60" spans="1:84" ht="12.65" customHeight="1" x14ac:dyDescent="0.35">
      <c r="A60" s="301" t="s">
        <v>234</v>
      </c>
      <c r="B60" s="290"/>
      <c r="C60" s="186"/>
      <c r="D60" s="187"/>
      <c r="E60" s="187">
        <v>23.55</v>
      </c>
      <c r="F60" s="223"/>
      <c r="G60" s="187"/>
      <c r="H60" s="187"/>
      <c r="I60" s="187"/>
      <c r="J60" s="223"/>
      <c r="K60" s="187"/>
      <c r="L60" s="187">
        <v>17.84</v>
      </c>
      <c r="M60" s="187"/>
      <c r="N60" s="187"/>
      <c r="O60" s="187"/>
      <c r="P60" s="221">
        <v>3.32</v>
      </c>
      <c r="Q60" s="221">
        <v>2.2999999999999998</v>
      </c>
      <c r="R60" s="221">
        <f>1.74+2.78</f>
        <v>4.5199999999999996</v>
      </c>
      <c r="S60" s="221">
        <v>1.91</v>
      </c>
      <c r="T60" s="221"/>
      <c r="U60" s="221">
        <v>7.04</v>
      </c>
      <c r="V60" s="221"/>
      <c r="W60" s="221"/>
      <c r="X60" s="221"/>
      <c r="Y60" s="221">
        <f>5.72+0.85</f>
        <v>6.5699999999999994</v>
      </c>
      <c r="Z60" s="221"/>
      <c r="AA60" s="221"/>
      <c r="AB60" s="221">
        <v>2.0099999999999998</v>
      </c>
      <c r="AC60" s="221">
        <v>1.89</v>
      </c>
      <c r="AD60" s="221"/>
      <c r="AE60" s="221">
        <v>6.28</v>
      </c>
      <c r="AF60" s="221"/>
      <c r="AG60" s="221">
        <v>5.37</v>
      </c>
      <c r="AH60" s="221">
        <f>1.46+0.87</f>
        <v>2.33</v>
      </c>
      <c r="AI60" s="221"/>
      <c r="AJ60" s="221">
        <f>4.61+19.73+3.88+4.35</f>
        <v>32.57</v>
      </c>
      <c r="AK60" s="221">
        <v>0.56000000000000005</v>
      </c>
      <c r="AL60" s="221">
        <v>0.44</v>
      </c>
      <c r="AM60" s="221">
        <v>0.76</v>
      </c>
      <c r="AN60" s="221"/>
      <c r="AO60" s="221"/>
      <c r="AP60" s="221"/>
      <c r="AQ60" s="221"/>
      <c r="AR60" s="221"/>
      <c r="AS60" s="221"/>
      <c r="AT60" s="221"/>
      <c r="AU60" s="221"/>
      <c r="AV60" s="221">
        <v>2.17</v>
      </c>
      <c r="AW60" s="221"/>
      <c r="AX60" s="221"/>
      <c r="AY60" s="221">
        <v>9.58</v>
      </c>
      <c r="AZ60" s="221"/>
      <c r="BA60" s="221">
        <v>1.1299999999999999</v>
      </c>
      <c r="BB60" s="221">
        <v>1</v>
      </c>
      <c r="BC60" s="221"/>
      <c r="BD60" s="221"/>
      <c r="BE60" s="221">
        <v>4.74</v>
      </c>
      <c r="BF60" s="221">
        <v>8.36</v>
      </c>
      <c r="BG60" s="221"/>
      <c r="BH60" s="221"/>
      <c r="BI60" s="221"/>
      <c r="BJ60" s="221">
        <v>3.05</v>
      </c>
      <c r="BK60" s="221">
        <v>4.96</v>
      </c>
      <c r="BL60" s="221">
        <f>9.38+4.97</f>
        <v>14.350000000000001</v>
      </c>
      <c r="BM60" s="221">
        <v>4.07</v>
      </c>
      <c r="BN60" s="221">
        <f>7.88+2.01</f>
        <v>9.89</v>
      </c>
      <c r="BO60" s="221"/>
      <c r="BP60" s="221"/>
      <c r="BQ60" s="221"/>
      <c r="BR60" s="221">
        <f>2.04</f>
        <v>2.04</v>
      </c>
      <c r="BS60" s="221"/>
      <c r="BT60" s="221"/>
      <c r="BU60" s="221"/>
      <c r="BV60" s="221">
        <v>4.1500000000000004</v>
      </c>
      <c r="BW60" s="221"/>
      <c r="BX60" s="221"/>
      <c r="BY60" s="221"/>
      <c r="BZ60" s="221"/>
      <c r="CA60" s="221"/>
      <c r="CB60" s="221"/>
      <c r="CC60" s="221"/>
      <c r="CD60" s="300" t="s">
        <v>221</v>
      </c>
      <c r="CE60" s="302">
        <f t="shared" ref="CE60:CE70" si="0">SUM(C60:CD60)</f>
        <v>188.75</v>
      </c>
      <c r="CF60" s="2"/>
    </row>
    <row r="61" spans="1:84" ht="12.65" customHeight="1" x14ac:dyDescent="0.35">
      <c r="A61" s="297" t="s">
        <v>235</v>
      </c>
      <c r="B61" s="290"/>
      <c r="C61" s="295"/>
      <c r="D61" s="295"/>
      <c r="E61" s="295">
        <v>1711461</v>
      </c>
      <c r="F61" s="185"/>
      <c r="G61" s="295"/>
      <c r="H61" s="295"/>
      <c r="I61" s="185"/>
      <c r="J61" s="185"/>
      <c r="K61" s="185"/>
      <c r="L61" s="185">
        <v>1032042</v>
      </c>
      <c r="M61" s="295"/>
      <c r="N61" s="295"/>
      <c r="O61" s="295"/>
      <c r="P61" s="185">
        <v>219674</v>
      </c>
      <c r="Q61" s="185">
        <v>204057</v>
      </c>
      <c r="R61" s="185">
        <f>383612+292125</f>
        <v>675737</v>
      </c>
      <c r="S61" s="185">
        <v>88145</v>
      </c>
      <c r="T61" s="185"/>
      <c r="U61" s="185">
        <v>448317</v>
      </c>
      <c r="V61" s="185"/>
      <c r="W61" s="185"/>
      <c r="X61" s="185"/>
      <c r="Y61" s="185">
        <f>420691+64062</f>
        <v>484753</v>
      </c>
      <c r="Z61" s="185"/>
      <c r="AA61" s="185"/>
      <c r="AB61" s="185">
        <v>207556</v>
      </c>
      <c r="AC61" s="185">
        <v>137925</v>
      </c>
      <c r="AD61" s="185"/>
      <c r="AE61" s="185">
        <v>570517</v>
      </c>
      <c r="AF61" s="185"/>
      <c r="AG61" s="185">
        <v>557153</v>
      </c>
      <c r="AH61" s="185">
        <f>118274+50700</f>
        <v>168974</v>
      </c>
      <c r="AI61" s="185"/>
      <c r="AJ61" s="185">
        <f>628263+2304371+488736+781888</f>
        <v>4203258</v>
      </c>
      <c r="AK61" s="185">
        <v>58497</v>
      </c>
      <c r="AL61" s="185">
        <v>49662</v>
      </c>
      <c r="AM61" s="185">
        <v>29356</v>
      </c>
      <c r="AN61" s="185"/>
      <c r="AO61" s="185"/>
      <c r="AP61" s="185"/>
      <c r="AQ61" s="185"/>
      <c r="AR61" s="185"/>
      <c r="AS61" s="185"/>
      <c r="AT61" s="185"/>
      <c r="AU61" s="185"/>
      <c r="AV61" s="185">
        <v>146122</v>
      </c>
      <c r="AW61" s="185"/>
      <c r="AX61" s="185"/>
      <c r="AY61" s="185">
        <v>346777</v>
      </c>
      <c r="AZ61" s="185"/>
      <c r="BA61" s="185">
        <v>41187</v>
      </c>
      <c r="BB61" s="185">
        <v>78515</v>
      </c>
      <c r="BC61" s="185"/>
      <c r="BD61" s="185"/>
      <c r="BE61" s="185">
        <v>234899</v>
      </c>
      <c r="BF61" s="185">
        <v>268877</v>
      </c>
      <c r="BG61" s="185"/>
      <c r="BH61" s="185"/>
      <c r="BI61" s="185"/>
      <c r="BJ61" s="185">
        <v>273997</v>
      </c>
      <c r="BK61" s="185">
        <v>260495</v>
      </c>
      <c r="BL61" s="185">
        <f>325767+178847</f>
        <v>504614</v>
      </c>
      <c r="BM61" s="185">
        <v>160755</v>
      </c>
      <c r="BN61" s="185">
        <f>678271+144022-1</f>
        <v>822292</v>
      </c>
      <c r="BO61" s="185"/>
      <c r="BP61" s="185"/>
      <c r="BQ61" s="185"/>
      <c r="BR61" s="185">
        <v>135906</v>
      </c>
      <c r="BS61" s="185"/>
      <c r="BT61" s="185"/>
      <c r="BU61" s="185"/>
      <c r="BV61" s="185">
        <v>199833</v>
      </c>
      <c r="BW61" s="185"/>
      <c r="BX61" s="185"/>
      <c r="BY61" s="185"/>
      <c r="BZ61" s="185"/>
      <c r="CA61" s="185"/>
      <c r="CB61" s="185"/>
      <c r="CC61" s="185"/>
      <c r="CD61" s="300" t="s">
        <v>221</v>
      </c>
      <c r="CE61" s="290">
        <f t="shared" si="0"/>
        <v>14321353</v>
      </c>
      <c r="CF61" s="2"/>
    </row>
    <row r="62" spans="1:84" ht="12.65" customHeight="1" x14ac:dyDescent="0.35">
      <c r="A62" s="297" t="s">
        <v>3</v>
      </c>
      <c r="B62" s="290"/>
      <c r="C62" s="290">
        <f t="shared" ref="C62:BN62" si="1">ROUND(C47+C48,0)</f>
        <v>0</v>
      </c>
      <c r="D62" s="290">
        <f t="shared" si="1"/>
        <v>0</v>
      </c>
      <c r="E62" s="290">
        <f t="shared" si="1"/>
        <v>498429</v>
      </c>
      <c r="F62" s="290">
        <f t="shared" si="1"/>
        <v>0</v>
      </c>
      <c r="G62" s="290">
        <f t="shared" si="1"/>
        <v>0</v>
      </c>
      <c r="H62" s="290">
        <f t="shared" si="1"/>
        <v>0</v>
      </c>
      <c r="I62" s="290">
        <f t="shared" si="1"/>
        <v>0</v>
      </c>
      <c r="J62" s="290">
        <f>ROUND(J47+J48,0)</f>
        <v>0</v>
      </c>
      <c r="K62" s="290">
        <f t="shared" si="1"/>
        <v>0</v>
      </c>
      <c r="L62" s="290">
        <f t="shared" si="1"/>
        <v>330916</v>
      </c>
      <c r="M62" s="290">
        <f t="shared" si="1"/>
        <v>0</v>
      </c>
      <c r="N62" s="290">
        <f t="shared" si="1"/>
        <v>0</v>
      </c>
      <c r="O62" s="290">
        <f t="shared" si="1"/>
        <v>0</v>
      </c>
      <c r="P62" s="290">
        <f t="shared" si="1"/>
        <v>63649</v>
      </c>
      <c r="Q62" s="290">
        <f t="shared" si="1"/>
        <v>52009</v>
      </c>
      <c r="R62" s="290">
        <f t="shared" si="1"/>
        <v>128872</v>
      </c>
      <c r="S62" s="290">
        <f t="shared" si="1"/>
        <v>29549</v>
      </c>
      <c r="T62" s="290">
        <f t="shared" si="1"/>
        <v>0</v>
      </c>
      <c r="U62" s="290">
        <f t="shared" si="1"/>
        <v>119028</v>
      </c>
      <c r="V62" s="290">
        <f t="shared" si="1"/>
        <v>0</v>
      </c>
      <c r="W62" s="290">
        <f t="shared" si="1"/>
        <v>0</v>
      </c>
      <c r="X62" s="290">
        <f t="shared" si="1"/>
        <v>0</v>
      </c>
      <c r="Y62" s="290">
        <f t="shared" si="1"/>
        <v>129881</v>
      </c>
      <c r="Z62" s="290">
        <f t="shared" si="1"/>
        <v>0</v>
      </c>
      <c r="AA62" s="290">
        <f t="shared" si="1"/>
        <v>0</v>
      </c>
      <c r="AB62" s="290">
        <f t="shared" si="1"/>
        <v>49740</v>
      </c>
      <c r="AC62" s="290">
        <f t="shared" si="1"/>
        <v>31383</v>
      </c>
      <c r="AD62" s="290">
        <f t="shared" si="1"/>
        <v>0</v>
      </c>
      <c r="AE62" s="290">
        <f t="shared" si="1"/>
        <v>131263</v>
      </c>
      <c r="AF62" s="290">
        <f t="shared" si="1"/>
        <v>0</v>
      </c>
      <c r="AG62" s="290">
        <f t="shared" si="1"/>
        <v>119835</v>
      </c>
      <c r="AH62" s="290">
        <f t="shared" si="1"/>
        <v>40794</v>
      </c>
      <c r="AI62" s="290">
        <f t="shared" si="1"/>
        <v>0</v>
      </c>
      <c r="AJ62" s="290">
        <f t="shared" si="1"/>
        <v>837367</v>
      </c>
      <c r="AK62" s="290">
        <f t="shared" si="1"/>
        <v>11358</v>
      </c>
      <c r="AL62" s="290">
        <f t="shared" si="1"/>
        <v>7422</v>
      </c>
      <c r="AM62" s="290">
        <f t="shared" si="1"/>
        <v>10422</v>
      </c>
      <c r="AN62" s="290">
        <f t="shared" si="1"/>
        <v>0</v>
      </c>
      <c r="AO62" s="290">
        <f t="shared" si="1"/>
        <v>0</v>
      </c>
      <c r="AP62" s="290">
        <f t="shared" si="1"/>
        <v>0</v>
      </c>
      <c r="AQ62" s="290">
        <f t="shared" si="1"/>
        <v>0</v>
      </c>
      <c r="AR62" s="290">
        <f t="shared" si="1"/>
        <v>0</v>
      </c>
      <c r="AS62" s="290">
        <f t="shared" si="1"/>
        <v>0</v>
      </c>
      <c r="AT62" s="290">
        <f t="shared" si="1"/>
        <v>0</v>
      </c>
      <c r="AU62" s="290">
        <f t="shared" si="1"/>
        <v>0</v>
      </c>
      <c r="AV62" s="290">
        <f t="shared" si="1"/>
        <v>37391</v>
      </c>
      <c r="AW62" s="290">
        <f t="shared" si="1"/>
        <v>0</v>
      </c>
      <c r="AX62" s="290">
        <f t="shared" si="1"/>
        <v>0</v>
      </c>
      <c r="AY62" s="290">
        <f>ROUND(AY47+AY48,0)</f>
        <v>121390</v>
      </c>
      <c r="AZ62" s="290">
        <f>ROUND(AZ47+AZ48,0)</f>
        <v>0</v>
      </c>
      <c r="BA62" s="290">
        <f>ROUND(BA47+BA48,0)</f>
        <v>15042</v>
      </c>
      <c r="BB62" s="290">
        <f t="shared" si="1"/>
        <v>19804</v>
      </c>
      <c r="BC62" s="290">
        <f t="shared" si="1"/>
        <v>0</v>
      </c>
      <c r="BD62" s="290">
        <f t="shared" si="1"/>
        <v>0</v>
      </c>
      <c r="BE62" s="290">
        <f t="shared" si="1"/>
        <v>80875</v>
      </c>
      <c r="BF62" s="290">
        <f t="shared" si="1"/>
        <v>99824</v>
      </c>
      <c r="BG62" s="290">
        <f t="shared" si="1"/>
        <v>0</v>
      </c>
      <c r="BH62" s="290">
        <f t="shared" si="1"/>
        <v>0</v>
      </c>
      <c r="BI62" s="290">
        <f t="shared" si="1"/>
        <v>0</v>
      </c>
      <c r="BJ62" s="290">
        <f t="shared" si="1"/>
        <v>75496</v>
      </c>
      <c r="BK62" s="290">
        <f t="shared" si="1"/>
        <v>84486</v>
      </c>
      <c r="BL62" s="290">
        <f t="shared" si="1"/>
        <v>176280</v>
      </c>
      <c r="BM62" s="290">
        <f t="shared" si="1"/>
        <v>46704</v>
      </c>
      <c r="BN62" s="290">
        <f t="shared" si="1"/>
        <v>313680</v>
      </c>
      <c r="BO62" s="290">
        <f t="shared" ref="BO62:CC62" si="2">ROUND(BO47+BO48,0)</f>
        <v>0</v>
      </c>
      <c r="BP62" s="290">
        <f t="shared" si="2"/>
        <v>0</v>
      </c>
      <c r="BQ62" s="290">
        <f t="shared" si="2"/>
        <v>0</v>
      </c>
      <c r="BR62" s="290">
        <f t="shared" si="2"/>
        <v>41532</v>
      </c>
      <c r="BS62" s="290">
        <f t="shared" si="2"/>
        <v>0</v>
      </c>
      <c r="BT62" s="290">
        <f t="shared" si="2"/>
        <v>0</v>
      </c>
      <c r="BU62" s="290">
        <f t="shared" si="2"/>
        <v>0</v>
      </c>
      <c r="BV62" s="290">
        <f t="shared" si="2"/>
        <v>61918</v>
      </c>
      <c r="BW62" s="290">
        <f t="shared" si="2"/>
        <v>0</v>
      </c>
      <c r="BX62" s="290">
        <f t="shared" si="2"/>
        <v>0</v>
      </c>
      <c r="BY62" s="290">
        <f t="shared" si="2"/>
        <v>0</v>
      </c>
      <c r="BZ62" s="290">
        <f t="shared" si="2"/>
        <v>0</v>
      </c>
      <c r="CA62" s="290">
        <f t="shared" si="2"/>
        <v>0</v>
      </c>
      <c r="CB62" s="290">
        <f t="shared" si="2"/>
        <v>0</v>
      </c>
      <c r="CC62" s="290">
        <f t="shared" si="2"/>
        <v>0</v>
      </c>
      <c r="CD62" s="300" t="s">
        <v>221</v>
      </c>
      <c r="CE62" s="290">
        <f t="shared" si="0"/>
        <v>3766339</v>
      </c>
      <c r="CF62" s="2"/>
    </row>
    <row r="63" spans="1:84" ht="12.65" customHeight="1" x14ac:dyDescent="0.35">
      <c r="A63" s="297" t="s">
        <v>236</v>
      </c>
      <c r="B63" s="290"/>
      <c r="C63" s="295"/>
      <c r="D63" s="295"/>
      <c r="E63" s="295">
        <v>15995</v>
      </c>
      <c r="F63" s="185"/>
      <c r="G63" s="295"/>
      <c r="H63" s="295"/>
      <c r="I63" s="185"/>
      <c r="J63" s="185"/>
      <c r="K63" s="185"/>
      <c r="L63" s="185">
        <v>19507</v>
      </c>
      <c r="M63" s="295"/>
      <c r="N63" s="295"/>
      <c r="O63" s="295"/>
      <c r="P63" s="185">
        <v>230</v>
      </c>
      <c r="Q63" s="185">
        <v>0</v>
      </c>
      <c r="R63" s="185">
        <v>1600</v>
      </c>
      <c r="S63" s="185">
        <v>0</v>
      </c>
      <c r="T63" s="185"/>
      <c r="U63" s="185">
        <v>95457</v>
      </c>
      <c r="V63" s="185"/>
      <c r="W63" s="185">
        <v>153290</v>
      </c>
      <c r="X63" s="185">
        <v>18002</v>
      </c>
      <c r="Y63" s="185">
        <v>71716</v>
      </c>
      <c r="Z63" s="185"/>
      <c r="AA63" s="185"/>
      <c r="AB63" s="185">
        <v>89579</v>
      </c>
      <c r="AC63" s="185">
        <v>0</v>
      </c>
      <c r="AD63" s="185"/>
      <c r="AE63" s="185">
        <v>0</v>
      </c>
      <c r="AF63" s="185"/>
      <c r="AG63" s="185">
        <v>0</v>
      </c>
      <c r="AH63" s="185">
        <v>1732</v>
      </c>
      <c r="AI63" s="185"/>
      <c r="AJ63" s="185">
        <f>85+659+688+1445</f>
        <v>2877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0</v>
      </c>
      <c r="AW63" s="185"/>
      <c r="AX63" s="185"/>
      <c r="AY63" s="185">
        <v>0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60548</v>
      </c>
      <c r="BK63" s="185">
        <v>-1444</v>
      </c>
      <c r="BL63" s="185">
        <v>0</v>
      </c>
      <c r="BM63" s="185">
        <v>0</v>
      </c>
      <c r="BN63" s="185">
        <v>50664</v>
      </c>
      <c r="BO63" s="185"/>
      <c r="BP63" s="185"/>
      <c r="BQ63" s="185"/>
      <c r="BR63" s="185">
        <v>8279</v>
      </c>
      <c r="BS63" s="185"/>
      <c r="BT63" s="185"/>
      <c r="BU63" s="185"/>
      <c r="BV63" s="185">
        <v>70230</v>
      </c>
      <c r="BW63" s="185"/>
      <c r="BX63" s="185"/>
      <c r="BY63" s="185"/>
      <c r="BZ63" s="185"/>
      <c r="CA63" s="185"/>
      <c r="CB63" s="185"/>
      <c r="CC63" s="185">
        <v>142674</v>
      </c>
      <c r="CD63" s="300" t="s">
        <v>221</v>
      </c>
      <c r="CE63" s="290">
        <f t="shared" si="0"/>
        <v>800936</v>
      </c>
      <c r="CF63" s="2"/>
    </row>
    <row r="64" spans="1:84" ht="12.65" customHeight="1" x14ac:dyDescent="0.35">
      <c r="A64" s="297" t="s">
        <v>237</v>
      </c>
      <c r="B64" s="290"/>
      <c r="C64" s="295"/>
      <c r="D64" s="295"/>
      <c r="E64" s="185">
        <v>98861</v>
      </c>
      <c r="F64" s="185"/>
      <c r="G64" s="295"/>
      <c r="H64" s="295"/>
      <c r="I64" s="185"/>
      <c r="J64" s="185"/>
      <c r="K64" s="185"/>
      <c r="L64" s="185">
        <v>235283</v>
      </c>
      <c r="M64" s="295"/>
      <c r="N64" s="295"/>
      <c r="O64" s="295"/>
      <c r="P64" s="185">
        <v>290306</v>
      </c>
      <c r="Q64" s="185">
        <v>13133</v>
      </c>
      <c r="R64" s="185">
        <f>35939+66099</f>
        <v>102038</v>
      </c>
      <c r="S64" s="185">
        <v>27526</v>
      </c>
      <c r="T64" s="185"/>
      <c r="U64" s="185">
        <f>320268+23560</f>
        <v>343828</v>
      </c>
      <c r="V64" s="185">
        <v>6</v>
      </c>
      <c r="W64" s="185">
        <v>110</v>
      </c>
      <c r="X64" s="185">
        <v>64412</v>
      </c>
      <c r="Y64" s="185">
        <f>19418+1103</f>
        <v>20521</v>
      </c>
      <c r="Z64" s="185"/>
      <c r="AA64" s="185"/>
      <c r="AB64" s="185">
        <v>511197</v>
      </c>
      <c r="AC64" s="185">
        <v>27796</v>
      </c>
      <c r="AD64" s="185"/>
      <c r="AE64" s="185">
        <v>9260</v>
      </c>
      <c r="AF64" s="185"/>
      <c r="AG64" s="185">
        <v>40673</v>
      </c>
      <c r="AH64" s="185">
        <f>14783+847</f>
        <v>15630</v>
      </c>
      <c r="AI64" s="185"/>
      <c r="AJ64" s="185">
        <f>72486+182357+44133+16681+2166</f>
        <v>317823</v>
      </c>
      <c r="AK64" s="185">
        <v>2871</v>
      </c>
      <c r="AL64" s="185">
        <v>572</v>
      </c>
      <c r="AM64" s="185">
        <v>131</v>
      </c>
      <c r="AN64" s="185"/>
      <c r="AO64" s="185"/>
      <c r="AP64" s="185"/>
      <c r="AQ64" s="185"/>
      <c r="AR64" s="185"/>
      <c r="AS64" s="185"/>
      <c r="AT64" s="185"/>
      <c r="AU64" s="185"/>
      <c r="AV64" s="185">
        <v>10757</v>
      </c>
      <c r="AW64" s="185"/>
      <c r="AX64" s="185"/>
      <c r="AY64" s="185">
        <v>212667</v>
      </c>
      <c r="AZ64" s="185"/>
      <c r="BA64" s="185">
        <v>1096</v>
      </c>
      <c r="BB64" s="185">
        <v>218</v>
      </c>
      <c r="BC64" s="185"/>
      <c r="BD64" s="185"/>
      <c r="BE64" s="185">
        <v>63515</v>
      </c>
      <c r="BF64" s="185">
        <v>32498</v>
      </c>
      <c r="BG64" s="185"/>
      <c r="BH64" s="185"/>
      <c r="BI64" s="185"/>
      <c r="BJ64" s="185">
        <v>3166</v>
      </c>
      <c r="BK64" s="185">
        <v>7194</v>
      </c>
      <c r="BL64" s="185">
        <f>1960+18304</f>
        <v>20264</v>
      </c>
      <c r="BM64" s="185">
        <v>2209</v>
      </c>
      <c r="BN64" s="185">
        <f>14880+25454</f>
        <v>40334</v>
      </c>
      <c r="BO64" s="185"/>
      <c r="BP64" s="185"/>
      <c r="BQ64" s="185"/>
      <c r="BR64" s="185">
        <v>2711</v>
      </c>
      <c r="BS64" s="185"/>
      <c r="BT64" s="185"/>
      <c r="BU64" s="185"/>
      <c r="BV64" s="185">
        <v>4909</v>
      </c>
      <c r="BW64" s="185"/>
      <c r="BX64" s="185"/>
      <c r="BY64" s="185"/>
      <c r="BZ64" s="185"/>
      <c r="CA64" s="185">
        <v>595</v>
      </c>
      <c r="CB64" s="185">
        <v>198</v>
      </c>
      <c r="CC64" s="185">
        <v>363</v>
      </c>
      <c r="CD64" s="300" t="s">
        <v>221</v>
      </c>
      <c r="CE64" s="290">
        <f t="shared" si="0"/>
        <v>2524671</v>
      </c>
      <c r="CF64" s="2"/>
    </row>
    <row r="65" spans="1:84" ht="12.65" customHeight="1" x14ac:dyDescent="0.35">
      <c r="A65" s="297" t="s">
        <v>238</v>
      </c>
      <c r="B65" s="290"/>
      <c r="C65" s="295"/>
      <c r="D65" s="295"/>
      <c r="E65" s="295">
        <v>2515</v>
      </c>
      <c r="F65" s="295"/>
      <c r="G65" s="295"/>
      <c r="H65" s="295"/>
      <c r="I65" s="185"/>
      <c r="J65" s="295"/>
      <c r="K65" s="185"/>
      <c r="L65" s="185">
        <v>624</v>
      </c>
      <c r="M65" s="295"/>
      <c r="N65" s="295"/>
      <c r="O65" s="295"/>
      <c r="P65" s="185">
        <v>894</v>
      </c>
      <c r="Q65" s="185">
        <v>12</v>
      </c>
      <c r="R65" s="185">
        <f>1260+75</f>
        <v>1335</v>
      </c>
      <c r="S65" s="185">
        <v>1</v>
      </c>
      <c r="T65" s="185"/>
      <c r="U65" s="185">
        <v>730</v>
      </c>
      <c r="V65" s="185"/>
      <c r="W65" s="185"/>
      <c r="X65" s="185"/>
      <c r="Y65" s="185">
        <f>590+26</f>
        <v>616</v>
      </c>
      <c r="Z65" s="185"/>
      <c r="AA65" s="185"/>
      <c r="AB65" s="185">
        <v>156</v>
      </c>
      <c r="AC65" s="185">
        <v>16</v>
      </c>
      <c r="AD65" s="185"/>
      <c r="AE65" s="185">
        <v>9786</v>
      </c>
      <c r="AF65" s="185"/>
      <c r="AG65" s="185">
        <v>791</v>
      </c>
      <c r="AH65" s="185">
        <f>6324+32</f>
        <v>6356</v>
      </c>
      <c r="AI65" s="185"/>
      <c r="AJ65" s="185">
        <f>12650+33467+12386+1777</f>
        <v>60280</v>
      </c>
      <c r="AK65" s="185">
        <v>6</v>
      </c>
      <c r="AL65" s="185">
        <v>6</v>
      </c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0</v>
      </c>
      <c r="AW65" s="185"/>
      <c r="AX65" s="185"/>
      <c r="AY65" s="185">
        <v>13</v>
      </c>
      <c r="AZ65" s="185"/>
      <c r="BA65" s="185">
        <v>7</v>
      </c>
      <c r="BB65" s="185">
        <v>86</v>
      </c>
      <c r="BC65" s="185"/>
      <c r="BD65" s="185"/>
      <c r="BE65" s="185">
        <v>233291</v>
      </c>
      <c r="BF65" s="185">
        <v>63</v>
      </c>
      <c r="BG65" s="185"/>
      <c r="BH65" s="185"/>
      <c r="BI65" s="185"/>
      <c r="BJ65" s="185">
        <v>120</v>
      </c>
      <c r="BK65" s="185">
        <v>951</v>
      </c>
      <c r="BL65" s="185">
        <f>171+116</f>
        <v>287</v>
      </c>
      <c r="BM65" s="185">
        <v>66</v>
      </c>
      <c r="BN65" s="185">
        <f>433+83089</f>
        <v>83522</v>
      </c>
      <c r="BO65" s="185"/>
      <c r="BP65" s="185"/>
      <c r="BQ65" s="185"/>
      <c r="BR65" s="185">
        <v>457</v>
      </c>
      <c r="BS65" s="185"/>
      <c r="BT65" s="185"/>
      <c r="BU65" s="185"/>
      <c r="BV65" s="185">
        <f>1095-2</f>
        <v>1093</v>
      </c>
      <c r="BW65" s="185"/>
      <c r="BX65" s="185"/>
      <c r="BY65" s="185"/>
      <c r="BZ65" s="185"/>
      <c r="CA65" s="185"/>
      <c r="CB65" s="185"/>
      <c r="CC65" s="185">
        <v>0</v>
      </c>
      <c r="CD65" s="300" t="s">
        <v>221</v>
      </c>
      <c r="CE65" s="290">
        <f t="shared" si="0"/>
        <v>404080</v>
      </c>
      <c r="CF65" s="2"/>
    </row>
    <row r="66" spans="1:84" ht="12.65" customHeight="1" x14ac:dyDescent="0.35">
      <c r="A66" s="297" t="s">
        <v>239</v>
      </c>
      <c r="B66" s="290"/>
      <c r="C66" s="295"/>
      <c r="D66" s="295"/>
      <c r="E66" s="295">
        <v>456069</v>
      </c>
      <c r="F66" s="295"/>
      <c r="G66" s="295"/>
      <c r="H66" s="295"/>
      <c r="I66" s="295"/>
      <c r="J66" s="295"/>
      <c r="K66" s="185"/>
      <c r="L66" s="185">
        <v>2961</v>
      </c>
      <c r="M66" s="295"/>
      <c r="N66" s="295"/>
      <c r="O66" s="185"/>
      <c r="P66" s="185">
        <v>37778</v>
      </c>
      <c r="Q66" s="185">
        <v>0</v>
      </c>
      <c r="R66" s="185">
        <f>5852+32983+998</f>
        <v>39833</v>
      </c>
      <c r="S66" s="295"/>
      <c r="T66" s="295"/>
      <c r="U66" s="185">
        <v>27153</v>
      </c>
      <c r="V66" s="185">
        <v>121</v>
      </c>
      <c r="W66" s="185"/>
      <c r="X66" s="185">
        <v>94119</v>
      </c>
      <c r="Y66" s="185">
        <f>58716+9430</f>
        <v>68146</v>
      </c>
      <c r="Z66" s="185"/>
      <c r="AA66" s="185"/>
      <c r="AB66" s="185">
        <v>10527</v>
      </c>
      <c r="AC66" s="185">
        <v>1601</v>
      </c>
      <c r="AD66" s="185"/>
      <c r="AE66" s="185">
        <v>26687</v>
      </c>
      <c r="AF66" s="185"/>
      <c r="AG66" s="185">
        <f>1734+422227</f>
        <v>423961</v>
      </c>
      <c r="AH66" s="185">
        <f>9309+2695</f>
        <v>12004</v>
      </c>
      <c r="AI66" s="185"/>
      <c r="AJ66" s="185">
        <f>15256+46086+17750+2532</f>
        <v>81624</v>
      </c>
      <c r="AK66" s="185">
        <v>4051</v>
      </c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2221</v>
      </c>
      <c r="AZ66" s="185"/>
      <c r="BA66" s="185"/>
      <c r="BB66" s="185"/>
      <c r="BC66" s="185"/>
      <c r="BD66" s="185"/>
      <c r="BE66" s="185">
        <v>73140</v>
      </c>
      <c r="BF66" s="185">
        <v>1402</v>
      </c>
      <c r="BG66" s="185"/>
      <c r="BH66" s="185"/>
      <c r="BI66" s="185"/>
      <c r="BJ66" s="185">
        <v>70</v>
      </c>
      <c r="BK66" s="185">
        <v>315186</v>
      </c>
      <c r="BL66" s="185">
        <v>0</v>
      </c>
      <c r="BM66" s="185">
        <v>0</v>
      </c>
      <c r="BN66" s="185">
        <f>197175+573433</f>
        <v>770608</v>
      </c>
      <c r="BO66" s="185"/>
      <c r="BP66" s="185"/>
      <c r="BQ66" s="185"/>
      <c r="BR66" s="185">
        <v>93807</v>
      </c>
      <c r="BS66" s="185"/>
      <c r="BT66" s="185"/>
      <c r="BU66" s="185"/>
      <c r="BV66" s="185">
        <v>34987</v>
      </c>
      <c r="BW66" s="185"/>
      <c r="BX66" s="185"/>
      <c r="BY66" s="185"/>
      <c r="BZ66" s="185"/>
      <c r="CA66" s="185"/>
      <c r="CB66" s="185">
        <v>1466</v>
      </c>
      <c r="CC66" s="185">
        <f>129+162261</f>
        <v>162390</v>
      </c>
      <c r="CD66" s="300" t="s">
        <v>221</v>
      </c>
      <c r="CE66" s="290">
        <f t="shared" si="0"/>
        <v>2741912</v>
      </c>
      <c r="CF66" s="2"/>
    </row>
    <row r="67" spans="1:84" ht="12.65" customHeight="1" x14ac:dyDescent="0.35">
      <c r="A67" s="297" t="s">
        <v>6</v>
      </c>
      <c r="B67" s="290"/>
      <c r="C67" s="290">
        <f>ROUND(C51+C52,0)</f>
        <v>0</v>
      </c>
      <c r="D67" s="290">
        <f>ROUND(D51+D52,0)</f>
        <v>0</v>
      </c>
      <c r="E67" s="290">
        <f t="shared" ref="E67:BP67" si="3">ROUND(E51+E52,0)</f>
        <v>39501</v>
      </c>
      <c r="F67" s="290">
        <f t="shared" si="3"/>
        <v>0</v>
      </c>
      <c r="G67" s="290">
        <f t="shared" si="3"/>
        <v>0</v>
      </c>
      <c r="H67" s="290">
        <f t="shared" si="3"/>
        <v>0</v>
      </c>
      <c r="I67" s="290">
        <f t="shared" si="3"/>
        <v>0</v>
      </c>
      <c r="J67" s="290">
        <f>ROUND(J51+J52,0)</f>
        <v>0</v>
      </c>
      <c r="K67" s="290">
        <f t="shared" si="3"/>
        <v>0</v>
      </c>
      <c r="L67" s="290">
        <f t="shared" si="3"/>
        <v>49291</v>
      </c>
      <c r="M67" s="290">
        <f t="shared" si="3"/>
        <v>0</v>
      </c>
      <c r="N67" s="290">
        <f t="shared" si="3"/>
        <v>0</v>
      </c>
      <c r="O67" s="290">
        <f t="shared" si="3"/>
        <v>0</v>
      </c>
      <c r="P67" s="290">
        <f t="shared" si="3"/>
        <v>61771</v>
      </c>
      <c r="Q67" s="290">
        <f t="shared" si="3"/>
        <v>0</v>
      </c>
      <c r="R67" s="290">
        <f t="shared" si="3"/>
        <v>11886</v>
      </c>
      <c r="S67" s="290">
        <f t="shared" si="3"/>
        <v>2452</v>
      </c>
      <c r="T67" s="290">
        <f t="shared" si="3"/>
        <v>0</v>
      </c>
      <c r="U67" s="290">
        <f t="shared" si="3"/>
        <v>12959</v>
      </c>
      <c r="V67" s="290">
        <f t="shared" si="3"/>
        <v>0</v>
      </c>
      <c r="W67" s="290">
        <f t="shared" si="3"/>
        <v>0</v>
      </c>
      <c r="X67" s="290">
        <f t="shared" si="3"/>
        <v>95710</v>
      </c>
      <c r="Y67" s="290">
        <f t="shared" si="3"/>
        <v>20551</v>
      </c>
      <c r="Z67" s="290">
        <f t="shared" si="3"/>
        <v>0</v>
      </c>
      <c r="AA67" s="290">
        <f t="shared" si="3"/>
        <v>0</v>
      </c>
      <c r="AB67" s="290">
        <f t="shared" si="3"/>
        <v>1391</v>
      </c>
      <c r="AC67" s="290">
        <f t="shared" si="3"/>
        <v>5672</v>
      </c>
      <c r="AD67" s="290">
        <f t="shared" si="3"/>
        <v>0</v>
      </c>
      <c r="AE67" s="290">
        <f t="shared" si="3"/>
        <v>6638</v>
      </c>
      <c r="AF67" s="290">
        <f t="shared" si="3"/>
        <v>0</v>
      </c>
      <c r="AG67" s="290">
        <f t="shared" si="3"/>
        <v>7423</v>
      </c>
      <c r="AH67" s="290">
        <f t="shared" si="3"/>
        <v>4238</v>
      </c>
      <c r="AI67" s="290">
        <f t="shared" si="3"/>
        <v>0</v>
      </c>
      <c r="AJ67" s="290">
        <f t="shared" si="3"/>
        <v>43617</v>
      </c>
      <c r="AK67" s="290">
        <f t="shared" si="3"/>
        <v>1563</v>
      </c>
      <c r="AL67" s="290">
        <f t="shared" si="3"/>
        <v>0</v>
      </c>
      <c r="AM67" s="290">
        <f t="shared" si="3"/>
        <v>0</v>
      </c>
      <c r="AN67" s="290">
        <f t="shared" si="3"/>
        <v>0</v>
      </c>
      <c r="AO67" s="290">
        <f t="shared" si="3"/>
        <v>0</v>
      </c>
      <c r="AP67" s="290">
        <f t="shared" si="3"/>
        <v>0</v>
      </c>
      <c r="AQ67" s="290">
        <f t="shared" si="3"/>
        <v>0</v>
      </c>
      <c r="AR67" s="290">
        <f t="shared" si="3"/>
        <v>0</v>
      </c>
      <c r="AS67" s="290">
        <f t="shared" si="3"/>
        <v>0</v>
      </c>
      <c r="AT67" s="290">
        <f t="shared" si="3"/>
        <v>0</v>
      </c>
      <c r="AU67" s="290">
        <f t="shared" si="3"/>
        <v>0</v>
      </c>
      <c r="AV67" s="290">
        <f t="shared" si="3"/>
        <v>0</v>
      </c>
      <c r="AW67" s="290">
        <f t="shared" si="3"/>
        <v>0</v>
      </c>
      <c r="AX67" s="290">
        <f t="shared" si="3"/>
        <v>0</v>
      </c>
      <c r="AY67" s="290">
        <f t="shared" si="3"/>
        <v>15017</v>
      </c>
      <c r="AZ67" s="290">
        <f>ROUND(AZ51+AZ52,0)</f>
        <v>0</v>
      </c>
      <c r="BA67" s="290">
        <f>ROUND(BA51+BA52,0)</f>
        <v>3959</v>
      </c>
      <c r="BB67" s="290">
        <f t="shared" si="3"/>
        <v>468</v>
      </c>
      <c r="BC67" s="290">
        <f t="shared" si="3"/>
        <v>0</v>
      </c>
      <c r="BD67" s="290">
        <f t="shared" si="3"/>
        <v>0</v>
      </c>
      <c r="BE67" s="290">
        <f t="shared" si="3"/>
        <v>24435</v>
      </c>
      <c r="BF67" s="290">
        <f t="shared" si="3"/>
        <v>3846</v>
      </c>
      <c r="BG67" s="290">
        <f t="shared" si="3"/>
        <v>0</v>
      </c>
      <c r="BH67" s="290">
        <f t="shared" si="3"/>
        <v>0</v>
      </c>
      <c r="BI67" s="290">
        <f t="shared" si="3"/>
        <v>0</v>
      </c>
      <c r="BJ67" s="290">
        <f t="shared" si="3"/>
        <v>0</v>
      </c>
      <c r="BK67" s="290">
        <f t="shared" si="3"/>
        <v>3157</v>
      </c>
      <c r="BL67" s="290">
        <f t="shared" si="3"/>
        <v>1321</v>
      </c>
      <c r="BM67" s="290">
        <f t="shared" si="3"/>
        <v>0</v>
      </c>
      <c r="BN67" s="290">
        <f t="shared" si="3"/>
        <v>40442</v>
      </c>
      <c r="BO67" s="290">
        <f t="shared" si="3"/>
        <v>0</v>
      </c>
      <c r="BP67" s="290">
        <f t="shared" si="3"/>
        <v>0</v>
      </c>
      <c r="BQ67" s="290">
        <f t="shared" ref="BQ67:CC67" si="4">ROUND(BQ51+BQ52,0)</f>
        <v>0</v>
      </c>
      <c r="BR67" s="290">
        <f t="shared" si="4"/>
        <v>0</v>
      </c>
      <c r="BS67" s="290">
        <f t="shared" si="4"/>
        <v>0</v>
      </c>
      <c r="BT67" s="290">
        <f t="shared" si="4"/>
        <v>0</v>
      </c>
      <c r="BU67" s="290">
        <f t="shared" si="4"/>
        <v>0</v>
      </c>
      <c r="BV67" s="290">
        <f>ROUND(BV51+BV52,0)</f>
        <v>1339</v>
      </c>
      <c r="BW67" s="290">
        <f t="shared" si="4"/>
        <v>0</v>
      </c>
      <c r="BX67" s="290">
        <f t="shared" si="4"/>
        <v>0</v>
      </c>
      <c r="BY67" s="290">
        <f t="shared" si="4"/>
        <v>264</v>
      </c>
      <c r="BZ67" s="290">
        <f t="shared" si="4"/>
        <v>0</v>
      </c>
      <c r="CA67" s="290">
        <f t="shared" si="4"/>
        <v>0</v>
      </c>
      <c r="CB67" s="290">
        <f t="shared" si="4"/>
        <v>0</v>
      </c>
      <c r="CC67" s="290">
        <f t="shared" si="4"/>
        <v>604</v>
      </c>
      <c r="CD67" s="300" t="s">
        <v>221</v>
      </c>
      <c r="CE67" s="290">
        <f t="shared" si="0"/>
        <v>459515</v>
      </c>
      <c r="CF67" s="2"/>
    </row>
    <row r="68" spans="1:84" ht="12.65" customHeight="1" x14ac:dyDescent="0.35">
      <c r="A68" s="297" t="s">
        <v>240</v>
      </c>
      <c r="B68" s="290"/>
      <c r="C68" s="295"/>
      <c r="D68" s="295"/>
      <c r="E68" s="295">
        <v>30183</v>
      </c>
      <c r="F68" s="295"/>
      <c r="G68" s="295"/>
      <c r="H68" s="295"/>
      <c r="I68" s="295"/>
      <c r="J68" s="295"/>
      <c r="K68" s="185"/>
      <c r="L68" s="185">
        <v>11729</v>
      </c>
      <c r="M68" s="295"/>
      <c r="N68" s="295"/>
      <c r="O68" s="295"/>
      <c r="P68" s="185">
        <v>3068</v>
      </c>
      <c r="Q68" s="185">
        <v>0</v>
      </c>
      <c r="R68" s="185">
        <f>8372+4082</f>
        <v>12454</v>
      </c>
      <c r="S68" s="185"/>
      <c r="T68" s="185"/>
      <c r="U68" s="185">
        <v>3840</v>
      </c>
      <c r="V68" s="185"/>
      <c r="W68" s="185"/>
      <c r="X68" s="185"/>
      <c r="Y68" s="185"/>
      <c r="Z68" s="185"/>
      <c r="AA68" s="185"/>
      <c r="AB68" s="185">
        <v>3175</v>
      </c>
      <c r="AC68" s="185">
        <v>3897</v>
      </c>
      <c r="AD68" s="185"/>
      <c r="AE68" s="185">
        <v>27300</v>
      </c>
      <c r="AF68" s="185"/>
      <c r="AG68" s="185">
        <v>6532</v>
      </c>
      <c r="AH68" s="185">
        <v>0</v>
      </c>
      <c r="AI68" s="185"/>
      <c r="AJ68" s="185">
        <f>715+168182+1053+2453</f>
        <v>172403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0</v>
      </c>
      <c r="AW68" s="185"/>
      <c r="AX68" s="185"/>
      <c r="AY68" s="185"/>
      <c r="AZ68" s="185"/>
      <c r="BA68" s="185"/>
      <c r="BB68" s="185"/>
      <c r="BC68" s="185"/>
      <c r="BD68" s="185"/>
      <c r="BE68" s="185">
        <v>1001</v>
      </c>
      <c r="BF68" s="185">
        <v>410</v>
      </c>
      <c r="BG68" s="185"/>
      <c r="BH68" s="185"/>
      <c r="BI68" s="185"/>
      <c r="BJ68" s="185">
        <v>0</v>
      </c>
      <c r="BK68" s="185">
        <v>8728</v>
      </c>
      <c r="BL68" s="185">
        <v>0</v>
      </c>
      <c r="BM68" s="185">
        <v>0</v>
      </c>
      <c r="BN68" s="185"/>
      <c r="BO68" s="185"/>
      <c r="BP68" s="185"/>
      <c r="BQ68" s="185"/>
      <c r="BR68" s="185">
        <v>175</v>
      </c>
      <c r="BS68" s="185"/>
      <c r="BT68" s="185"/>
      <c r="BU68" s="185"/>
      <c r="BV68" s="185">
        <v>3300</v>
      </c>
      <c r="BW68" s="185"/>
      <c r="BX68" s="185"/>
      <c r="BY68" s="185"/>
      <c r="BZ68" s="185"/>
      <c r="CA68" s="185"/>
      <c r="CB68" s="185"/>
      <c r="CC68" s="185"/>
      <c r="CD68" s="300" t="s">
        <v>221</v>
      </c>
      <c r="CE68" s="290">
        <f t="shared" si="0"/>
        <v>288195</v>
      </c>
      <c r="CF68" s="2"/>
    </row>
    <row r="69" spans="1:84" ht="12.65" customHeight="1" x14ac:dyDescent="0.35">
      <c r="A69" s="297" t="s">
        <v>241</v>
      </c>
      <c r="B69" s="290"/>
      <c r="C69" s="295"/>
      <c r="D69" s="295"/>
      <c r="E69" s="185">
        <v>12898</v>
      </c>
      <c r="F69" s="185"/>
      <c r="G69" s="295"/>
      <c r="H69" s="295"/>
      <c r="I69" s="185"/>
      <c r="J69" s="185"/>
      <c r="K69" s="185"/>
      <c r="L69" s="185">
        <v>149341</v>
      </c>
      <c r="M69" s="295"/>
      <c r="N69" s="295"/>
      <c r="O69" s="295"/>
      <c r="P69" s="185">
        <v>2171</v>
      </c>
      <c r="Q69" s="185">
        <v>0</v>
      </c>
      <c r="R69" s="224">
        <f>13104+2155</f>
        <v>15259</v>
      </c>
      <c r="S69" s="185">
        <v>-14</v>
      </c>
      <c r="T69" s="295"/>
      <c r="U69" s="185">
        <v>10701</v>
      </c>
      <c r="V69" s="185"/>
      <c r="W69" s="295"/>
      <c r="X69" s="185"/>
      <c r="Y69" s="185">
        <v>6775</v>
      </c>
      <c r="Z69" s="185"/>
      <c r="AA69" s="185"/>
      <c r="AB69" s="185">
        <v>62128</v>
      </c>
      <c r="AC69" s="185">
        <v>375</v>
      </c>
      <c r="AD69" s="185"/>
      <c r="AE69" s="185">
        <v>2006</v>
      </c>
      <c r="AF69" s="185"/>
      <c r="AG69" s="185">
        <v>991</v>
      </c>
      <c r="AH69" s="185">
        <f>5537+4538</f>
        <v>10075</v>
      </c>
      <c r="AI69" s="185"/>
      <c r="AJ69" s="185">
        <f>6816+43325+11655+7882+105</f>
        <v>69783</v>
      </c>
      <c r="AK69" s="185">
        <v>96</v>
      </c>
      <c r="AL69" s="185"/>
      <c r="AM69" s="185"/>
      <c r="AN69" s="185"/>
      <c r="AO69" s="295"/>
      <c r="AP69" s="185"/>
      <c r="AQ69" s="295"/>
      <c r="AR69" s="295"/>
      <c r="AS69" s="295"/>
      <c r="AT69" s="295"/>
      <c r="AU69" s="185"/>
      <c r="AV69" s="185">
        <v>1034</v>
      </c>
      <c r="AW69" s="185"/>
      <c r="AX69" s="185"/>
      <c r="AY69" s="185">
        <v>718</v>
      </c>
      <c r="AZ69" s="185"/>
      <c r="BA69" s="185"/>
      <c r="BB69" s="185">
        <v>73</v>
      </c>
      <c r="BC69" s="185"/>
      <c r="BD69" s="185"/>
      <c r="BE69" s="185">
        <v>2996</v>
      </c>
      <c r="BF69" s="185">
        <v>211</v>
      </c>
      <c r="BG69" s="185"/>
      <c r="BH69" s="224"/>
      <c r="BI69" s="185"/>
      <c r="BJ69" s="185">
        <v>311</v>
      </c>
      <c r="BK69" s="185">
        <v>2403</v>
      </c>
      <c r="BL69" s="185">
        <v>53</v>
      </c>
      <c r="BM69" s="185">
        <v>1051</v>
      </c>
      <c r="BN69" s="185"/>
      <c r="BO69" s="185"/>
      <c r="BP69" s="185"/>
      <c r="BQ69" s="185"/>
      <c r="BR69" s="185">
        <v>5455</v>
      </c>
      <c r="BS69" s="185"/>
      <c r="BT69" s="185"/>
      <c r="BU69" s="185"/>
      <c r="BV69" s="185">
        <v>2232</v>
      </c>
      <c r="BW69" s="185"/>
      <c r="BX69" s="185"/>
      <c r="BY69" s="185"/>
      <c r="BZ69" s="185"/>
      <c r="CA69" s="185">
        <v>427</v>
      </c>
      <c r="CB69" s="185"/>
      <c r="CC69" s="185">
        <f>6828+7648-92068</f>
        <v>-77592</v>
      </c>
      <c r="CD69" s="303">
        <v>372975</v>
      </c>
      <c r="CE69" s="290">
        <f t="shared" si="0"/>
        <v>654932</v>
      </c>
      <c r="CF69" s="2"/>
    </row>
    <row r="70" spans="1:84" ht="12.65" customHeight="1" x14ac:dyDescent="0.35">
      <c r="A70" s="297" t="s">
        <v>242</v>
      </c>
      <c r="B70" s="290"/>
      <c r="C70" s="295"/>
      <c r="D70" s="295"/>
      <c r="E70" s="295"/>
      <c r="F70" s="185"/>
      <c r="G70" s="295"/>
      <c r="H70" s="295"/>
      <c r="I70" s="295"/>
      <c r="J70" s="185"/>
      <c r="K70" s="185"/>
      <c r="L70" s="185"/>
      <c r="M70" s="295"/>
      <c r="N70" s="295"/>
      <c r="O70" s="295"/>
      <c r="P70" s="295"/>
      <c r="Q70" s="295"/>
      <c r="R70" s="295"/>
      <c r="S70" s="295"/>
      <c r="T70" s="295"/>
      <c r="U70" s="185"/>
      <c r="V70" s="295"/>
      <c r="W70" s="295"/>
      <c r="X70" s="185"/>
      <c r="Y70" s="185"/>
      <c r="Z70" s="185"/>
      <c r="AA70" s="185"/>
      <c r="AB70" s="185">
        <v>519782</v>
      </c>
      <c r="AC70" s="185"/>
      <c r="AD70" s="185"/>
      <c r="AE70" s="185">
        <v>-1730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110196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>
        <v>500</v>
      </c>
      <c r="BL70" s="185"/>
      <c r="BM70" s="185"/>
      <c r="BN70" s="185">
        <v>17</v>
      </c>
      <c r="BO70" s="185"/>
      <c r="BP70" s="185"/>
      <c r="BQ70" s="185"/>
      <c r="BR70" s="185">
        <v>1100</v>
      </c>
      <c r="BS70" s="185"/>
      <c r="BT70" s="185"/>
      <c r="BU70" s="185"/>
      <c r="BV70" s="185">
        <v>2077</v>
      </c>
      <c r="BW70" s="185"/>
      <c r="BX70" s="185"/>
      <c r="BY70" s="185"/>
      <c r="BZ70" s="185"/>
      <c r="CA70" s="185"/>
      <c r="CB70" s="185"/>
      <c r="CC70" s="185">
        <v>527661</v>
      </c>
      <c r="CD70" s="303"/>
      <c r="CE70" s="290">
        <f t="shared" si="0"/>
        <v>1159603</v>
      </c>
      <c r="CF70" s="2"/>
    </row>
    <row r="71" spans="1:84" ht="12.65" customHeight="1" x14ac:dyDescent="0.35">
      <c r="A71" s="297" t="s">
        <v>243</v>
      </c>
      <c r="B71" s="290"/>
      <c r="C71" s="290">
        <f>SUM(C61:C68)+C69-C70</f>
        <v>0</v>
      </c>
      <c r="D71" s="290">
        <f t="shared" ref="D71:AI71" si="5">SUM(D61:D69)-D70</f>
        <v>0</v>
      </c>
      <c r="E71" s="290">
        <f t="shared" si="5"/>
        <v>2865912</v>
      </c>
      <c r="F71" s="290">
        <f t="shared" si="5"/>
        <v>0</v>
      </c>
      <c r="G71" s="290">
        <f t="shared" si="5"/>
        <v>0</v>
      </c>
      <c r="H71" s="290">
        <f t="shared" si="5"/>
        <v>0</v>
      </c>
      <c r="I71" s="290">
        <f t="shared" si="5"/>
        <v>0</v>
      </c>
      <c r="J71" s="290">
        <f t="shared" si="5"/>
        <v>0</v>
      </c>
      <c r="K71" s="290">
        <f t="shared" si="5"/>
        <v>0</v>
      </c>
      <c r="L71" s="290">
        <f t="shared" si="5"/>
        <v>1831694</v>
      </c>
      <c r="M71" s="290">
        <f t="shared" si="5"/>
        <v>0</v>
      </c>
      <c r="N71" s="290">
        <f t="shared" si="5"/>
        <v>0</v>
      </c>
      <c r="O71" s="290">
        <f t="shared" si="5"/>
        <v>0</v>
      </c>
      <c r="P71" s="290">
        <f t="shared" si="5"/>
        <v>679541</v>
      </c>
      <c r="Q71" s="290">
        <f t="shared" si="5"/>
        <v>269211</v>
      </c>
      <c r="R71" s="290">
        <f t="shared" si="5"/>
        <v>989014</v>
      </c>
      <c r="S71" s="290">
        <f t="shared" si="5"/>
        <v>147659</v>
      </c>
      <c r="T71" s="290">
        <f t="shared" si="5"/>
        <v>0</v>
      </c>
      <c r="U71" s="290">
        <f t="shared" si="5"/>
        <v>1062013</v>
      </c>
      <c r="V71" s="290">
        <f t="shared" si="5"/>
        <v>127</v>
      </c>
      <c r="W71" s="290">
        <f t="shared" si="5"/>
        <v>153400</v>
      </c>
      <c r="X71" s="290">
        <f t="shared" si="5"/>
        <v>272243</v>
      </c>
      <c r="Y71" s="290">
        <f t="shared" si="5"/>
        <v>802959</v>
      </c>
      <c r="Z71" s="290">
        <f t="shared" si="5"/>
        <v>0</v>
      </c>
      <c r="AA71" s="290">
        <f t="shared" si="5"/>
        <v>0</v>
      </c>
      <c r="AB71" s="290">
        <f t="shared" si="5"/>
        <v>415667</v>
      </c>
      <c r="AC71" s="290">
        <f t="shared" si="5"/>
        <v>208665</v>
      </c>
      <c r="AD71" s="290">
        <f t="shared" si="5"/>
        <v>0</v>
      </c>
      <c r="AE71" s="290">
        <f t="shared" si="5"/>
        <v>785187</v>
      </c>
      <c r="AF71" s="290">
        <f t="shared" si="5"/>
        <v>0</v>
      </c>
      <c r="AG71" s="290">
        <f t="shared" si="5"/>
        <v>1157359</v>
      </c>
      <c r="AH71" s="290">
        <f t="shared" si="5"/>
        <v>259803</v>
      </c>
      <c r="AI71" s="290">
        <f t="shared" si="5"/>
        <v>0</v>
      </c>
      <c r="AJ71" s="290">
        <f t="shared" ref="AJ71:BO71" si="6">SUM(AJ61:AJ69)-AJ70</f>
        <v>5789032</v>
      </c>
      <c r="AK71" s="290">
        <f t="shared" si="6"/>
        <v>78442</v>
      </c>
      <c r="AL71" s="290">
        <f t="shared" si="6"/>
        <v>57662</v>
      </c>
      <c r="AM71" s="290">
        <f t="shared" si="6"/>
        <v>39909</v>
      </c>
      <c r="AN71" s="290">
        <f t="shared" si="6"/>
        <v>0</v>
      </c>
      <c r="AO71" s="290">
        <f t="shared" si="6"/>
        <v>0</v>
      </c>
      <c r="AP71" s="290">
        <f t="shared" si="6"/>
        <v>0</v>
      </c>
      <c r="AQ71" s="290">
        <f t="shared" si="6"/>
        <v>0</v>
      </c>
      <c r="AR71" s="290">
        <f t="shared" si="6"/>
        <v>0</v>
      </c>
      <c r="AS71" s="290">
        <f t="shared" si="6"/>
        <v>0</v>
      </c>
      <c r="AT71" s="290">
        <f t="shared" si="6"/>
        <v>0</v>
      </c>
      <c r="AU71" s="290">
        <f t="shared" si="6"/>
        <v>0</v>
      </c>
      <c r="AV71" s="290">
        <f t="shared" si="6"/>
        <v>195304</v>
      </c>
      <c r="AW71" s="290">
        <f t="shared" si="6"/>
        <v>0</v>
      </c>
      <c r="AX71" s="290">
        <f t="shared" si="6"/>
        <v>0</v>
      </c>
      <c r="AY71" s="290">
        <f t="shared" si="6"/>
        <v>588607</v>
      </c>
      <c r="AZ71" s="290">
        <f t="shared" si="6"/>
        <v>0</v>
      </c>
      <c r="BA71" s="290">
        <f t="shared" si="6"/>
        <v>61291</v>
      </c>
      <c r="BB71" s="290">
        <f t="shared" si="6"/>
        <v>99164</v>
      </c>
      <c r="BC71" s="290">
        <f t="shared" si="6"/>
        <v>0</v>
      </c>
      <c r="BD71" s="290">
        <f t="shared" si="6"/>
        <v>0</v>
      </c>
      <c r="BE71" s="290">
        <f t="shared" si="6"/>
        <v>714152</v>
      </c>
      <c r="BF71" s="290">
        <f t="shared" si="6"/>
        <v>407131</v>
      </c>
      <c r="BG71" s="290">
        <f t="shared" si="6"/>
        <v>0</v>
      </c>
      <c r="BH71" s="290">
        <f t="shared" si="6"/>
        <v>0</v>
      </c>
      <c r="BI71" s="290">
        <f t="shared" si="6"/>
        <v>0</v>
      </c>
      <c r="BJ71" s="290">
        <f t="shared" si="6"/>
        <v>413708</v>
      </c>
      <c r="BK71" s="290">
        <f t="shared" si="6"/>
        <v>680656</v>
      </c>
      <c r="BL71" s="290">
        <f t="shared" si="6"/>
        <v>702819</v>
      </c>
      <c r="BM71" s="290">
        <f t="shared" si="6"/>
        <v>210785</v>
      </c>
      <c r="BN71" s="290">
        <f t="shared" si="6"/>
        <v>2121525</v>
      </c>
      <c r="BO71" s="290">
        <f t="shared" si="6"/>
        <v>0</v>
      </c>
      <c r="BP71" s="290">
        <f t="shared" ref="BP71:CC71" si="7">SUM(BP61:BP69)-BP70</f>
        <v>0</v>
      </c>
      <c r="BQ71" s="290">
        <f t="shared" si="7"/>
        <v>0</v>
      </c>
      <c r="BR71" s="290">
        <f t="shared" si="7"/>
        <v>287222</v>
      </c>
      <c r="BS71" s="290">
        <f t="shared" si="7"/>
        <v>0</v>
      </c>
      <c r="BT71" s="290">
        <f t="shared" si="7"/>
        <v>0</v>
      </c>
      <c r="BU71" s="290">
        <f t="shared" si="7"/>
        <v>0</v>
      </c>
      <c r="BV71" s="290">
        <f t="shared" si="7"/>
        <v>377764</v>
      </c>
      <c r="BW71" s="290">
        <f t="shared" si="7"/>
        <v>0</v>
      </c>
      <c r="BX71" s="290">
        <f t="shared" si="7"/>
        <v>0</v>
      </c>
      <c r="BY71" s="290">
        <f t="shared" si="7"/>
        <v>264</v>
      </c>
      <c r="BZ71" s="290">
        <f t="shared" si="7"/>
        <v>0</v>
      </c>
      <c r="CA71" s="290">
        <f t="shared" si="7"/>
        <v>1022</v>
      </c>
      <c r="CB71" s="290">
        <f t="shared" si="7"/>
        <v>1664</v>
      </c>
      <c r="CC71" s="290">
        <f t="shared" si="7"/>
        <v>-299222</v>
      </c>
      <c r="CD71" s="296">
        <f>CD69-CD70</f>
        <v>372975</v>
      </c>
      <c r="CE71" s="290">
        <f>SUM(CE61:CE69)-CE70</f>
        <v>24802330</v>
      </c>
      <c r="CF71" s="2"/>
    </row>
    <row r="72" spans="1:84" ht="12.65" customHeight="1" x14ac:dyDescent="0.35">
      <c r="A72" s="297" t="s">
        <v>244</v>
      </c>
      <c r="B72" s="290"/>
      <c r="C72" s="300" t="s">
        <v>221</v>
      </c>
      <c r="D72" s="300" t="s">
        <v>221</v>
      </c>
      <c r="E72" s="300" t="s">
        <v>221</v>
      </c>
      <c r="F72" s="300" t="s">
        <v>221</v>
      </c>
      <c r="G72" s="300" t="s">
        <v>221</v>
      </c>
      <c r="H72" s="300" t="s">
        <v>221</v>
      </c>
      <c r="I72" s="300" t="s">
        <v>221</v>
      </c>
      <c r="J72" s="300" t="s">
        <v>221</v>
      </c>
      <c r="K72" s="250" t="s">
        <v>221</v>
      </c>
      <c r="L72" s="300" t="s">
        <v>221</v>
      </c>
      <c r="M72" s="300" t="s">
        <v>221</v>
      </c>
      <c r="N72" s="300" t="s">
        <v>221</v>
      </c>
      <c r="O72" s="300" t="s">
        <v>221</v>
      </c>
      <c r="P72" s="300" t="s">
        <v>221</v>
      </c>
      <c r="Q72" s="300" t="s">
        <v>221</v>
      </c>
      <c r="R72" s="300" t="s">
        <v>221</v>
      </c>
      <c r="S72" s="300" t="s">
        <v>221</v>
      </c>
      <c r="T72" s="300" t="s">
        <v>221</v>
      </c>
      <c r="U72" s="300" t="s">
        <v>221</v>
      </c>
      <c r="V72" s="300" t="s">
        <v>221</v>
      </c>
      <c r="W72" s="300" t="s">
        <v>221</v>
      </c>
      <c r="X72" s="300" t="s">
        <v>221</v>
      </c>
      <c r="Y72" s="300" t="s">
        <v>221</v>
      </c>
      <c r="Z72" s="300" t="s">
        <v>221</v>
      </c>
      <c r="AA72" s="300" t="s">
        <v>221</v>
      </c>
      <c r="AB72" s="300" t="s">
        <v>221</v>
      </c>
      <c r="AC72" s="300" t="s">
        <v>221</v>
      </c>
      <c r="AD72" s="300" t="s">
        <v>221</v>
      </c>
      <c r="AE72" s="300" t="s">
        <v>221</v>
      </c>
      <c r="AF72" s="300" t="s">
        <v>221</v>
      </c>
      <c r="AG72" s="300" t="s">
        <v>221</v>
      </c>
      <c r="AH72" s="300" t="s">
        <v>221</v>
      </c>
      <c r="AI72" s="300" t="s">
        <v>221</v>
      </c>
      <c r="AJ72" s="300" t="s">
        <v>221</v>
      </c>
      <c r="AK72" s="300" t="s">
        <v>221</v>
      </c>
      <c r="AL72" s="300" t="s">
        <v>221</v>
      </c>
      <c r="AM72" s="300" t="s">
        <v>221</v>
      </c>
      <c r="AN72" s="300" t="s">
        <v>221</v>
      </c>
      <c r="AO72" s="300" t="s">
        <v>221</v>
      </c>
      <c r="AP72" s="300" t="s">
        <v>221</v>
      </c>
      <c r="AQ72" s="300" t="s">
        <v>221</v>
      </c>
      <c r="AR72" s="300" t="s">
        <v>221</v>
      </c>
      <c r="AS72" s="300" t="s">
        <v>221</v>
      </c>
      <c r="AT72" s="300" t="s">
        <v>221</v>
      </c>
      <c r="AU72" s="300" t="s">
        <v>221</v>
      </c>
      <c r="AV72" s="300" t="s">
        <v>221</v>
      </c>
      <c r="AW72" s="300" t="s">
        <v>221</v>
      </c>
      <c r="AX72" s="300" t="s">
        <v>221</v>
      </c>
      <c r="AY72" s="300" t="s">
        <v>221</v>
      </c>
      <c r="AZ72" s="300" t="s">
        <v>221</v>
      </c>
      <c r="BA72" s="300" t="s">
        <v>221</v>
      </c>
      <c r="BB72" s="300" t="s">
        <v>221</v>
      </c>
      <c r="BC72" s="300" t="s">
        <v>221</v>
      </c>
      <c r="BD72" s="300" t="s">
        <v>221</v>
      </c>
      <c r="BE72" s="300" t="s">
        <v>221</v>
      </c>
      <c r="BF72" s="300" t="s">
        <v>221</v>
      </c>
      <c r="BG72" s="300" t="s">
        <v>221</v>
      </c>
      <c r="BH72" s="300" t="s">
        <v>221</v>
      </c>
      <c r="BI72" s="300" t="s">
        <v>221</v>
      </c>
      <c r="BJ72" s="300" t="s">
        <v>221</v>
      </c>
      <c r="BK72" s="300" t="s">
        <v>221</v>
      </c>
      <c r="BL72" s="300" t="s">
        <v>221</v>
      </c>
      <c r="BM72" s="300" t="s">
        <v>221</v>
      </c>
      <c r="BN72" s="300" t="s">
        <v>221</v>
      </c>
      <c r="BO72" s="300" t="s">
        <v>221</v>
      </c>
      <c r="BP72" s="300" t="s">
        <v>221</v>
      </c>
      <c r="BQ72" s="300" t="s">
        <v>221</v>
      </c>
      <c r="BR72" s="300" t="s">
        <v>221</v>
      </c>
      <c r="BS72" s="300" t="s">
        <v>221</v>
      </c>
      <c r="BT72" s="300" t="s">
        <v>221</v>
      </c>
      <c r="BU72" s="300" t="s">
        <v>221</v>
      </c>
      <c r="BV72" s="300" t="s">
        <v>221</v>
      </c>
      <c r="BW72" s="300" t="s">
        <v>221</v>
      </c>
      <c r="BX72" s="300" t="s">
        <v>221</v>
      </c>
      <c r="BY72" s="300" t="s">
        <v>221</v>
      </c>
      <c r="BZ72" s="300" t="s">
        <v>221</v>
      </c>
      <c r="CA72" s="300" t="s">
        <v>221</v>
      </c>
      <c r="CB72" s="300" t="s">
        <v>221</v>
      </c>
      <c r="CC72" s="300" t="s">
        <v>221</v>
      </c>
      <c r="CD72" s="300" t="s">
        <v>221</v>
      </c>
      <c r="CE72" s="303">
        <v>698731</v>
      </c>
      <c r="CF72" s="2"/>
    </row>
    <row r="73" spans="1:84" ht="12.65" customHeight="1" x14ac:dyDescent="0.35">
      <c r="A73" s="297" t="s">
        <v>245</v>
      </c>
      <c r="B73" s="290"/>
      <c r="C73" s="295"/>
      <c r="D73" s="295"/>
      <c r="E73" s="185">
        <v>2231709</v>
      </c>
      <c r="F73" s="185"/>
      <c r="G73" s="295"/>
      <c r="H73" s="295"/>
      <c r="I73" s="185"/>
      <c r="J73" s="185"/>
      <c r="K73" s="185"/>
      <c r="L73" s="185">
        <f>1351734+352333+13615</f>
        <v>1717682</v>
      </c>
      <c r="M73" s="295"/>
      <c r="N73" s="295"/>
      <c r="O73" s="295"/>
      <c r="P73" s="185">
        <v>169376</v>
      </c>
      <c r="Q73" s="185">
        <v>40459</v>
      </c>
      <c r="R73" s="185">
        <f>190739+7183</f>
        <v>197922</v>
      </c>
      <c r="S73" s="185">
        <v>173760</v>
      </c>
      <c r="T73" s="185">
        <v>156842</v>
      </c>
      <c r="U73" s="185">
        <f>630554+17438</f>
        <v>647992</v>
      </c>
      <c r="V73" s="185">
        <v>9953</v>
      </c>
      <c r="W73" s="185">
        <v>42110</v>
      </c>
      <c r="X73" s="185">
        <v>204541</v>
      </c>
      <c r="Y73" s="185">
        <f>112801+44336</f>
        <v>157137</v>
      </c>
      <c r="Z73" s="185"/>
      <c r="AA73" s="185"/>
      <c r="AB73" s="185">
        <f>601569</f>
        <v>601569</v>
      </c>
      <c r="AC73" s="185">
        <v>423256</v>
      </c>
      <c r="AD73" s="185"/>
      <c r="AE73" s="185">
        <v>380422</v>
      </c>
      <c r="AF73" s="185"/>
      <c r="AG73" s="185">
        <v>60602</v>
      </c>
      <c r="AH73" s="185">
        <v>30536</v>
      </c>
      <c r="AI73" s="185"/>
      <c r="AJ73" s="185"/>
      <c r="AK73" s="185">
        <v>99684</v>
      </c>
      <c r="AL73" s="185">
        <v>49535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1786</v>
      </c>
      <c r="AW73" s="300" t="s">
        <v>221</v>
      </c>
      <c r="AX73" s="300" t="s">
        <v>221</v>
      </c>
      <c r="AY73" s="300" t="s">
        <v>221</v>
      </c>
      <c r="AZ73" s="300" t="s">
        <v>221</v>
      </c>
      <c r="BA73" s="300" t="s">
        <v>221</v>
      </c>
      <c r="BB73" s="300" t="s">
        <v>221</v>
      </c>
      <c r="BC73" s="300" t="s">
        <v>221</v>
      </c>
      <c r="BD73" s="300" t="s">
        <v>221</v>
      </c>
      <c r="BE73" s="300" t="s">
        <v>221</v>
      </c>
      <c r="BF73" s="300" t="s">
        <v>221</v>
      </c>
      <c r="BG73" s="300" t="s">
        <v>221</v>
      </c>
      <c r="BH73" s="300" t="s">
        <v>221</v>
      </c>
      <c r="BI73" s="300" t="s">
        <v>221</v>
      </c>
      <c r="BJ73" s="300" t="s">
        <v>221</v>
      </c>
      <c r="BK73" s="300" t="s">
        <v>221</v>
      </c>
      <c r="BL73" s="300" t="s">
        <v>221</v>
      </c>
      <c r="BM73" s="300" t="s">
        <v>221</v>
      </c>
      <c r="BN73" s="300" t="s">
        <v>221</v>
      </c>
      <c r="BO73" s="300" t="s">
        <v>221</v>
      </c>
      <c r="BP73" s="300" t="s">
        <v>221</v>
      </c>
      <c r="BQ73" s="300" t="s">
        <v>221</v>
      </c>
      <c r="BR73" s="300" t="s">
        <v>221</v>
      </c>
      <c r="BS73" s="300" t="s">
        <v>221</v>
      </c>
      <c r="BT73" s="300" t="s">
        <v>221</v>
      </c>
      <c r="BU73" s="300" t="s">
        <v>221</v>
      </c>
      <c r="BV73" s="300" t="s">
        <v>221</v>
      </c>
      <c r="BW73" s="300" t="s">
        <v>221</v>
      </c>
      <c r="BX73" s="300" t="s">
        <v>221</v>
      </c>
      <c r="BY73" s="300" t="s">
        <v>221</v>
      </c>
      <c r="BZ73" s="300" t="s">
        <v>221</v>
      </c>
      <c r="CA73" s="300" t="s">
        <v>221</v>
      </c>
      <c r="CB73" s="300" t="s">
        <v>221</v>
      </c>
      <c r="CC73" s="300" t="s">
        <v>221</v>
      </c>
      <c r="CD73" s="300" t="s">
        <v>221</v>
      </c>
      <c r="CE73" s="290">
        <f t="shared" ref="CE73:CE80" si="8">SUM(C73:CD73)</f>
        <v>7396873</v>
      </c>
      <c r="CF73" s="2"/>
    </row>
    <row r="74" spans="1:84" ht="12.65" customHeight="1" x14ac:dyDescent="0.35">
      <c r="A74" s="297" t="s">
        <v>246</v>
      </c>
      <c r="B74" s="290"/>
      <c r="C74" s="295"/>
      <c r="D74" s="295"/>
      <c r="E74" s="185"/>
      <c r="F74" s="185"/>
      <c r="G74" s="295"/>
      <c r="H74" s="295"/>
      <c r="I74" s="295"/>
      <c r="J74" s="185"/>
      <c r="K74" s="185"/>
      <c r="L74" s="185"/>
      <c r="M74" s="295"/>
      <c r="N74" s="295"/>
      <c r="O74" s="295"/>
      <c r="P74" s="185">
        <f>1206506+1500</f>
        <v>1208006</v>
      </c>
      <c r="Q74" s="185">
        <v>303570</v>
      </c>
      <c r="R74" s="185">
        <f>1217840+752591</f>
        <v>1970431</v>
      </c>
      <c r="S74" s="185">
        <f>509188+271</f>
        <v>509459</v>
      </c>
      <c r="T74" s="185">
        <v>108332</v>
      </c>
      <c r="U74" s="185">
        <f>3634724+43331+9314</f>
        <v>3687369</v>
      </c>
      <c r="V74" s="185">
        <v>74527</v>
      </c>
      <c r="W74" s="185">
        <f>885553+300</f>
        <v>885853</v>
      </c>
      <c r="X74" s="185">
        <v>2108333</v>
      </c>
      <c r="Y74" s="185">
        <f>1494243+446582</f>
        <v>1940825</v>
      </c>
      <c r="Z74" s="185"/>
      <c r="AA74" s="185"/>
      <c r="AB74" s="185">
        <v>1066544</v>
      </c>
      <c r="AC74" s="185">
        <v>143860</v>
      </c>
      <c r="AD74" s="185"/>
      <c r="AE74" s="185">
        <v>1464460</v>
      </c>
      <c r="AF74" s="185"/>
      <c r="AG74" s="185">
        <v>1623113</v>
      </c>
      <c r="AH74" s="185">
        <v>389931</v>
      </c>
      <c r="AI74" s="185">
        <v>5755</v>
      </c>
      <c r="AJ74" s="185">
        <v>7347597</v>
      </c>
      <c r="AK74" s="185">
        <v>43476</v>
      </c>
      <c r="AL74" s="185">
        <v>33508</v>
      </c>
      <c r="AM74" s="185"/>
      <c r="AN74" s="185"/>
      <c r="AO74" s="185">
        <f>6836+460418</f>
        <v>467254</v>
      </c>
      <c r="AP74" s="185"/>
      <c r="AQ74" s="185"/>
      <c r="AR74" s="185"/>
      <c r="AS74" s="185"/>
      <c r="AT74" s="185"/>
      <c r="AU74" s="185"/>
      <c r="AV74" s="185">
        <v>548400</v>
      </c>
      <c r="AW74" s="300" t="s">
        <v>221</v>
      </c>
      <c r="AX74" s="300" t="s">
        <v>221</v>
      </c>
      <c r="AY74" s="300" t="s">
        <v>221</v>
      </c>
      <c r="AZ74" s="300" t="s">
        <v>221</v>
      </c>
      <c r="BA74" s="300" t="s">
        <v>221</v>
      </c>
      <c r="BB74" s="300" t="s">
        <v>221</v>
      </c>
      <c r="BC74" s="300" t="s">
        <v>221</v>
      </c>
      <c r="BD74" s="300" t="s">
        <v>221</v>
      </c>
      <c r="BE74" s="300" t="s">
        <v>221</v>
      </c>
      <c r="BF74" s="300" t="s">
        <v>221</v>
      </c>
      <c r="BG74" s="300" t="s">
        <v>221</v>
      </c>
      <c r="BH74" s="300" t="s">
        <v>221</v>
      </c>
      <c r="BI74" s="300" t="s">
        <v>221</v>
      </c>
      <c r="BJ74" s="300" t="s">
        <v>221</v>
      </c>
      <c r="BK74" s="300" t="s">
        <v>221</v>
      </c>
      <c r="BL74" s="300" t="s">
        <v>221</v>
      </c>
      <c r="BM74" s="300" t="s">
        <v>221</v>
      </c>
      <c r="BN74" s="300" t="s">
        <v>221</v>
      </c>
      <c r="BO74" s="300" t="s">
        <v>221</v>
      </c>
      <c r="BP74" s="300" t="s">
        <v>221</v>
      </c>
      <c r="BQ74" s="300" t="s">
        <v>221</v>
      </c>
      <c r="BR74" s="300" t="s">
        <v>221</v>
      </c>
      <c r="BS74" s="300" t="s">
        <v>221</v>
      </c>
      <c r="BT74" s="300" t="s">
        <v>221</v>
      </c>
      <c r="BU74" s="300" t="s">
        <v>221</v>
      </c>
      <c r="BV74" s="300" t="s">
        <v>221</v>
      </c>
      <c r="BW74" s="300" t="s">
        <v>221</v>
      </c>
      <c r="BX74" s="300" t="s">
        <v>221</v>
      </c>
      <c r="BY74" s="300" t="s">
        <v>221</v>
      </c>
      <c r="BZ74" s="300" t="s">
        <v>221</v>
      </c>
      <c r="CA74" s="300" t="s">
        <v>221</v>
      </c>
      <c r="CB74" s="300" t="s">
        <v>221</v>
      </c>
      <c r="CC74" s="300" t="s">
        <v>221</v>
      </c>
      <c r="CD74" s="300" t="s">
        <v>221</v>
      </c>
      <c r="CE74" s="290">
        <f t="shared" si="8"/>
        <v>25930603</v>
      </c>
      <c r="CF74" s="2"/>
    </row>
    <row r="75" spans="1:84" ht="12.65" customHeight="1" x14ac:dyDescent="0.35">
      <c r="A75" s="297" t="s">
        <v>247</v>
      </c>
      <c r="B75" s="290"/>
      <c r="C75" s="290">
        <f t="shared" ref="C75:AV75" si="9">SUM(C73:C74)</f>
        <v>0</v>
      </c>
      <c r="D75" s="290">
        <f t="shared" si="9"/>
        <v>0</v>
      </c>
      <c r="E75" s="290">
        <f t="shared" si="9"/>
        <v>2231709</v>
      </c>
      <c r="F75" s="290">
        <f t="shared" si="9"/>
        <v>0</v>
      </c>
      <c r="G75" s="290">
        <f t="shared" si="9"/>
        <v>0</v>
      </c>
      <c r="H75" s="290">
        <f t="shared" si="9"/>
        <v>0</v>
      </c>
      <c r="I75" s="290">
        <f t="shared" si="9"/>
        <v>0</v>
      </c>
      <c r="J75" s="290">
        <f t="shared" si="9"/>
        <v>0</v>
      </c>
      <c r="K75" s="290">
        <f t="shared" si="9"/>
        <v>0</v>
      </c>
      <c r="L75" s="290">
        <f t="shared" si="9"/>
        <v>1717682</v>
      </c>
      <c r="M75" s="290">
        <f t="shared" si="9"/>
        <v>0</v>
      </c>
      <c r="N75" s="290">
        <f t="shared" si="9"/>
        <v>0</v>
      </c>
      <c r="O75" s="290">
        <f t="shared" si="9"/>
        <v>0</v>
      </c>
      <c r="P75" s="290">
        <f t="shared" si="9"/>
        <v>1377382</v>
      </c>
      <c r="Q75" s="290">
        <f t="shared" si="9"/>
        <v>344029</v>
      </c>
      <c r="R75" s="290">
        <f t="shared" si="9"/>
        <v>2168353</v>
      </c>
      <c r="S75" s="290">
        <f t="shared" si="9"/>
        <v>683219</v>
      </c>
      <c r="T75" s="290">
        <f t="shared" si="9"/>
        <v>265174</v>
      </c>
      <c r="U75" s="290">
        <f t="shared" si="9"/>
        <v>4335361</v>
      </c>
      <c r="V75" s="290">
        <f t="shared" si="9"/>
        <v>84480</v>
      </c>
      <c r="W75" s="290">
        <f t="shared" si="9"/>
        <v>927963</v>
      </c>
      <c r="X75" s="290">
        <f t="shared" si="9"/>
        <v>2312874</v>
      </c>
      <c r="Y75" s="290">
        <f t="shared" si="9"/>
        <v>2097962</v>
      </c>
      <c r="Z75" s="290">
        <f t="shared" si="9"/>
        <v>0</v>
      </c>
      <c r="AA75" s="290">
        <f t="shared" si="9"/>
        <v>0</v>
      </c>
      <c r="AB75" s="290">
        <f t="shared" si="9"/>
        <v>1668113</v>
      </c>
      <c r="AC75" s="290">
        <f t="shared" si="9"/>
        <v>567116</v>
      </c>
      <c r="AD75" s="290">
        <f t="shared" si="9"/>
        <v>0</v>
      </c>
      <c r="AE75" s="290">
        <f t="shared" si="9"/>
        <v>1844882</v>
      </c>
      <c r="AF75" s="290">
        <f t="shared" si="9"/>
        <v>0</v>
      </c>
      <c r="AG75" s="290">
        <f t="shared" si="9"/>
        <v>1683715</v>
      </c>
      <c r="AH75" s="290">
        <f t="shared" si="9"/>
        <v>420467</v>
      </c>
      <c r="AI75" s="290">
        <f t="shared" si="9"/>
        <v>5755</v>
      </c>
      <c r="AJ75" s="290">
        <f t="shared" si="9"/>
        <v>7347597</v>
      </c>
      <c r="AK75" s="290">
        <f t="shared" si="9"/>
        <v>143160</v>
      </c>
      <c r="AL75" s="290">
        <f t="shared" si="9"/>
        <v>83043</v>
      </c>
      <c r="AM75" s="290">
        <f t="shared" si="9"/>
        <v>0</v>
      </c>
      <c r="AN75" s="290">
        <f t="shared" si="9"/>
        <v>0</v>
      </c>
      <c r="AO75" s="290">
        <f t="shared" si="9"/>
        <v>467254</v>
      </c>
      <c r="AP75" s="290">
        <f t="shared" si="9"/>
        <v>0</v>
      </c>
      <c r="AQ75" s="290">
        <f t="shared" si="9"/>
        <v>0</v>
      </c>
      <c r="AR75" s="290">
        <f t="shared" si="9"/>
        <v>0</v>
      </c>
      <c r="AS75" s="290">
        <f t="shared" si="9"/>
        <v>0</v>
      </c>
      <c r="AT75" s="290">
        <f t="shared" si="9"/>
        <v>0</v>
      </c>
      <c r="AU75" s="290">
        <f t="shared" si="9"/>
        <v>0</v>
      </c>
      <c r="AV75" s="290">
        <f t="shared" si="9"/>
        <v>550186</v>
      </c>
      <c r="AW75" s="300" t="s">
        <v>221</v>
      </c>
      <c r="AX75" s="300" t="s">
        <v>221</v>
      </c>
      <c r="AY75" s="300" t="s">
        <v>221</v>
      </c>
      <c r="AZ75" s="300" t="s">
        <v>221</v>
      </c>
      <c r="BA75" s="300" t="s">
        <v>221</v>
      </c>
      <c r="BB75" s="300" t="s">
        <v>221</v>
      </c>
      <c r="BC75" s="300" t="s">
        <v>221</v>
      </c>
      <c r="BD75" s="300" t="s">
        <v>221</v>
      </c>
      <c r="BE75" s="300" t="s">
        <v>221</v>
      </c>
      <c r="BF75" s="300" t="s">
        <v>221</v>
      </c>
      <c r="BG75" s="300" t="s">
        <v>221</v>
      </c>
      <c r="BH75" s="300" t="s">
        <v>221</v>
      </c>
      <c r="BI75" s="300" t="s">
        <v>221</v>
      </c>
      <c r="BJ75" s="300" t="s">
        <v>221</v>
      </c>
      <c r="BK75" s="300" t="s">
        <v>221</v>
      </c>
      <c r="BL75" s="300" t="s">
        <v>221</v>
      </c>
      <c r="BM75" s="300" t="s">
        <v>221</v>
      </c>
      <c r="BN75" s="300" t="s">
        <v>221</v>
      </c>
      <c r="BO75" s="300" t="s">
        <v>221</v>
      </c>
      <c r="BP75" s="300" t="s">
        <v>221</v>
      </c>
      <c r="BQ75" s="300" t="s">
        <v>221</v>
      </c>
      <c r="BR75" s="300" t="s">
        <v>221</v>
      </c>
      <c r="BS75" s="300" t="s">
        <v>221</v>
      </c>
      <c r="BT75" s="300" t="s">
        <v>221</v>
      </c>
      <c r="BU75" s="300" t="s">
        <v>221</v>
      </c>
      <c r="BV75" s="300" t="s">
        <v>221</v>
      </c>
      <c r="BW75" s="300" t="s">
        <v>221</v>
      </c>
      <c r="BX75" s="300" t="s">
        <v>221</v>
      </c>
      <c r="BY75" s="300" t="s">
        <v>221</v>
      </c>
      <c r="BZ75" s="300" t="s">
        <v>221</v>
      </c>
      <c r="CA75" s="300" t="s">
        <v>221</v>
      </c>
      <c r="CB75" s="300" t="s">
        <v>221</v>
      </c>
      <c r="CC75" s="300" t="s">
        <v>221</v>
      </c>
      <c r="CD75" s="300" t="s">
        <v>221</v>
      </c>
      <c r="CE75" s="290">
        <f t="shared" si="8"/>
        <v>33327476</v>
      </c>
      <c r="CF75" s="2"/>
    </row>
    <row r="76" spans="1:84" ht="12.65" customHeight="1" x14ac:dyDescent="0.35">
      <c r="A76" s="297" t="s">
        <v>248</v>
      </c>
      <c r="B76" s="290"/>
      <c r="C76" s="295"/>
      <c r="D76" s="295"/>
      <c r="E76" s="185">
        <v>4802</v>
      </c>
      <c r="F76" s="185"/>
      <c r="G76" s="295"/>
      <c r="H76" s="295"/>
      <c r="I76" s="185"/>
      <c r="J76" s="185"/>
      <c r="K76" s="185"/>
      <c r="L76" s="185">
        <v>6141</v>
      </c>
      <c r="M76" s="185"/>
      <c r="N76" s="185"/>
      <c r="O76" s="185"/>
      <c r="P76" s="185">
        <v>1403</v>
      </c>
      <c r="Q76" s="185"/>
      <c r="R76" s="185">
        <v>225</v>
      </c>
      <c r="S76" s="185">
        <v>670</v>
      </c>
      <c r="T76" s="185"/>
      <c r="U76" s="185">
        <v>527</v>
      </c>
      <c r="V76" s="185"/>
      <c r="W76" s="185"/>
      <c r="X76" s="185"/>
      <c r="Y76" s="185">
        <v>1569</v>
      </c>
      <c r="Z76" s="185"/>
      <c r="AA76" s="185"/>
      <c r="AB76" s="185">
        <v>380</v>
      </c>
      <c r="AC76" s="185">
        <v>40</v>
      </c>
      <c r="AD76" s="185"/>
      <c r="AE76" s="185">
        <v>1465</v>
      </c>
      <c r="AF76" s="185"/>
      <c r="AG76" s="185">
        <v>581</v>
      </c>
      <c r="AH76" s="185">
        <v>0</v>
      </c>
      <c r="AI76" s="185">
        <v>0</v>
      </c>
      <c r="AJ76" s="185">
        <v>6493</v>
      </c>
      <c r="AK76" s="185">
        <v>427</v>
      </c>
      <c r="AL76" s="185">
        <v>0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3690</v>
      </c>
      <c r="AZ76" s="185"/>
      <c r="BA76" s="185">
        <v>858</v>
      </c>
      <c r="BB76" s="185">
        <v>128</v>
      </c>
      <c r="BC76" s="185"/>
      <c r="BD76" s="185"/>
      <c r="BE76" s="185">
        <v>2961</v>
      </c>
      <c r="BF76" s="185">
        <v>1051</v>
      </c>
      <c r="BG76" s="185"/>
      <c r="BH76" s="185"/>
      <c r="BI76" s="185"/>
      <c r="BJ76" s="185"/>
      <c r="BK76" s="185"/>
      <c r="BL76" s="185"/>
      <c r="BM76" s="185"/>
      <c r="BN76" s="185">
        <v>7029</v>
      </c>
      <c r="BO76" s="185"/>
      <c r="BP76" s="185"/>
      <c r="BQ76" s="185"/>
      <c r="BR76" s="185"/>
      <c r="BS76" s="185"/>
      <c r="BT76" s="185"/>
      <c r="BU76" s="185"/>
      <c r="BV76" s="185">
        <v>366</v>
      </c>
      <c r="BW76" s="185"/>
      <c r="BX76" s="185"/>
      <c r="BY76" s="185">
        <v>72</v>
      </c>
      <c r="BZ76" s="185"/>
      <c r="CA76" s="185"/>
      <c r="CB76" s="185"/>
      <c r="CC76" s="185">
        <v>165</v>
      </c>
      <c r="CD76" s="300" t="s">
        <v>221</v>
      </c>
      <c r="CE76" s="290">
        <f t="shared" si="8"/>
        <v>41043</v>
      </c>
      <c r="CF76" s="290">
        <f>BE59-CE76</f>
        <v>0</v>
      </c>
    </row>
    <row r="77" spans="1:84" ht="12.65" customHeight="1" x14ac:dyDescent="0.35">
      <c r="A77" s="297" t="s">
        <v>249</v>
      </c>
      <c r="B77" s="290"/>
      <c r="C77" s="295"/>
      <c r="D77" s="295"/>
      <c r="E77" s="295">
        <v>4457</v>
      </c>
      <c r="F77" s="295"/>
      <c r="G77" s="295"/>
      <c r="H77" s="295"/>
      <c r="I77" s="295"/>
      <c r="J77" s="295"/>
      <c r="K77" s="295"/>
      <c r="L77" s="295">
        <v>12588</v>
      </c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300" t="s">
        <v>221</v>
      </c>
      <c r="AY77" s="300" t="s">
        <v>221</v>
      </c>
      <c r="AZ77" s="295"/>
      <c r="BA77" s="295"/>
      <c r="BB77" s="295"/>
      <c r="BC77" s="295"/>
      <c r="BD77" s="300" t="s">
        <v>221</v>
      </c>
      <c r="BE77" s="300" t="s">
        <v>221</v>
      </c>
      <c r="BF77" s="295"/>
      <c r="BG77" s="300" t="s">
        <v>221</v>
      </c>
      <c r="BH77" s="295"/>
      <c r="BI77" s="295"/>
      <c r="BJ77" s="300" t="s">
        <v>221</v>
      </c>
      <c r="BK77" s="295"/>
      <c r="BL77" s="295"/>
      <c r="BM77" s="295"/>
      <c r="BN77" s="300" t="s">
        <v>221</v>
      </c>
      <c r="BO77" s="300" t="s">
        <v>221</v>
      </c>
      <c r="BP77" s="300" t="s">
        <v>221</v>
      </c>
      <c r="BQ77" s="300" t="s">
        <v>221</v>
      </c>
      <c r="BR77" s="295"/>
      <c r="BS77" s="295"/>
      <c r="BT77" s="295"/>
      <c r="BU77" s="295"/>
      <c r="BV77" s="295"/>
      <c r="BW77" s="295"/>
      <c r="BX77" s="295"/>
      <c r="BY77" s="295"/>
      <c r="BZ77" s="295"/>
      <c r="CA77" s="295"/>
      <c r="CB77" s="295"/>
      <c r="CC77" s="300" t="s">
        <v>221</v>
      </c>
      <c r="CD77" s="300" t="s">
        <v>221</v>
      </c>
      <c r="CE77" s="290">
        <f>SUM(C77:CD77)</f>
        <v>17045</v>
      </c>
      <c r="CF77" s="290">
        <f>AY59-CE77</f>
        <v>0</v>
      </c>
    </row>
    <row r="78" spans="1:84" ht="12.65" customHeight="1" x14ac:dyDescent="0.35">
      <c r="A78" s="297" t="s">
        <v>250</v>
      </c>
      <c r="B78" s="290"/>
      <c r="C78" s="295"/>
      <c r="D78" s="295"/>
      <c r="E78" s="295">
        <v>811.5</v>
      </c>
      <c r="F78" s="295"/>
      <c r="G78" s="295"/>
      <c r="H78" s="295"/>
      <c r="I78" s="295"/>
      <c r="J78" s="295"/>
      <c r="K78" s="295"/>
      <c r="L78" s="295">
        <v>571.41999999999996</v>
      </c>
      <c r="M78" s="295"/>
      <c r="N78" s="295"/>
      <c r="O78" s="295"/>
      <c r="P78" s="295">
        <v>175.33</v>
      </c>
      <c r="Q78" s="295"/>
      <c r="R78" s="295"/>
      <c r="S78" s="295"/>
      <c r="T78" s="295"/>
      <c r="U78" s="295">
        <v>76.17</v>
      </c>
      <c r="V78" s="295"/>
      <c r="W78" s="295"/>
      <c r="X78" s="295"/>
      <c r="Y78" s="295">
        <v>52.83</v>
      </c>
      <c r="Z78" s="295"/>
      <c r="AA78" s="295"/>
      <c r="AB78" s="295">
        <f>7.83+21.58</f>
        <v>29.409999999999997</v>
      </c>
      <c r="AC78" s="295">
        <v>5.08</v>
      </c>
      <c r="AD78" s="295"/>
      <c r="AE78" s="295">
        <f>20.08+7.5</f>
        <v>27.58</v>
      </c>
      <c r="AF78" s="295"/>
      <c r="AG78" s="295">
        <v>82.75</v>
      </c>
      <c r="AH78" s="295"/>
      <c r="AI78" s="295"/>
      <c r="AJ78" s="295">
        <f>2.17+7.5+30.33+53.25+10.83</f>
        <v>104.08</v>
      </c>
      <c r="AK78" s="295">
        <v>9.83</v>
      </c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>
        <v>17.420000000000002</v>
      </c>
      <c r="AW78" s="295"/>
      <c r="AX78" s="300" t="s">
        <v>221</v>
      </c>
      <c r="AY78" s="300" t="s">
        <v>221</v>
      </c>
      <c r="AZ78" s="300" t="s">
        <v>221</v>
      </c>
      <c r="BA78" s="295"/>
      <c r="BB78" s="295">
        <v>6.5</v>
      </c>
      <c r="BC78" s="295"/>
      <c r="BD78" s="300" t="s">
        <v>221</v>
      </c>
      <c r="BE78" s="300" t="s">
        <v>221</v>
      </c>
      <c r="BF78" s="300" t="s">
        <v>221</v>
      </c>
      <c r="BG78" s="300" t="s">
        <v>221</v>
      </c>
      <c r="BH78" s="295"/>
      <c r="BI78" s="295"/>
      <c r="BJ78" s="300" t="s">
        <v>221</v>
      </c>
      <c r="BK78" s="295">
        <v>51.67</v>
      </c>
      <c r="BL78" s="295">
        <v>35.83</v>
      </c>
      <c r="BM78" s="295"/>
      <c r="BN78" s="300" t="s">
        <v>221</v>
      </c>
      <c r="BO78" s="300" t="s">
        <v>221</v>
      </c>
      <c r="BP78" s="300" t="s">
        <v>221</v>
      </c>
      <c r="BQ78" s="300" t="s">
        <v>221</v>
      </c>
      <c r="BR78" s="300" t="s">
        <v>221</v>
      </c>
      <c r="BS78" s="295"/>
      <c r="BT78" s="295"/>
      <c r="BU78" s="295"/>
      <c r="BV78" s="295"/>
      <c r="BW78" s="295"/>
      <c r="BX78" s="295"/>
      <c r="BY78" s="295"/>
      <c r="BZ78" s="295"/>
      <c r="CA78" s="295"/>
      <c r="CB78" s="295"/>
      <c r="CC78" s="300" t="s">
        <v>221</v>
      </c>
      <c r="CD78" s="300" t="s">
        <v>221</v>
      </c>
      <c r="CE78" s="290">
        <f t="shared" si="8"/>
        <v>2057.4</v>
      </c>
      <c r="CF78" s="290"/>
    </row>
    <row r="79" spans="1:84" ht="12.65" customHeight="1" x14ac:dyDescent="0.35">
      <c r="A79" s="297" t="s">
        <v>251</v>
      </c>
      <c r="B79" s="290"/>
      <c r="C79" s="225"/>
      <c r="D79" s="225"/>
      <c r="E79" s="295">
        <v>6164</v>
      </c>
      <c r="F79" s="295"/>
      <c r="G79" s="295"/>
      <c r="H79" s="295"/>
      <c r="I79" s="295"/>
      <c r="J79" s="295"/>
      <c r="K79" s="295"/>
      <c r="L79" s="295">
        <v>7147</v>
      </c>
      <c r="M79" s="295"/>
      <c r="N79" s="295"/>
      <c r="O79" s="295"/>
      <c r="P79" s="295">
        <v>1189</v>
      </c>
      <c r="Q79" s="295"/>
      <c r="R79" s="295"/>
      <c r="S79" s="295"/>
      <c r="T79" s="295"/>
      <c r="U79" s="295">
        <v>20</v>
      </c>
      <c r="V79" s="295"/>
      <c r="W79" s="295"/>
      <c r="X79" s="295"/>
      <c r="Y79" s="295">
        <v>1139</v>
      </c>
      <c r="Z79" s="295"/>
      <c r="AA79" s="295"/>
      <c r="AB79" s="295"/>
      <c r="AC79" s="295"/>
      <c r="AD79" s="295"/>
      <c r="AE79" s="295">
        <v>1769</v>
      </c>
      <c r="AF79" s="295"/>
      <c r="AG79" s="295">
        <v>2545</v>
      </c>
      <c r="AH79" s="295">
        <v>361</v>
      </c>
      <c r="AI79" s="295"/>
      <c r="AJ79" s="295">
        <f>14+6+340</f>
        <v>360</v>
      </c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300" t="s">
        <v>221</v>
      </c>
      <c r="AY79" s="300" t="s">
        <v>221</v>
      </c>
      <c r="AZ79" s="300" t="s">
        <v>221</v>
      </c>
      <c r="BA79" s="300" t="s">
        <v>221</v>
      </c>
      <c r="BB79" s="295"/>
      <c r="BC79" s="295"/>
      <c r="BD79" s="300" t="s">
        <v>221</v>
      </c>
      <c r="BE79" s="300" t="s">
        <v>221</v>
      </c>
      <c r="BF79" s="300" t="s">
        <v>221</v>
      </c>
      <c r="BG79" s="300" t="s">
        <v>221</v>
      </c>
      <c r="BH79" s="295"/>
      <c r="BI79" s="295"/>
      <c r="BJ79" s="300" t="s">
        <v>221</v>
      </c>
      <c r="BK79" s="295"/>
      <c r="BL79" s="295"/>
      <c r="BM79" s="295"/>
      <c r="BN79" s="300" t="s">
        <v>221</v>
      </c>
      <c r="BO79" s="300" t="s">
        <v>221</v>
      </c>
      <c r="BP79" s="300" t="s">
        <v>221</v>
      </c>
      <c r="BQ79" s="300" t="s">
        <v>221</v>
      </c>
      <c r="BR79" s="300" t="s">
        <v>221</v>
      </c>
      <c r="BS79" s="295"/>
      <c r="BT79" s="295"/>
      <c r="BU79" s="295"/>
      <c r="BV79" s="295"/>
      <c r="BW79" s="295"/>
      <c r="BX79" s="295"/>
      <c r="BY79" s="295"/>
      <c r="BZ79" s="295"/>
      <c r="CA79" s="295"/>
      <c r="CB79" s="295"/>
      <c r="CC79" s="300" t="s">
        <v>221</v>
      </c>
      <c r="CD79" s="300" t="s">
        <v>221</v>
      </c>
      <c r="CE79" s="290">
        <f t="shared" si="8"/>
        <v>20694</v>
      </c>
      <c r="CF79" s="290">
        <f>BA59</f>
        <v>0</v>
      </c>
    </row>
    <row r="80" spans="1:84" ht="12.65" customHeight="1" x14ac:dyDescent="0.35">
      <c r="A80" s="297" t="s">
        <v>252</v>
      </c>
      <c r="B80" s="290"/>
      <c r="C80" s="187"/>
      <c r="D80" s="187"/>
      <c r="E80" s="187">
        <f>5.28+0.43+4.69</f>
        <v>10.4</v>
      </c>
      <c r="F80" s="187"/>
      <c r="G80" s="187"/>
      <c r="H80" s="187"/>
      <c r="I80" s="187"/>
      <c r="J80" s="187"/>
      <c r="K80" s="187"/>
      <c r="L80" s="187">
        <v>6.69</v>
      </c>
      <c r="M80" s="187"/>
      <c r="N80" s="187"/>
      <c r="O80" s="187"/>
      <c r="P80" s="187">
        <f>0.03+0.94</f>
        <v>0.97</v>
      </c>
      <c r="Q80" s="187">
        <f>0.01+1.58+0.23</f>
        <v>1.82</v>
      </c>
      <c r="R80" s="187">
        <v>1.62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3.16+0.49+0.12</f>
        <v>3.7700000000000005</v>
      </c>
      <c r="AH80" s="187"/>
      <c r="AI80" s="187"/>
      <c r="AJ80" s="187">
        <f>0.07+0.87+1.72+0.15+0.83+0.26+0.9+0.19</f>
        <v>4.9900000000000011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1.1499999999999999</v>
      </c>
      <c r="AW80" s="300" t="s">
        <v>221</v>
      </c>
      <c r="AX80" s="300" t="s">
        <v>221</v>
      </c>
      <c r="AY80" s="300" t="s">
        <v>221</v>
      </c>
      <c r="AZ80" s="300" t="s">
        <v>221</v>
      </c>
      <c r="BA80" s="300" t="s">
        <v>221</v>
      </c>
      <c r="BB80" s="300" t="s">
        <v>221</v>
      </c>
      <c r="BC80" s="300" t="s">
        <v>221</v>
      </c>
      <c r="BD80" s="300" t="s">
        <v>221</v>
      </c>
      <c r="BE80" s="300" t="s">
        <v>221</v>
      </c>
      <c r="BF80" s="300" t="s">
        <v>221</v>
      </c>
      <c r="BG80" s="300" t="s">
        <v>221</v>
      </c>
      <c r="BH80" s="300" t="s">
        <v>221</v>
      </c>
      <c r="BI80" s="300" t="s">
        <v>221</v>
      </c>
      <c r="BJ80" s="300" t="s">
        <v>221</v>
      </c>
      <c r="BK80" s="300" t="s">
        <v>221</v>
      </c>
      <c r="BL80" s="300" t="s">
        <v>221</v>
      </c>
      <c r="BM80" s="300" t="s">
        <v>221</v>
      </c>
      <c r="BN80" s="300" t="s">
        <v>221</v>
      </c>
      <c r="BO80" s="300" t="s">
        <v>221</v>
      </c>
      <c r="BP80" s="300" t="s">
        <v>221</v>
      </c>
      <c r="BQ80" s="300" t="s">
        <v>221</v>
      </c>
      <c r="BR80" s="300" t="s">
        <v>221</v>
      </c>
      <c r="BS80" s="300" t="s">
        <v>221</v>
      </c>
      <c r="BT80" s="300" t="s">
        <v>221</v>
      </c>
      <c r="BU80" s="304"/>
      <c r="BV80" s="304"/>
      <c r="BW80" s="304"/>
      <c r="BX80" s="304"/>
      <c r="BY80" s="304"/>
      <c r="BZ80" s="304"/>
      <c r="CA80" s="304"/>
      <c r="CB80" s="304"/>
      <c r="CC80" s="300" t="s">
        <v>221</v>
      </c>
      <c r="CD80" s="300" t="s">
        <v>221</v>
      </c>
      <c r="CE80" s="305">
        <f t="shared" si="8"/>
        <v>31.41</v>
      </c>
      <c r="CF80" s="305"/>
    </row>
    <row r="81" spans="1:84" ht="21" customHeight="1" x14ac:dyDescent="0.35">
      <c r="A81" s="306" t="s">
        <v>253</v>
      </c>
      <c r="B81" s="306"/>
      <c r="C81" s="306"/>
      <c r="D81" s="306"/>
      <c r="E81" s="30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297" t="s">
        <v>254</v>
      </c>
      <c r="B82" s="307"/>
      <c r="C82" s="308" t="s">
        <v>1268</v>
      </c>
      <c r="D82" s="309"/>
      <c r="E82" s="29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0" t="s">
        <v>255</v>
      </c>
      <c r="B83" s="307" t="s">
        <v>256</v>
      </c>
      <c r="C83" s="310" t="s">
        <v>1269</v>
      </c>
      <c r="D83" s="309"/>
      <c r="E83" s="29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0" t="s">
        <v>257</v>
      </c>
      <c r="B84" s="307" t="s">
        <v>256</v>
      </c>
      <c r="C84" s="205" t="s">
        <v>1270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0" t="s">
        <v>1250</v>
      </c>
      <c r="B85" s="307"/>
      <c r="C85" s="205" t="s">
        <v>1271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0" t="s">
        <v>1251</v>
      </c>
      <c r="B86" s="307" t="s">
        <v>256</v>
      </c>
      <c r="C86" s="205"/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0" t="s">
        <v>258</v>
      </c>
      <c r="B87" s="307" t="s">
        <v>256</v>
      </c>
      <c r="C87" s="205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0" t="s">
        <v>259</v>
      </c>
      <c r="B88" s="307" t="s">
        <v>256</v>
      </c>
      <c r="C88" s="205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0" t="s">
        <v>260</v>
      </c>
      <c r="B89" s="307" t="s">
        <v>256</v>
      </c>
      <c r="C89" s="205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0" t="s">
        <v>261</v>
      </c>
      <c r="B90" s="307" t="s">
        <v>256</v>
      </c>
      <c r="C90" s="205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0" t="s">
        <v>262</v>
      </c>
      <c r="B91" s="307" t="s">
        <v>256</v>
      </c>
      <c r="C91" s="205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0" t="s">
        <v>263</v>
      </c>
      <c r="B92" s="307" t="s">
        <v>256</v>
      </c>
      <c r="C92" s="205" t="s">
        <v>1277</v>
      </c>
      <c r="D92" s="309"/>
      <c r="E92" s="29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0" t="s">
        <v>264</v>
      </c>
      <c r="B93" s="307" t="s">
        <v>256</v>
      </c>
      <c r="C93" s="205" t="s">
        <v>1278</v>
      </c>
      <c r="D93" s="309"/>
      <c r="E93" s="29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0"/>
      <c r="B94" s="290"/>
      <c r="C94" s="298"/>
      <c r="D94" s="290"/>
      <c r="E94" s="29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06" t="s">
        <v>265</v>
      </c>
      <c r="B95" s="306"/>
      <c r="C95" s="306"/>
      <c r="D95" s="306"/>
      <c r="E95" s="30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1" t="s">
        <v>266</v>
      </c>
      <c r="B96" s="311"/>
      <c r="C96" s="311"/>
      <c r="D96" s="311"/>
      <c r="E96" s="3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0" t="s">
        <v>267</v>
      </c>
      <c r="B97" s="307" t="s">
        <v>256</v>
      </c>
      <c r="C97" s="189"/>
      <c r="D97" s="290"/>
      <c r="E97" s="29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0" t="s">
        <v>259</v>
      </c>
      <c r="B98" s="307" t="s">
        <v>256</v>
      </c>
      <c r="C98" s="189"/>
      <c r="D98" s="290"/>
      <c r="E98" s="290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0" t="s">
        <v>268</v>
      </c>
      <c r="B99" s="307" t="s">
        <v>256</v>
      </c>
      <c r="C99" s="189">
        <v>1</v>
      </c>
      <c r="D99" s="290"/>
      <c r="E99" s="290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1" t="s">
        <v>269</v>
      </c>
      <c r="B100" s="311"/>
      <c r="C100" s="311"/>
      <c r="D100" s="311"/>
      <c r="E100" s="3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0" t="s">
        <v>270</v>
      </c>
      <c r="B101" s="307" t="s">
        <v>256</v>
      </c>
      <c r="C101" s="189"/>
      <c r="D101" s="290"/>
      <c r="E101" s="29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0" t="s">
        <v>132</v>
      </c>
      <c r="B102" s="307" t="s">
        <v>256</v>
      </c>
      <c r="C102" s="222"/>
      <c r="D102" s="290"/>
      <c r="E102" s="29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1" t="s">
        <v>271</v>
      </c>
      <c r="B103" s="311"/>
      <c r="C103" s="311"/>
      <c r="D103" s="311"/>
      <c r="E103" s="3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0" t="s">
        <v>272</v>
      </c>
      <c r="B104" s="307" t="s">
        <v>256</v>
      </c>
      <c r="C104" s="189"/>
      <c r="D104" s="290"/>
      <c r="E104" s="29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0" t="s">
        <v>273</v>
      </c>
      <c r="B105" s="307" t="s">
        <v>256</v>
      </c>
      <c r="C105" s="189"/>
      <c r="D105" s="290"/>
      <c r="E105" s="29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0" t="s">
        <v>274</v>
      </c>
      <c r="B106" s="307" t="s">
        <v>256</v>
      </c>
      <c r="C106" s="189"/>
      <c r="D106" s="290"/>
      <c r="E106" s="29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0"/>
      <c r="B107" s="307"/>
      <c r="C107" s="312"/>
      <c r="D107" s="290"/>
      <c r="E107" s="29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3" t="s">
        <v>275</v>
      </c>
      <c r="B108" s="306"/>
      <c r="C108" s="306"/>
      <c r="D108" s="306"/>
      <c r="E108" s="30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0"/>
      <c r="B109" s="307"/>
      <c r="C109" s="312"/>
      <c r="D109" s="290"/>
      <c r="E109" s="29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297" t="s">
        <v>276</v>
      </c>
      <c r="B110" s="290"/>
      <c r="C110" s="291" t="s">
        <v>277</v>
      </c>
      <c r="D110" s="292" t="s">
        <v>215</v>
      </c>
      <c r="E110" s="29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0" t="s">
        <v>278</v>
      </c>
      <c r="B111" s="307" t="s">
        <v>256</v>
      </c>
      <c r="C111" s="189">
        <v>344</v>
      </c>
      <c r="D111" s="174">
        <v>1201</v>
      </c>
      <c r="E111" s="29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0" t="s">
        <v>279</v>
      </c>
      <c r="B112" s="307" t="s">
        <v>256</v>
      </c>
      <c r="C112" s="189">
        <v>119</v>
      </c>
      <c r="D112" s="174">
        <v>4542</v>
      </c>
      <c r="E112" s="290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0" t="s">
        <v>280</v>
      </c>
      <c r="B113" s="307" t="s">
        <v>256</v>
      </c>
      <c r="C113" s="189"/>
      <c r="D113" s="174"/>
      <c r="E113" s="290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0" t="s">
        <v>281</v>
      </c>
      <c r="B114" s="307" t="s">
        <v>256</v>
      </c>
      <c r="C114" s="189"/>
      <c r="D114" s="174"/>
      <c r="E114" s="29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297" t="s">
        <v>282</v>
      </c>
      <c r="B115" s="290"/>
      <c r="C115" s="291" t="s">
        <v>167</v>
      </c>
      <c r="D115" s="290"/>
      <c r="E115" s="29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0" t="s">
        <v>283</v>
      </c>
      <c r="B116" s="307" t="s">
        <v>256</v>
      </c>
      <c r="C116" s="189"/>
      <c r="D116" s="290"/>
      <c r="E116" s="29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0" t="s">
        <v>284</v>
      </c>
      <c r="B117" s="307" t="s">
        <v>256</v>
      </c>
      <c r="C117" s="189"/>
      <c r="D117" s="290"/>
      <c r="E117" s="29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0" t="s">
        <v>1238</v>
      </c>
      <c r="B118" s="307" t="s">
        <v>256</v>
      </c>
      <c r="C118" s="189">
        <v>25</v>
      </c>
      <c r="D118" s="290"/>
      <c r="E118" s="29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0" t="s">
        <v>285</v>
      </c>
      <c r="B119" s="307" t="s">
        <v>256</v>
      </c>
      <c r="C119" s="189"/>
      <c r="D119" s="290"/>
      <c r="E119" s="29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0" t="s">
        <v>286</v>
      </c>
      <c r="B120" s="307" t="s">
        <v>256</v>
      </c>
      <c r="C120" s="189"/>
      <c r="D120" s="290"/>
      <c r="E120" s="29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0" t="s">
        <v>287</v>
      </c>
      <c r="B121" s="307" t="s">
        <v>256</v>
      </c>
      <c r="C121" s="189"/>
      <c r="D121" s="290"/>
      <c r="E121" s="29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0" t="s">
        <v>97</v>
      </c>
      <c r="B122" s="307" t="s">
        <v>256</v>
      </c>
      <c r="C122" s="189"/>
      <c r="D122" s="290"/>
      <c r="E122" s="29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0" t="s">
        <v>288</v>
      </c>
      <c r="B123" s="307" t="s">
        <v>256</v>
      </c>
      <c r="C123" s="189"/>
      <c r="D123" s="290"/>
      <c r="E123" s="29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0" t="s">
        <v>289</v>
      </c>
      <c r="B124" s="307"/>
      <c r="C124" s="189"/>
      <c r="D124" s="290"/>
      <c r="E124" s="29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0" t="s">
        <v>280</v>
      </c>
      <c r="B125" s="307" t="s">
        <v>256</v>
      </c>
      <c r="C125" s="189"/>
      <c r="D125" s="290"/>
      <c r="E125" s="29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0" t="s">
        <v>290</v>
      </c>
      <c r="B126" s="307" t="s">
        <v>256</v>
      </c>
      <c r="C126" s="189"/>
      <c r="D126" s="290"/>
      <c r="E126" s="29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0" t="s">
        <v>291</v>
      </c>
      <c r="B127" s="290"/>
      <c r="C127" s="298"/>
      <c r="D127" s="290"/>
      <c r="E127" s="290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0" t="s">
        <v>292</v>
      </c>
      <c r="B128" s="307" t="s">
        <v>256</v>
      </c>
      <c r="C128" s="189"/>
      <c r="D128" s="290"/>
      <c r="E128" s="29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0" t="s">
        <v>293</v>
      </c>
      <c r="B129" s="307" t="s">
        <v>256</v>
      </c>
      <c r="C129" s="189"/>
      <c r="D129" s="290"/>
      <c r="E129" s="29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0"/>
      <c r="B130" s="290"/>
      <c r="C130" s="298"/>
      <c r="D130" s="290"/>
      <c r="E130" s="29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0" t="s">
        <v>294</v>
      </c>
      <c r="B131" s="307" t="s">
        <v>256</v>
      </c>
      <c r="C131" s="189"/>
      <c r="D131" s="290"/>
      <c r="E131" s="29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0"/>
      <c r="B132" s="290"/>
      <c r="C132" s="298"/>
      <c r="D132" s="290"/>
      <c r="E132" s="29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0"/>
      <c r="B133" s="290"/>
      <c r="C133" s="298"/>
      <c r="D133" s="290"/>
      <c r="E133" s="29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0"/>
      <c r="B134" s="290"/>
      <c r="C134" s="298"/>
      <c r="D134" s="290"/>
      <c r="E134" s="29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0"/>
      <c r="B135" s="290"/>
      <c r="C135" s="298"/>
      <c r="D135" s="290"/>
      <c r="E135" s="29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06" t="s">
        <v>1239</v>
      </c>
      <c r="B136" s="313"/>
      <c r="C136" s="313"/>
      <c r="D136" s="313"/>
      <c r="E136" s="31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4" t="s">
        <v>295</v>
      </c>
      <c r="B137" s="315" t="s">
        <v>296</v>
      </c>
      <c r="C137" s="316" t="s">
        <v>297</v>
      </c>
      <c r="D137" s="315" t="s">
        <v>132</v>
      </c>
      <c r="E137" s="315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0" t="s">
        <v>277</v>
      </c>
      <c r="B138" s="174">
        <f>249+8</f>
        <v>257</v>
      </c>
      <c r="C138" s="189">
        <f>44</f>
        <v>44</v>
      </c>
      <c r="D138" s="174">
        <v>43</v>
      </c>
      <c r="E138" s="290">
        <f>SUM(B138:D138)</f>
        <v>344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0" t="s">
        <v>215</v>
      </c>
      <c r="B139" s="174">
        <f>881+24+10</f>
        <v>915</v>
      </c>
      <c r="C139" s="189">
        <f>120+12</f>
        <v>132</v>
      </c>
      <c r="D139" s="174">
        <f>150+4</f>
        <v>154</v>
      </c>
      <c r="E139" s="290">
        <f>SUM(B139:D139)</f>
        <v>1201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0" t="s">
        <v>298</v>
      </c>
      <c r="B140" s="174"/>
      <c r="C140" s="174"/>
      <c r="D140" s="174"/>
      <c r="E140" s="290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0" t="s">
        <v>245</v>
      </c>
      <c r="B141" s="174">
        <v>2885272</v>
      </c>
      <c r="C141" s="189">
        <v>1188053</v>
      </c>
      <c r="D141" s="174">
        <v>1584072</v>
      </c>
      <c r="E141" s="290">
        <f>SUM(B141:D141)</f>
        <v>5657397</v>
      </c>
      <c r="F141" s="317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0" t="s">
        <v>246</v>
      </c>
      <c r="B142" s="174">
        <v>13274003</v>
      </c>
      <c r="C142" s="189">
        <v>5465766</v>
      </c>
      <c r="D142" s="174">
        <v>7190834</v>
      </c>
      <c r="E142" s="290">
        <f>SUM(B142:D142)</f>
        <v>25930603</v>
      </c>
      <c r="F142" s="317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4" t="s">
        <v>299</v>
      </c>
      <c r="B143" s="315"/>
      <c r="C143" s="316" t="s">
        <v>297</v>
      </c>
      <c r="D143" s="315" t="s">
        <v>132</v>
      </c>
      <c r="E143" s="315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0" t="s">
        <v>277</v>
      </c>
      <c r="B144" s="174">
        <f>93</f>
        <v>93</v>
      </c>
      <c r="C144" s="189">
        <v>11</v>
      </c>
      <c r="D144" s="174">
        <v>15</v>
      </c>
      <c r="E144" s="290">
        <f>SUM(B144:D144)</f>
        <v>119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0" t="s">
        <v>215</v>
      </c>
      <c r="B145" s="174">
        <f>322+5+859+17</f>
        <v>1203</v>
      </c>
      <c r="C145" s="189">
        <f>0+7+1757</f>
        <v>1764</v>
      </c>
      <c r="D145" s="174">
        <f>24+1551</f>
        <v>1575</v>
      </c>
      <c r="E145" s="290">
        <f>SUM(B145:D145)</f>
        <v>4542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0" t="s">
        <v>298</v>
      </c>
      <c r="B146" s="174"/>
      <c r="C146" s="189"/>
      <c r="D146" s="174"/>
      <c r="E146" s="290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0" t="s">
        <v>245</v>
      </c>
      <c r="B147" s="174">
        <v>876018</v>
      </c>
      <c r="C147" s="189">
        <v>360713</v>
      </c>
      <c r="D147" s="174">
        <v>502745</v>
      </c>
      <c r="E147" s="290">
        <f>SUM(B147:D147)</f>
        <v>1739476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0" t="s">
        <v>246</v>
      </c>
      <c r="B148" s="174"/>
      <c r="C148" s="189"/>
      <c r="D148" s="174"/>
      <c r="E148" s="290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4" t="s">
        <v>300</v>
      </c>
      <c r="B149" s="315" t="s">
        <v>296</v>
      </c>
      <c r="C149" s="316" t="s">
        <v>297</v>
      </c>
      <c r="D149" s="315" t="s">
        <v>132</v>
      </c>
      <c r="E149" s="315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0" t="s">
        <v>277</v>
      </c>
      <c r="B150" s="174"/>
      <c r="C150" s="189"/>
      <c r="D150" s="174"/>
      <c r="E150" s="290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0" t="s">
        <v>215</v>
      </c>
      <c r="B151" s="174"/>
      <c r="C151" s="189"/>
      <c r="D151" s="174"/>
      <c r="E151" s="290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0" t="s">
        <v>298</v>
      </c>
      <c r="B152" s="174"/>
      <c r="C152" s="189"/>
      <c r="D152" s="174"/>
      <c r="E152" s="290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0" t="s">
        <v>245</v>
      </c>
      <c r="B153" s="174"/>
      <c r="C153" s="189"/>
      <c r="D153" s="174"/>
      <c r="E153" s="290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0" t="s">
        <v>246</v>
      </c>
      <c r="B154" s="174"/>
      <c r="C154" s="189"/>
      <c r="D154" s="174"/>
      <c r="E154" s="290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296"/>
      <c r="B155" s="296"/>
      <c r="C155" s="318"/>
      <c r="D155" s="319"/>
      <c r="E155" s="29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4" t="s">
        <v>301</v>
      </c>
      <c r="B156" s="315" t="s">
        <v>302</v>
      </c>
      <c r="C156" s="316" t="s">
        <v>303</v>
      </c>
      <c r="D156" s="290"/>
      <c r="E156" s="29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296" t="s">
        <v>304</v>
      </c>
      <c r="B157" s="174"/>
      <c r="C157" s="174"/>
      <c r="D157" s="290"/>
      <c r="E157" s="29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296"/>
      <c r="B158" s="319"/>
      <c r="C158" s="318"/>
      <c r="D158" s="290"/>
      <c r="E158" s="29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296"/>
      <c r="B159" s="296"/>
      <c r="C159" s="318"/>
      <c r="D159" s="319"/>
      <c r="E159" s="29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296"/>
      <c r="B160" s="296"/>
      <c r="C160" s="318"/>
      <c r="D160" s="319"/>
      <c r="E160" s="29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296"/>
      <c r="B161" s="296"/>
      <c r="C161" s="318"/>
      <c r="D161" s="319"/>
      <c r="E161" s="29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296"/>
      <c r="B162" s="296"/>
      <c r="C162" s="318"/>
      <c r="D162" s="319"/>
      <c r="E162" s="29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3" t="s">
        <v>305</v>
      </c>
      <c r="B163" s="306"/>
      <c r="C163" s="306"/>
      <c r="D163" s="306"/>
      <c r="E163" s="30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1" t="s">
        <v>306</v>
      </c>
      <c r="B164" s="311"/>
      <c r="C164" s="311"/>
      <c r="D164" s="311"/>
      <c r="E164" s="31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0" t="s">
        <v>307</v>
      </c>
      <c r="B165" s="307" t="s">
        <v>256</v>
      </c>
      <c r="C165" s="189">
        <v>920578.27</v>
      </c>
      <c r="D165" s="290"/>
      <c r="E165" s="29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0" t="s">
        <v>308</v>
      </c>
      <c r="B166" s="307" t="s">
        <v>256</v>
      </c>
      <c r="C166" s="189">
        <v>50815.72</v>
      </c>
      <c r="D166" s="290"/>
      <c r="E166" s="29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296" t="s">
        <v>309</v>
      </c>
      <c r="B167" s="307" t="s">
        <v>256</v>
      </c>
      <c r="C167" s="189">
        <v>228204.86</v>
      </c>
      <c r="D167" s="290"/>
      <c r="E167" s="29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0" t="s">
        <v>310</v>
      </c>
      <c r="B168" s="307" t="s">
        <v>256</v>
      </c>
      <c r="C168" s="189">
        <v>1948747.8</v>
      </c>
      <c r="D168" s="290"/>
      <c r="E168" s="29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0" t="s">
        <v>311</v>
      </c>
      <c r="B169" s="307" t="s">
        <v>256</v>
      </c>
      <c r="C169" s="189"/>
      <c r="D169" s="290"/>
      <c r="E169" s="29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0" t="s">
        <v>312</v>
      </c>
      <c r="B170" s="307" t="s">
        <v>256</v>
      </c>
      <c r="C170" s="189">
        <v>366584.41</v>
      </c>
      <c r="D170" s="290"/>
      <c r="E170" s="29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0" t="s">
        <v>313</v>
      </c>
      <c r="B171" s="307" t="s">
        <v>256</v>
      </c>
      <c r="C171" s="189">
        <f>249672.07-4927</f>
        <v>244745.07</v>
      </c>
      <c r="D171" s="290"/>
      <c r="E171" s="29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0" t="s">
        <v>313</v>
      </c>
      <c r="B172" s="307" t="s">
        <v>256</v>
      </c>
      <c r="C172" s="189">
        <v>6662.53</v>
      </c>
      <c r="D172" s="290"/>
      <c r="E172" s="29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0" t="s">
        <v>203</v>
      </c>
      <c r="B173" s="290"/>
      <c r="C173" s="298"/>
      <c r="D173" s="290">
        <f>SUM(C165:C172)</f>
        <v>3766338.66</v>
      </c>
      <c r="E173" s="29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1" t="s">
        <v>314</v>
      </c>
      <c r="B174" s="311"/>
      <c r="C174" s="311"/>
      <c r="D174" s="311"/>
      <c r="E174" s="31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0" t="s">
        <v>315</v>
      </c>
      <c r="B175" s="307" t="s">
        <v>256</v>
      </c>
      <c r="C175" s="189">
        <f>168181.7+27300</f>
        <v>195481.7</v>
      </c>
      <c r="D175" s="290"/>
      <c r="E175" s="29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0" t="s">
        <v>316</v>
      </c>
      <c r="B176" s="307" t="s">
        <v>256</v>
      </c>
      <c r="C176" s="189">
        <v>92712.960000000006</v>
      </c>
      <c r="D176" s="290"/>
      <c r="E176" s="29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0" t="s">
        <v>203</v>
      </c>
      <c r="B177" s="290"/>
      <c r="C177" s="298"/>
      <c r="D177" s="290">
        <f>SUM(C175:C176)</f>
        <v>288194.66000000003</v>
      </c>
      <c r="E177" s="29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1" t="s">
        <v>317</v>
      </c>
      <c r="B178" s="311"/>
      <c r="C178" s="311"/>
      <c r="D178" s="311"/>
      <c r="E178" s="31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0" t="s">
        <v>318</v>
      </c>
      <c r="B179" s="307" t="s">
        <v>256</v>
      </c>
      <c r="C179" s="189">
        <v>142869</v>
      </c>
      <c r="D179" s="290"/>
      <c r="E179" s="29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0" t="s">
        <v>319</v>
      </c>
      <c r="B180" s="307" t="s">
        <v>256</v>
      </c>
      <c r="C180" s="189">
        <v>33718</v>
      </c>
      <c r="D180" s="290"/>
      <c r="E180" s="29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0" t="s">
        <v>203</v>
      </c>
      <c r="B181" s="290"/>
      <c r="C181" s="298"/>
      <c r="D181" s="290">
        <f>SUM(C179:C180)</f>
        <v>176587</v>
      </c>
      <c r="E181" s="29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1" t="s">
        <v>320</v>
      </c>
      <c r="B182" s="311"/>
      <c r="C182" s="311"/>
      <c r="D182" s="311"/>
      <c r="E182" s="31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0" t="s">
        <v>321</v>
      </c>
      <c r="B183" s="307" t="s">
        <v>256</v>
      </c>
      <c r="C183" s="189">
        <v>31488.48</v>
      </c>
      <c r="D183" s="290"/>
      <c r="E183" s="29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0" t="s">
        <v>322</v>
      </c>
      <c r="B184" s="307" t="s">
        <v>256</v>
      </c>
      <c r="C184" s="189">
        <v>124655</v>
      </c>
      <c r="D184" s="290"/>
      <c r="E184" s="29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0" t="s">
        <v>132</v>
      </c>
      <c r="B185" s="307" t="s">
        <v>256</v>
      </c>
      <c r="C185" s="189"/>
      <c r="D185" s="290"/>
      <c r="E185" s="29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0" t="s">
        <v>203</v>
      </c>
      <c r="B186" s="290"/>
      <c r="C186" s="298"/>
      <c r="D186" s="290">
        <f>SUM(C183:C185)</f>
        <v>156143.48000000001</v>
      </c>
      <c r="E186" s="29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1" t="s">
        <v>323</v>
      </c>
      <c r="B187" s="311"/>
      <c r="C187" s="311"/>
      <c r="D187" s="311"/>
      <c r="E187" s="31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0" t="s">
        <v>324</v>
      </c>
      <c r="B188" s="307" t="s">
        <v>256</v>
      </c>
      <c r="C188" s="189">
        <v>40245</v>
      </c>
      <c r="D188" s="290"/>
      <c r="E188" s="29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0" t="s">
        <v>325</v>
      </c>
      <c r="B189" s="307" t="s">
        <v>256</v>
      </c>
      <c r="C189" s="189"/>
      <c r="D189" s="290"/>
      <c r="E189" s="29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0" t="s">
        <v>203</v>
      </c>
      <c r="B190" s="290"/>
      <c r="C190" s="298"/>
      <c r="D190" s="290">
        <f>SUM(C188:C189)</f>
        <v>40245</v>
      </c>
      <c r="E190" s="29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0"/>
      <c r="B191" s="290"/>
      <c r="C191" s="298"/>
      <c r="D191" s="290"/>
      <c r="E191" s="29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06" t="s">
        <v>326</v>
      </c>
      <c r="B192" s="306"/>
      <c r="C192" s="306"/>
      <c r="D192" s="306"/>
      <c r="E192" s="30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3" t="s">
        <v>327</v>
      </c>
      <c r="B193" s="306"/>
      <c r="C193" s="306"/>
      <c r="D193" s="306"/>
      <c r="E193" s="30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297"/>
      <c r="B194" s="292" t="s">
        <v>328</v>
      </c>
      <c r="C194" s="291" t="s">
        <v>329</v>
      </c>
      <c r="D194" s="292" t="s">
        <v>330</v>
      </c>
      <c r="E194" s="292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0" t="s">
        <v>332</v>
      </c>
      <c r="B195" s="174">
        <f>157564+461550</f>
        <v>619114</v>
      </c>
      <c r="C195" s="189">
        <v>0</v>
      </c>
      <c r="D195" s="174"/>
      <c r="E195" s="290">
        <f t="shared" ref="E195:E203" si="10">SUM(B195:C195)-D195</f>
        <v>619114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0" t="s">
        <v>333</v>
      </c>
      <c r="B196" s="174">
        <v>324429</v>
      </c>
      <c r="C196" s="189"/>
      <c r="D196" s="174"/>
      <c r="E196" s="290">
        <f t="shared" si="10"/>
        <v>324429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0" t="s">
        <v>334</v>
      </c>
      <c r="B197" s="174">
        <v>4841530</v>
      </c>
      <c r="C197" s="189">
        <v>21353</v>
      </c>
      <c r="D197" s="174"/>
      <c r="E197" s="290">
        <f t="shared" si="10"/>
        <v>4862883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0" t="s">
        <v>335</v>
      </c>
      <c r="B198" s="174"/>
      <c r="C198" s="189"/>
      <c r="D198" s="174"/>
      <c r="E198" s="290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0" t="s">
        <v>336</v>
      </c>
      <c r="B199" s="174">
        <v>4966369</v>
      </c>
      <c r="C199" s="189">
        <v>257307</v>
      </c>
      <c r="D199" s="174"/>
      <c r="E199" s="290">
        <f t="shared" si="10"/>
        <v>5223676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0" t="s">
        <v>337</v>
      </c>
      <c r="B200" s="174">
        <v>6099384</v>
      </c>
      <c r="C200" s="189">
        <v>145872</v>
      </c>
      <c r="D200" s="174"/>
      <c r="E200" s="290">
        <f t="shared" si="10"/>
        <v>6245256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0" t="s">
        <v>338</v>
      </c>
      <c r="B201" s="174"/>
      <c r="C201" s="189"/>
      <c r="D201" s="174"/>
      <c r="E201" s="290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0" t="s">
        <v>339</v>
      </c>
      <c r="B202" s="174"/>
      <c r="C202" s="189"/>
      <c r="D202" s="174"/>
      <c r="E202" s="290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0" t="s">
        <v>340</v>
      </c>
      <c r="B203" s="174">
        <v>45258</v>
      </c>
      <c r="C203" s="189">
        <v>288226</v>
      </c>
      <c r="D203" s="174"/>
      <c r="E203" s="290">
        <f t="shared" si="10"/>
        <v>333484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0" t="s">
        <v>203</v>
      </c>
      <c r="B204" s="290">
        <f>SUM(B195:B203)</f>
        <v>16896084</v>
      </c>
      <c r="C204" s="298">
        <f>SUM(C195:C203)</f>
        <v>712758</v>
      </c>
      <c r="D204" s="290">
        <f>SUM(D195:D203)</f>
        <v>0</v>
      </c>
      <c r="E204" s="290">
        <f>SUM(E195:E203)</f>
        <v>17608842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0"/>
      <c r="B205" s="290"/>
      <c r="C205" s="298"/>
      <c r="D205" s="290"/>
      <c r="E205" s="29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3" t="s">
        <v>341</v>
      </c>
      <c r="B206" s="313"/>
      <c r="C206" s="313"/>
      <c r="D206" s="313"/>
      <c r="E206" s="31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297"/>
      <c r="B207" s="292" t="s">
        <v>328</v>
      </c>
      <c r="C207" s="291" t="s">
        <v>329</v>
      </c>
      <c r="D207" s="292" t="s">
        <v>330</v>
      </c>
      <c r="E207" s="292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0" t="s">
        <v>332</v>
      </c>
      <c r="B208" s="319"/>
      <c r="C208" s="318"/>
      <c r="D208" s="319"/>
      <c r="E208" s="290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0" t="s">
        <v>333</v>
      </c>
      <c r="B209" s="174">
        <v>296749</v>
      </c>
      <c r="C209" s="189">
        <v>3649</v>
      </c>
      <c r="D209" s="174"/>
      <c r="E209" s="290">
        <f t="shared" ref="E209:E216" si="11">SUM(B209:C209)-D209</f>
        <v>300398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0" t="s">
        <v>334</v>
      </c>
      <c r="B210" s="174">
        <v>3760604</v>
      </c>
      <c r="C210" s="189">
        <v>138392</v>
      </c>
      <c r="D210" s="174"/>
      <c r="E210" s="290">
        <f t="shared" si="11"/>
        <v>3898996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0" t="s">
        <v>335</v>
      </c>
      <c r="B211" s="174"/>
      <c r="C211" s="189"/>
      <c r="D211" s="174"/>
      <c r="E211" s="290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0" t="s">
        <v>336</v>
      </c>
      <c r="B212" s="174">
        <v>4585039</v>
      </c>
      <c r="C212" s="189">
        <v>79737</v>
      </c>
      <c r="D212" s="174"/>
      <c r="E212" s="290">
        <f t="shared" si="11"/>
        <v>4664776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0" t="s">
        <v>337</v>
      </c>
      <c r="B213" s="174">
        <v>5352171</v>
      </c>
      <c r="C213" s="189">
        <v>237737</v>
      </c>
      <c r="D213" s="174"/>
      <c r="E213" s="290">
        <f t="shared" si="11"/>
        <v>5589908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0" t="s">
        <v>338</v>
      </c>
      <c r="B214" s="174"/>
      <c r="C214" s="189"/>
      <c r="D214" s="174"/>
      <c r="E214" s="290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0" t="s">
        <v>339</v>
      </c>
      <c r="B215" s="174"/>
      <c r="C215" s="189"/>
      <c r="D215" s="174"/>
      <c r="E215" s="290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0" t="s">
        <v>340</v>
      </c>
      <c r="B216" s="174"/>
      <c r="C216" s="189"/>
      <c r="D216" s="174"/>
      <c r="E216" s="290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0" t="s">
        <v>203</v>
      </c>
      <c r="B217" s="290">
        <f>SUM(B208:B216)</f>
        <v>13994563</v>
      </c>
      <c r="C217" s="298">
        <f>SUM(C208:C216)</f>
        <v>459515</v>
      </c>
      <c r="D217" s="290">
        <f>SUM(D208:D216)</f>
        <v>0</v>
      </c>
      <c r="E217" s="290">
        <f>SUM(E208:E216)</f>
        <v>14454078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0"/>
      <c r="B218" s="290"/>
      <c r="C218" s="298"/>
      <c r="D218" s="290"/>
      <c r="E218" s="29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06" t="s">
        <v>342</v>
      </c>
      <c r="B219" s="306"/>
      <c r="C219" s="306"/>
      <c r="D219" s="306"/>
      <c r="E219" s="30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06"/>
      <c r="B220" s="336" t="s">
        <v>1254</v>
      </c>
      <c r="C220" s="336"/>
      <c r="D220" s="306"/>
      <c r="E220" s="30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0" t="s">
        <v>1254</v>
      </c>
      <c r="B221" s="306"/>
      <c r="C221" s="189">
        <v>608125</v>
      </c>
      <c r="D221" s="307">
        <f>C221</f>
        <v>608125</v>
      </c>
      <c r="E221" s="30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1" t="s">
        <v>343</v>
      </c>
      <c r="B222" s="311"/>
      <c r="C222" s="311"/>
      <c r="D222" s="311"/>
      <c r="E222" s="31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0" t="s">
        <v>344</v>
      </c>
      <c r="B223" s="307" t="s">
        <v>256</v>
      </c>
      <c r="C223" s="189">
        <v>2387069</v>
      </c>
      <c r="D223" s="290"/>
      <c r="E223" s="29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0" t="s">
        <v>345</v>
      </c>
      <c r="B224" s="307" t="s">
        <v>256</v>
      </c>
      <c r="C224" s="189">
        <v>2362796.2599999998</v>
      </c>
      <c r="D224" s="290"/>
      <c r="E224" s="29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0" t="s">
        <v>346</v>
      </c>
      <c r="B225" s="307" t="s">
        <v>256</v>
      </c>
      <c r="C225" s="189"/>
      <c r="D225" s="290"/>
      <c r="E225" s="29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0" t="s">
        <v>347</v>
      </c>
      <c r="B226" s="307" t="s">
        <v>256</v>
      </c>
      <c r="C226" s="189"/>
      <c r="D226" s="290"/>
      <c r="E226" s="29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0" t="s">
        <v>348</v>
      </c>
      <c r="B227" s="307" t="s">
        <v>256</v>
      </c>
      <c r="C227" s="189"/>
      <c r="D227" s="290"/>
      <c r="E227" s="29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0" t="s">
        <v>349</v>
      </c>
      <c r="B228" s="307" t="s">
        <v>256</v>
      </c>
      <c r="C228" s="189">
        <v>2379028</v>
      </c>
      <c r="D228" s="290"/>
      <c r="E228" s="29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0" t="s">
        <v>350</v>
      </c>
      <c r="B229" s="290"/>
      <c r="C229" s="298"/>
      <c r="D229" s="290">
        <f>SUM(C223:C228)</f>
        <v>7128893.2599999998</v>
      </c>
      <c r="E229" s="29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1" t="s">
        <v>351</v>
      </c>
      <c r="B230" s="311"/>
      <c r="C230" s="311"/>
      <c r="D230" s="311"/>
      <c r="E230" s="31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297" t="s">
        <v>352</v>
      </c>
      <c r="B231" s="307" t="s">
        <v>256</v>
      </c>
      <c r="C231" s="189"/>
      <c r="D231" s="290"/>
      <c r="E231" s="29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297"/>
      <c r="B232" s="307"/>
      <c r="C232" s="298"/>
      <c r="D232" s="290"/>
      <c r="E232" s="29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297" t="s">
        <v>353</v>
      </c>
      <c r="B233" s="307" t="s">
        <v>256</v>
      </c>
      <c r="C233" s="189"/>
      <c r="D233" s="290"/>
      <c r="E233" s="29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297" t="s">
        <v>354</v>
      </c>
      <c r="B234" s="307" t="s">
        <v>256</v>
      </c>
      <c r="C234" s="189">
        <v>187537</v>
      </c>
      <c r="D234" s="290"/>
      <c r="E234" s="29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0"/>
      <c r="B235" s="290"/>
      <c r="C235" s="298"/>
      <c r="D235" s="290"/>
      <c r="E235" s="29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297" t="s">
        <v>355</v>
      </c>
      <c r="B236" s="290"/>
      <c r="C236" s="298"/>
      <c r="D236" s="290">
        <f>SUM(C233:C235)</f>
        <v>187537</v>
      </c>
      <c r="E236" s="29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1" t="s">
        <v>356</v>
      </c>
      <c r="B237" s="311"/>
      <c r="C237" s="311"/>
      <c r="D237" s="311"/>
      <c r="E237" s="31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0" t="s">
        <v>357</v>
      </c>
      <c r="B238" s="307" t="s">
        <v>256</v>
      </c>
      <c r="C238" s="189"/>
      <c r="D238" s="290"/>
      <c r="E238" s="29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0" t="s">
        <v>356</v>
      </c>
      <c r="B239" s="307" t="s">
        <v>256</v>
      </c>
      <c r="C239" s="189"/>
      <c r="D239" s="290"/>
      <c r="E239" s="29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0" t="s">
        <v>358</v>
      </c>
      <c r="B240" s="290"/>
      <c r="C240" s="298"/>
      <c r="D240" s="290">
        <f>SUM(C238:C239)</f>
        <v>0</v>
      </c>
      <c r="E240" s="29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0"/>
      <c r="B241" s="290"/>
      <c r="C241" s="298"/>
      <c r="D241" s="290"/>
      <c r="E241" s="29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0" t="s">
        <v>359</v>
      </c>
      <c r="B242" s="290"/>
      <c r="C242" s="298"/>
      <c r="D242" s="290">
        <f>D221+D229+D236+D240</f>
        <v>7924555.2599999998</v>
      </c>
      <c r="E242" s="29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0"/>
      <c r="B243" s="290"/>
      <c r="C243" s="298"/>
      <c r="D243" s="290"/>
      <c r="E243" s="29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0"/>
      <c r="B244" s="290"/>
      <c r="C244" s="298"/>
      <c r="D244" s="290"/>
      <c r="E244" s="29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0"/>
      <c r="B245" s="290"/>
      <c r="C245" s="298"/>
      <c r="D245" s="290"/>
      <c r="E245" s="29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0"/>
      <c r="B246" s="290"/>
      <c r="C246" s="298"/>
      <c r="D246" s="290"/>
      <c r="E246" s="29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0"/>
      <c r="B247" s="290"/>
      <c r="C247" s="298"/>
      <c r="D247" s="290"/>
      <c r="E247" s="29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06" t="s">
        <v>360</v>
      </c>
      <c r="B248" s="306"/>
      <c r="C248" s="306"/>
      <c r="D248" s="306"/>
      <c r="E248" s="30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1" t="s">
        <v>361</v>
      </c>
      <c r="B249" s="311"/>
      <c r="C249" s="311"/>
      <c r="D249" s="311"/>
      <c r="E249" s="31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0" t="s">
        <v>362</v>
      </c>
      <c r="B250" s="307" t="s">
        <v>256</v>
      </c>
      <c r="C250" s="189">
        <v>2807938</v>
      </c>
      <c r="D250" s="290"/>
      <c r="E250" s="29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0" t="s">
        <v>363</v>
      </c>
      <c r="B251" s="307" t="s">
        <v>256</v>
      </c>
      <c r="C251" s="189"/>
      <c r="D251" s="290"/>
      <c r="E251" s="29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0" t="s">
        <v>364</v>
      </c>
      <c r="B252" s="307" t="s">
        <v>256</v>
      </c>
      <c r="C252" s="189">
        <v>3710047</v>
      </c>
      <c r="D252" s="290"/>
      <c r="E252" s="29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0" t="s">
        <v>365</v>
      </c>
      <c r="B253" s="307" t="s">
        <v>256</v>
      </c>
      <c r="C253" s="189">
        <f>696000+280678</f>
        <v>976678</v>
      </c>
      <c r="D253" s="290"/>
      <c r="E253" s="29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0" t="s">
        <v>1240</v>
      </c>
      <c r="B254" s="307" t="s">
        <v>256</v>
      </c>
      <c r="C254" s="189">
        <v>461000</v>
      </c>
      <c r="D254" s="290"/>
      <c r="E254" s="29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0" t="s">
        <v>366</v>
      </c>
      <c r="B255" s="307" t="s">
        <v>256</v>
      </c>
      <c r="C255" s="189">
        <f>17113+126087</f>
        <v>143200</v>
      </c>
      <c r="D255" s="290"/>
      <c r="E255" s="29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0" t="s">
        <v>367</v>
      </c>
      <c r="B256" s="307" t="s">
        <v>256</v>
      </c>
      <c r="C256" s="189"/>
      <c r="D256" s="290"/>
      <c r="E256" s="29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0" t="s">
        <v>368</v>
      </c>
      <c r="B257" s="307" t="s">
        <v>256</v>
      </c>
      <c r="C257" s="189">
        <v>589251</v>
      </c>
      <c r="D257" s="290"/>
      <c r="E257" s="29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0" t="s">
        <v>369</v>
      </c>
      <c r="B258" s="307" t="s">
        <v>256</v>
      </c>
      <c r="C258" s="189">
        <v>82622</v>
      </c>
      <c r="D258" s="290"/>
      <c r="E258" s="29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0" t="s">
        <v>370</v>
      </c>
      <c r="B259" s="307" t="s">
        <v>256</v>
      </c>
      <c r="C259" s="189"/>
      <c r="D259" s="290"/>
      <c r="E259" s="29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0" t="s">
        <v>371</v>
      </c>
      <c r="B260" s="290"/>
      <c r="C260" s="298"/>
      <c r="D260" s="290">
        <f>SUM(C250:C252)-C253+SUM(C254:C259)</f>
        <v>6817380</v>
      </c>
      <c r="E260" s="29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1" t="s">
        <v>372</v>
      </c>
      <c r="B261" s="311"/>
      <c r="C261" s="311"/>
      <c r="D261" s="311"/>
      <c r="E261" s="31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0" t="s">
        <v>362</v>
      </c>
      <c r="B262" s="307" t="s">
        <v>256</v>
      </c>
      <c r="C262" s="189">
        <v>7040395</v>
      </c>
      <c r="D262" s="290"/>
      <c r="E262" s="29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0" t="s">
        <v>363</v>
      </c>
      <c r="B263" s="307" t="s">
        <v>256</v>
      </c>
      <c r="C263" s="189"/>
      <c r="D263" s="290"/>
      <c r="E263" s="29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0" t="s">
        <v>373</v>
      </c>
      <c r="B264" s="307" t="s">
        <v>256</v>
      </c>
      <c r="C264" s="189"/>
      <c r="D264" s="290"/>
      <c r="E264" s="29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0" t="s">
        <v>374</v>
      </c>
      <c r="B265" s="290"/>
      <c r="C265" s="298"/>
      <c r="D265" s="290">
        <f>SUM(C262:C264)</f>
        <v>7040395</v>
      </c>
      <c r="E265" s="29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1" t="s">
        <v>375</v>
      </c>
      <c r="B266" s="311"/>
      <c r="C266" s="311"/>
      <c r="D266" s="311"/>
      <c r="E266" s="31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0" t="s">
        <v>332</v>
      </c>
      <c r="B267" s="307" t="s">
        <v>256</v>
      </c>
      <c r="C267" s="189">
        <v>619114</v>
      </c>
      <c r="D267" s="290"/>
      <c r="E267" s="290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0" t="s">
        <v>333</v>
      </c>
      <c r="B268" s="307" t="s">
        <v>256</v>
      </c>
      <c r="C268" s="189">
        <v>324429</v>
      </c>
      <c r="D268" s="290"/>
      <c r="E268" s="29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0" t="s">
        <v>334</v>
      </c>
      <c r="B269" s="307" t="s">
        <v>256</v>
      </c>
      <c r="C269" s="189">
        <v>4862883</v>
      </c>
      <c r="D269" s="290"/>
      <c r="E269" s="29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0" t="s">
        <v>376</v>
      </c>
      <c r="B270" s="307" t="s">
        <v>256</v>
      </c>
      <c r="C270" s="189"/>
      <c r="D270" s="290"/>
      <c r="E270" s="29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0" t="s">
        <v>377</v>
      </c>
      <c r="B271" s="307" t="s">
        <v>256</v>
      </c>
      <c r="C271" s="189">
        <v>5223676</v>
      </c>
      <c r="D271" s="290"/>
      <c r="E271" s="29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0" t="s">
        <v>378</v>
      </c>
      <c r="B272" s="307" t="s">
        <v>256</v>
      </c>
      <c r="C272" s="189">
        <v>6245256</v>
      </c>
      <c r="D272" s="290"/>
      <c r="E272" s="29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0" t="s">
        <v>339</v>
      </c>
      <c r="B273" s="307" t="s">
        <v>256</v>
      </c>
      <c r="C273" s="189"/>
      <c r="D273" s="290"/>
      <c r="E273" s="29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0" t="s">
        <v>340</v>
      </c>
      <c r="B274" s="307" t="s">
        <v>256</v>
      </c>
      <c r="C274" s="189">
        <v>333484</v>
      </c>
      <c r="D274" s="290"/>
      <c r="E274" s="29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0" t="s">
        <v>379</v>
      </c>
      <c r="B275" s="290"/>
      <c r="C275" s="298"/>
      <c r="D275" s="290">
        <f>SUM(C267:C274)</f>
        <v>17608842</v>
      </c>
      <c r="E275" s="29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0" t="s">
        <v>380</v>
      </c>
      <c r="B276" s="307" t="s">
        <v>256</v>
      </c>
      <c r="C276" s="189">
        <v>14454078</v>
      </c>
      <c r="D276" s="290"/>
      <c r="E276" s="29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0" t="s">
        <v>381</v>
      </c>
      <c r="B277" s="290"/>
      <c r="C277" s="298"/>
      <c r="D277" s="290">
        <f>D275-C276</f>
        <v>3154764</v>
      </c>
      <c r="E277" s="29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1" t="s">
        <v>382</v>
      </c>
      <c r="B278" s="311"/>
      <c r="C278" s="311"/>
      <c r="D278" s="311"/>
      <c r="E278" s="31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0" t="s">
        <v>383</v>
      </c>
      <c r="B279" s="307" t="s">
        <v>256</v>
      </c>
      <c r="C279" s="189"/>
      <c r="D279" s="290"/>
      <c r="E279" s="29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0" t="s">
        <v>384</v>
      </c>
      <c r="B280" s="307" t="s">
        <v>256</v>
      </c>
      <c r="C280" s="189"/>
      <c r="D280" s="290"/>
      <c r="E280" s="29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0" t="s">
        <v>385</v>
      </c>
      <c r="B281" s="307" t="s">
        <v>256</v>
      </c>
      <c r="C281" s="189"/>
      <c r="D281" s="290"/>
      <c r="E281" s="29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0" t="s">
        <v>373</v>
      </c>
      <c r="B282" s="307" t="s">
        <v>256</v>
      </c>
      <c r="C282" s="189">
        <v>543263</v>
      </c>
      <c r="D282" s="290"/>
      <c r="E282" s="29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0" t="s">
        <v>386</v>
      </c>
      <c r="B283" s="290"/>
      <c r="C283" s="298"/>
      <c r="D283" s="290">
        <f>C279-C280+C281+C282</f>
        <v>543263</v>
      </c>
      <c r="E283" s="29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0"/>
      <c r="B284" s="290"/>
      <c r="C284" s="298"/>
      <c r="D284" s="290"/>
      <c r="E284" s="29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1" t="s">
        <v>387</v>
      </c>
      <c r="B285" s="311"/>
      <c r="C285" s="311"/>
      <c r="D285" s="311"/>
      <c r="E285" s="31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0" t="s">
        <v>388</v>
      </c>
      <c r="B286" s="307" t="s">
        <v>256</v>
      </c>
      <c r="C286" s="189"/>
      <c r="D286" s="290"/>
      <c r="E286" s="29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0" t="s">
        <v>389</v>
      </c>
      <c r="B287" s="307" t="s">
        <v>256</v>
      </c>
      <c r="C287" s="189"/>
      <c r="D287" s="290"/>
      <c r="E287" s="29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0" t="s">
        <v>390</v>
      </c>
      <c r="B288" s="307" t="s">
        <v>256</v>
      </c>
      <c r="C288" s="189"/>
      <c r="D288" s="290"/>
      <c r="E288" s="29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0" t="s">
        <v>391</v>
      </c>
      <c r="B289" s="307" t="s">
        <v>256</v>
      </c>
      <c r="C289" s="189"/>
      <c r="D289" s="290"/>
      <c r="E289" s="29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0" t="s">
        <v>392</v>
      </c>
      <c r="B290" s="290"/>
      <c r="C290" s="298"/>
      <c r="D290" s="290">
        <f>SUM(C286:C289)</f>
        <v>0</v>
      </c>
      <c r="E290" s="29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0"/>
      <c r="B291" s="290"/>
      <c r="C291" s="298"/>
      <c r="D291" s="290"/>
      <c r="E291" s="29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0" t="s">
        <v>393</v>
      </c>
      <c r="B292" s="290"/>
      <c r="C292" s="298"/>
      <c r="D292" s="290">
        <f>D260+D265+D277+D283+D290</f>
        <v>17555802</v>
      </c>
      <c r="E292" s="29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0"/>
      <c r="B293" s="290"/>
      <c r="C293" s="298"/>
      <c r="D293" s="290"/>
      <c r="E293" s="29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0"/>
      <c r="B294" s="290"/>
      <c r="C294" s="298"/>
      <c r="D294" s="290"/>
      <c r="E294" s="290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0"/>
      <c r="B295" s="290"/>
      <c r="C295" s="298"/>
      <c r="D295" s="290"/>
      <c r="E295" s="290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0"/>
      <c r="B296" s="290"/>
      <c r="C296" s="298"/>
      <c r="D296" s="290"/>
      <c r="E296" s="29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0"/>
      <c r="B297" s="290"/>
      <c r="C297" s="298"/>
      <c r="D297" s="290"/>
      <c r="E297" s="29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0"/>
      <c r="B298" s="290"/>
      <c r="C298" s="298"/>
      <c r="D298" s="290"/>
      <c r="E298" s="29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0"/>
      <c r="B299" s="290"/>
      <c r="C299" s="298"/>
      <c r="D299" s="290"/>
      <c r="E299" s="29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0"/>
      <c r="B300" s="290"/>
      <c r="C300" s="298"/>
      <c r="D300" s="290"/>
      <c r="E300" s="29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0"/>
      <c r="B301" s="290"/>
      <c r="C301" s="298"/>
      <c r="D301" s="290"/>
      <c r="E301" s="29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06" t="s">
        <v>394</v>
      </c>
      <c r="B302" s="306"/>
      <c r="C302" s="306"/>
      <c r="D302" s="306"/>
      <c r="E302" s="30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1" t="s">
        <v>395</v>
      </c>
      <c r="B303" s="311"/>
      <c r="C303" s="311"/>
      <c r="D303" s="311"/>
      <c r="E303" s="31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0" t="s">
        <v>396</v>
      </c>
      <c r="B304" s="307" t="s">
        <v>256</v>
      </c>
      <c r="C304" s="189"/>
      <c r="D304" s="290"/>
      <c r="E304" s="29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0" t="s">
        <v>397</v>
      </c>
      <c r="B305" s="307" t="s">
        <v>256</v>
      </c>
      <c r="C305" s="189">
        <v>977844</v>
      </c>
      <c r="D305" s="290"/>
      <c r="E305" s="29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0" t="s">
        <v>398</v>
      </c>
      <c r="B306" s="307" t="s">
        <v>256</v>
      </c>
      <c r="C306" s="189">
        <v>157429</v>
      </c>
      <c r="D306" s="290"/>
      <c r="E306" s="29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0" t="s">
        <v>399</v>
      </c>
      <c r="B307" s="307" t="s">
        <v>256</v>
      </c>
      <c r="C307" s="189">
        <v>1313</v>
      </c>
      <c r="D307" s="290"/>
      <c r="E307" s="29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0" t="s">
        <v>400</v>
      </c>
      <c r="B308" s="307" t="s">
        <v>256</v>
      </c>
      <c r="C308" s="189"/>
      <c r="D308" s="290"/>
      <c r="E308" s="290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0" t="s">
        <v>1241</v>
      </c>
      <c r="B309" s="307" t="s">
        <v>256</v>
      </c>
      <c r="C309" s="189"/>
      <c r="D309" s="290"/>
      <c r="E309" s="29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0" t="s">
        <v>401</v>
      </c>
      <c r="B310" s="307" t="s">
        <v>256</v>
      </c>
      <c r="C310" s="189"/>
      <c r="D310" s="290"/>
      <c r="E310" s="29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0" t="s">
        <v>402</v>
      </c>
      <c r="B311" s="307" t="s">
        <v>256</v>
      </c>
      <c r="C311" s="189"/>
      <c r="D311" s="290"/>
      <c r="E311" s="29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0" t="s">
        <v>403</v>
      </c>
      <c r="B312" s="307" t="s">
        <v>256</v>
      </c>
      <c r="C312" s="189"/>
      <c r="D312" s="290"/>
      <c r="E312" s="29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0" t="s">
        <v>404</v>
      </c>
      <c r="B313" s="307" t="s">
        <v>256</v>
      </c>
      <c r="C313" s="189">
        <v>350000</v>
      </c>
      <c r="D313" s="290"/>
      <c r="E313" s="29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0" t="s">
        <v>405</v>
      </c>
      <c r="B314" s="290"/>
      <c r="C314" s="298"/>
      <c r="D314" s="290">
        <f>SUM(C304:C313)</f>
        <v>1486586</v>
      </c>
      <c r="E314" s="29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1" t="s">
        <v>406</v>
      </c>
      <c r="B315" s="311"/>
      <c r="C315" s="311"/>
      <c r="D315" s="311"/>
      <c r="E315" s="31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0" t="s">
        <v>407</v>
      </c>
      <c r="B316" s="307" t="s">
        <v>256</v>
      </c>
      <c r="C316" s="189"/>
      <c r="D316" s="290"/>
      <c r="E316" s="29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0" t="s">
        <v>408</v>
      </c>
      <c r="B317" s="307" t="s">
        <v>256</v>
      </c>
      <c r="C317" s="189"/>
      <c r="D317" s="290"/>
      <c r="E317" s="29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0" t="s">
        <v>409</v>
      </c>
      <c r="B318" s="307" t="s">
        <v>256</v>
      </c>
      <c r="C318" s="189"/>
      <c r="D318" s="290"/>
      <c r="E318" s="29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0" t="s">
        <v>410</v>
      </c>
      <c r="B319" s="290"/>
      <c r="C319" s="298"/>
      <c r="D319" s="290">
        <f>SUM(C316:C318)</f>
        <v>0</v>
      </c>
      <c r="E319" s="29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1" t="s">
        <v>411</v>
      </c>
      <c r="B320" s="311"/>
      <c r="C320" s="311"/>
      <c r="D320" s="311"/>
      <c r="E320" s="31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0" t="s">
        <v>412</v>
      </c>
      <c r="B321" s="307" t="s">
        <v>256</v>
      </c>
      <c r="C321" s="189"/>
      <c r="D321" s="290"/>
      <c r="E321" s="29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0" t="s">
        <v>413</v>
      </c>
      <c r="B322" s="307" t="s">
        <v>256</v>
      </c>
      <c r="C322" s="189"/>
      <c r="D322" s="290"/>
      <c r="E322" s="290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0" t="s">
        <v>414</v>
      </c>
      <c r="B323" s="307" t="s">
        <v>256</v>
      </c>
      <c r="C323" s="189"/>
      <c r="D323" s="290"/>
      <c r="E323" s="290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297" t="s">
        <v>415</v>
      </c>
      <c r="B324" s="307" t="s">
        <v>256</v>
      </c>
      <c r="C324" s="189"/>
      <c r="D324" s="290"/>
      <c r="E324" s="29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0" t="s">
        <v>416</v>
      </c>
      <c r="B325" s="307" t="s">
        <v>256</v>
      </c>
      <c r="C325" s="189">
        <f>350000+416</f>
        <v>350416</v>
      </c>
      <c r="D325" s="290"/>
      <c r="E325" s="29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297" t="s">
        <v>417</v>
      </c>
      <c r="B326" s="307" t="s">
        <v>256</v>
      </c>
      <c r="C326" s="189"/>
      <c r="D326" s="290"/>
      <c r="E326" s="29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0" t="s">
        <v>418</v>
      </c>
      <c r="B327" s="307" t="s">
        <v>256</v>
      </c>
      <c r="C327" s="189">
        <f>2344706+1465304</f>
        <v>3810010</v>
      </c>
      <c r="D327" s="290"/>
      <c r="E327" s="29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0" t="s">
        <v>203</v>
      </c>
      <c r="B328" s="290"/>
      <c r="C328" s="298"/>
      <c r="D328" s="290">
        <f>SUM(C321:C327)</f>
        <v>4160426</v>
      </c>
      <c r="E328" s="29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0" t="s">
        <v>419</v>
      </c>
      <c r="B329" s="290"/>
      <c r="C329" s="298"/>
      <c r="D329" s="290">
        <f>C313</f>
        <v>350000</v>
      </c>
      <c r="E329" s="29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0" t="s">
        <v>420</v>
      </c>
      <c r="B330" s="290"/>
      <c r="C330" s="298"/>
      <c r="D330" s="290">
        <f>D328-D329</f>
        <v>3810426</v>
      </c>
      <c r="E330" s="29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0"/>
      <c r="B331" s="290"/>
      <c r="C331" s="298"/>
      <c r="D331" s="290"/>
      <c r="E331" s="29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0" t="s">
        <v>421</v>
      </c>
      <c r="B332" s="307" t="s">
        <v>256</v>
      </c>
      <c r="C332" s="222">
        <v>10838790</v>
      </c>
      <c r="D332" s="290"/>
      <c r="E332" s="29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0"/>
      <c r="B333" s="307"/>
      <c r="C333" s="228"/>
      <c r="D333" s="290"/>
      <c r="E333" s="29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0" t="s">
        <v>1142</v>
      </c>
      <c r="B334" s="307" t="s">
        <v>256</v>
      </c>
      <c r="C334" s="222"/>
      <c r="D334" s="290"/>
      <c r="E334" s="29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0" t="s">
        <v>1143</v>
      </c>
      <c r="B335" s="307" t="s">
        <v>256</v>
      </c>
      <c r="C335" s="222"/>
      <c r="D335" s="290"/>
      <c r="E335" s="29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0" t="s">
        <v>423</v>
      </c>
      <c r="B336" s="307" t="s">
        <v>256</v>
      </c>
      <c r="C336" s="222"/>
      <c r="D336" s="290"/>
      <c r="E336" s="29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0" t="s">
        <v>422</v>
      </c>
      <c r="B337" s="307" t="s">
        <v>256</v>
      </c>
      <c r="C337" s="189"/>
      <c r="D337" s="290"/>
      <c r="E337" s="29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0" t="s">
        <v>1252</v>
      </c>
      <c r="B338" s="307" t="s">
        <v>256</v>
      </c>
      <c r="C338" s="189"/>
      <c r="D338" s="290"/>
      <c r="E338" s="29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0" t="s">
        <v>424</v>
      </c>
      <c r="B339" s="290"/>
      <c r="C339" s="298"/>
      <c r="D339" s="290">
        <f>D314+D319+D330+C332+C336+C337</f>
        <v>16135802</v>
      </c>
      <c r="E339" s="29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0"/>
      <c r="B340" s="290"/>
      <c r="C340" s="298"/>
      <c r="D340" s="290"/>
      <c r="E340" s="29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0" t="s">
        <v>425</v>
      </c>
      <c r="B341" s="290"/>
      <c r="C341" s="298"/>
      <c r="D341" s="290">
        <f>D292</f>
        <v>17555802</v>
      </c>
      <c r="E341" s="29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0"/>
      <c r="B342" s="290"/>
      <c r="C342" s="298"/>
      <c r="D342" s="290"/>
      <c r="E342" s="29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0"/>
      <c r="B343" s="290"/>
      <c r="C343" s="298"/>
      <c r="D343" s="290"/>
      <c r="E343" s="29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0"/>
      <c r="B344" s="290"/>
      <c r="C344" s="298"/>
      <c r="D344" s="290"/>
      <c r="E344" s="29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0"/>
      <c r="B345" s="290"/>
      <c r="C345" s="298"/>
      <c r="D345" s="290"/>
      <c r="E345" s="29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0"/>
      <c r="B346" s="290"/>
      <c r="C346" s="298"/>
      <c r="D346" s="290"/>
      <c r="E346" s="29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0"/>
      <c r="B347" s="290"/>
      <c r="C347" s="298"/>
      <c r="D347" s="290"/>
      <c r="E347" s="29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0"/>
      <c r="B348" s="290"/>
      <c r="C348" s="298"/>
      <c r="D348" s="290"/>
      <c r="E348" s="29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0"/>
      <c r="B349" s="290"/>
      <c r="C349" s="298"/>
      <c r="D349" s="290"/>
      <c r="E349" s="29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0"/>
      <c r="B350" s="290"/>
      <c r="C350" s="298"/>
      <c r="D350" s="290"/>
      <c r="E350" s="290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0"/>
      <c r="B351" s="290"/>
      <c r="C351" s="298"/>
      <c r="D351" s="290"/>
      <c r="E351" s="290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0"/>
      <c r="B352" s="290"/>
      <c r="C352" s="298"/>
      <c r="D352" s="290"/>
      <c r="E352" s="29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0"/>
      <c r="B353" s="290"/>
      <c r="C353" s="298"/>
      <c r="D353" s="290"/>
      <c r="E353" s="29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0"/>
      <c r="B354" s="290"/>
      <c r="C354" s="298"/>
      <c r="D354" s="290"/>
      <c r="E354" s="29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0"/>
      <c r="B355" s="290"/>
      <c r="C355" s="298"/>
      <c r="D355" s="290"/>
      <c r="E355" s="29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0"/>
      <c r="B356" s="290"/>
      <c r="C356" s="298"/>
      <c r="D356" s="290"/>
      <c r="E356" s="290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06" t="s">
        <v>426</v>
      </c>
      <c r="B357" s="306"/>
      <c r="C357" s="306"/>
      <c r="D357" s="306"/>
      <c r="E357" s="30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1" t="s">
        <v>427</v>
      </c>
      <c r="B358" s="311"/>
      <c r="C358" s="311"/>
      <c r="D358" s="311"/>
      <c r="E358" s="31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0" t="s">
        <v>428</v>
      </c>
      <c r="B359" s="307" t="s">
        <v>256</v>
      </c>
      <c r="C359" s="189">
        <v>7396873</v>
      </c>
      <c r="D359" s="290"/>
      <c r="E359" s="29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0" t="s">
        <v>429</v>
      </c>
      <c r="B360" s="307" t="s">
        <v>256</v>
      </c>
      <c r="C360" s="189">
        <f>19801820+6128783</f>
        <v>25930603</v>
      </c>
      <c r="D360" s="290"/>
      <c r="E360" s="290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0" t="s">
        <v>430</v>
      </c>
      <c r="B361" s="290"/>
      <c r="C361" s="298"/>
      <c r="D361" s="290">
        <f>SUM(C359:C360)</f>
        <v>33327476</v>
      </c>
      <c r="E361" s="29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1" t="s">
        <v>431</v>
      </c>
      <c r="B362" s="311"/>
      <c r="C362" s="311"/>
      <c r="D362" s="311"/>
      <c r="E362" s="31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0" t="s">
        <v>1254</v>
      </c>
      <c r="B363" s="311"/>
      <c r="C363" s="189">
        <v>608125</v>
      </c>
      <c r="D363" s="290"/>
      <c r="E363" s="31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0" t="s">
        <v>432</v>
      </c>
      <c r="B364" s="307" t="s">
        <v>256</v>
      </c>
      <c r="C364" s="189">
        <f>7316430-C365</f>
        <v>7128893</v>
      </c>
      <c r="D364" s="290"/>
      <c r="E364" s="290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0" t="s">
        <v>433</v>
      </c>
      <c r="B365" s="307" t="s">
        <v>256</v>
      </c>
      <c r="C365" s="189">
        <v>187537</v>
      </c>
      <c r="D365" s="290"/>
      <c r="E365" s="290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0" t="s">
        <v>434</v>
      </c>
      <c r="B366" s="307" t="s">
        <v>256</v>
      </c>
      <c r="C366" s="189"/>
      <c r="D366" s="290"/>
      <c r="E366" s="29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0" t="s">
        <v>359</v>
      </c>
      <c r="B367" s="290"/>
      <c r="C367" s="298"/>
      <c r="D367" s="290">
        <f>SUM(C363:C366)</f>
        <v>7924555</v>
      </c>
      <c r="E367" s="29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0" t="s">
        <v>435</v>
      </c>
      <c r="B368" s="290"/>
      <c r="C368" s="298"/>
      <c r="D368" s="290">
        <f>D361-D367</f>
        <v>25402921</v>
      </c>
      <c r="E368" s="29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1" t="s">
        <v>436</v>
      </c>
      <c r="B369" s="311"/>
      <c r="C369" s="311"/>
      <c r="D369" s="311"/>
      <c r="E369" s="31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0" t="s">
        <v>437</v>
      </c>
      <c r="B370" s="307" t="s">
        <v>256</v>
      </c>
      <c r="C370" s="189">
        <f>464704+519583</f>
        <v>984287</v>
      </c>
      <c r="D370" s="290"/>
      <c r="E370" s="290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0" t="s">
        <v>438</v>
      </c>
      <c r="B371" s="307" t="s">
        <v>256</v>
      </c>
      <c r="C371" s="189">
        <v>698731</v>
      </c>
      <c r="D371" s="290"/>
      <c r="E371" s="290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0" t="s">
        <v>439</v>
      </c>
      <c r="B372" s="290"/>
      <c r="C372" s="298"/>
      <c r="D372" s="290">
        <f>SUM(C370:C371)</f>
        <v>1683018</v>
      </c>
      <c r="E372" s="290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0" t="s">
        <v>440</v>
      </c>
      <c r="B373" s="290"/>
      <c r="C373" s="298"/>
      <c r="D373" s="290">
        <f>D368+D372</f>
        <v>27085939</v>
      </c>
      <c r="E373" s="290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0"/>
      <c r="B374" s="290"/>
      <c r="C374" s="298"/>
      <c r="D374" s="290"/>
      <c r="E374" s="290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0"/>
      <c r="B375" s="290"/>
      <c r="C375" s="298"/>
      <c r="D375" s="290"/>
      <c r="E375" s="29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0"/>
      <c r="B376" s="290"/>
      <c r="C376" s="298"/>
      <c r="D376" s="290"/>
      <c r="E376" s="29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1" t="s">
        <v>441</v>
      </c>
      <c r="B377" s="311"/>
      <c r="C377" s="311"/>
      <c r="D377" s="311"/>
      <c r="E377" s="31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0" t="s">
        <v>442</v>
      </c>
      <c r="B378" s="307" t="s">
        <v>256</v>
      </c>
      <c r="C378" s="189">
        <v>14321353</v>
      </c>
      <c r="D378" s="290"/>
      <c r="E378" s="290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0" t="s">
        <v>3</v>
      </c>
      <c r="B379" s="307" t="s">
        <v>256</v>
      </c>
      <c r="C379" s="189">
        <v>3766339</v>
      </c>
      <c r="D379" s="290"/>
      <c r="E379" s="290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0" t="s">
        <v>236</v>
      </c>
      <c r="B380" s="307" t="s">
        <v>256</v>
      </c>
      <c r="C380" s="189">
        <v>800936</v>
      </c>
      <c r="D380" s="290"/>
      <c r="E380" s="29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0" t="s">
        <v>443</v>
      </c>
      <c r="B381" s="307" t="s">
        <v>256</v>
      </c>
      <c r="C381" s="189">
        <v>2524671</v>
      </c>
      <c r="D381" s="290"/>
      <c r="E381" s="29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0" t="s">
        <v>444</v>
      </c>
      <c r="B382" s="307" t="s">
        <v>256</v>
      </c>
      <c r="C382" s="189">
        <v>404080</v>
      </c>
      <c r="D382" s="290"/>
      <c r="E382" s="29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0" t="s">
        <v>445</v>
      </c>
      <c r="B383" s="307" t="s">
        <v>256</v>
      </c>
      <c r="C383" s="189">
        <v>2741912</v>
      </c>
      <c r="D383" s="290"/>
      <c r="E383" s="29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0" t="s">
        <v>6</v>
      </c>
      <c r="B384" s="307" t="s">
        <v>256</v>
      </c>
      <c r="C384" s="189">
        <v>459515</v>
      </c>
      <c r="D384" s="290"/>
      <c r="E384" s="29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0" t="s">
        <v>446</v>
      </c>
      <c r="B385" s="307" t="s">
        <v>256</v>
      </c>
      <c r="C385" s="189">
        <v>288195</v>
      </c>
      <c r="D385" s="290"/>
      <c r="E385" s="29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0" t="s">
        <v>447</v>
      </c>
      <c r="B386" s="307" t="s">
        <v>256</v>
      </c>
      <c r="C386" s="189">
        <v>176587</v>
      </c>
      <c r="D386" s="290"/>
      <c r="E386" s="29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0" t="s">
        <v>448</v>
      </c>
      <c r="B387" s="307" t="s">
        <v>256</v>
      </c>
      <c r="C387" s="189">
        <v>156143</v>
      </c>
      <c r="D387" s="290"/>
      <c r="E387" s="29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0" t="s">
        <v>449</v>
      </c>
      <c r="B388" s="307" t="s">
        <v>256</v>
      </c>
      <c r="C388" s="189">
        <v>40245</v>
      </c>
      <c r="D388" s="290"/>
      <c r="E388" s="29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0" t="s">
        <v>451</v>
      </c>
      <c r="B389" s="307" t="s">
        <v>256</v>
      </c>
      <c r="C389" s="189">
        <f>478345-C388-C387</f>
        <v>281957</v>
      </c>
      <c r="D389" s="290"/>
      <c r="E389" s="29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0" t="s">
        <v>452</v>
      </c>
      <c r="B390" s="290"/>
      <c r="C390" s="298"/>
      <c r="D390" s="290">
        <f>SUM(C378:C389)</f>
        <v>25961933</v>
      </c>
      <c r="E390" s="29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0" t="s">
        <v>453</v>
      </c>
      <c r="B391" s="290"/>
      <c r="C391" s="298"/>
      <c r="D391" s="290">
        <f>D373-D390</f>
        <v>1124006</v>
      </c>
      <c r="E391" s="29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0" t="s">
        <v>454</v>
      </c>
      <c r="B392" s="307" t="s">
        <v>256</v>
      </c>
      <c r="C392" s="189">
        <f>128518+12005-30599</f>
        <v>109924</v>
      </c>
      <c r="D392" s="290"/>
      <c r="E392" s="290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0" t="s">
        <v>455</v>
      </c>
      <c r="B393" s="290"/>
      <c r="C393" s="298"/>
      <c r="D393" s="290">
        <f>D391+C392</f>
        <v>1233930</v>
      </c>
      <c r="E393" s="290"/>
      <c r="F393" s="3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0" t="s">
        <v>456</v>
      </c>
      <c r="B394" s="307" t="s">
        <v>256</v>
      </c>
      <c r="C394" s="189"/>
      <c r="D394" s="290"/>
      <c r="E394" s="29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0" t="s">
        <v>457</v>
      </c>
      <c r="B395" s="307" t="s">
        <v>256</v>
      </c>
      <c r="C395" s="189"/>
      <c r="D395" s="290"/>
      <c r="E395" s="29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0" t="s">
        <v>458</v>
      </c>
      <c r="B396" s="290"/>
      <c r="C396" s="298"/>
      <c r="D396" s="290">
        <f>D393+C394-C395</f>
        <v>1233930</v>
      </c>
      <c r="E396" s="29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2" t="s">
        <v>459</v>
      </c>
      <c r="D411" s="2"/>
      <c r="E411" s="32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LINCOLN COUNTY HOSPITAL DISTRICT # 3   H-0     FYE 12/31/2019</v>
      </c>
      <c r="B412" s="2"/>
      <c r="C412" s="2"/>
      <c r="D412" s="2"/>
      <c r="E412" s="32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2" t="s">
        <v>461</v>
      </c>
      <c r="C413" s="322" t="s">
        <v>1242</v>
      </c>
      <c r="D413" s="322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344</v>
      </c>
      <c r="C414" s="2">
        <f>E138</f>
        <v>344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1201</v>
      </c>
      <c r="C415" s="2">
        <f>E139</f>
        <v>1201</v>
      </c>
      <c r="D415" s="2">
        <f>SUM(C59:H59)+N59</f>
        <v>1201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119</v>
      </c>
      <c r="C417" s="2">
        <f>E144</f>
        <v>119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4542</v>
      </c>
      <c r="C418" s="2">
        <f>E145</f>
        <v>4542</v>
      </c>
      <c r="D418" s="2">
        <f>K59+L59</f>
        <v>4542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4"/>
      <c r="B422" s="324"/>
      <c r="C422" s="32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4"/>
      <c r="B425" s="324"/>
      <c r="C425" s="324"/>
      <c r="D425" s="324"/>
      <c r="E425" s="2"/>
      <c r="F425" s="324"/>
      <c r="G425" s="324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2" t="s">
        <v>471</v>
      </c>
      <c r="C426" s="322" t="s">
        <v>462</v>
      </c>
      <c r="D426" s="322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14321353</v>
      </c>
      <c r="C427" s="2">
        <f t="shared" ref="C427:C434" si="13">CE61</f>
        <v>14321353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3766339</v>
      </c>
      <c r="C428" s="2">
        <f t="shared" si="13"/>
        <v>3766339</v>
      </c>
      <c r="D428" s="2">
        <f>D173</f>
        <v>3766338.66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800936</v>
      </c>
      <c r="C429" s="2">
        <f t="shared" si="13"/>
        <v>800936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2524671</v>
      </c>
      <c r="C430" s="2">
        <f t="shared" si="13"/>
        <v>2524671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404080</v>
      </c>
      <c r="C431" s="2">
        <f t="shared" si="13"/>
        <v>404080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2741912</v>
      </c>
      <c r="C432" s="2">
        <f t="shared" si="13"/>
        <v>2741912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459515</v>
      </c>
      <c r="C433" s="2">
        <f t="shared" si="13"/>
        <v>459515</v>
      </c>
      <c r="D433" s="2">
        <f>C217</f>
        <v>459515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288195</v>
      </c>
      <c r="C434" s="2">
        <f t="shared" si="13"/>
        <v>288195</v>
      </c>
      <c r="D434" s="2">
        <f>D177</f>
        <v>288194.66000000003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176587</v>
      </c>
      <c r="C435" s="2"/>
      <c r="D435" s="2">
        <f>D181</f>
        <v>176587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156143</v>
      </c>
      <c r="C436" s="2"/>
      <c r="D436" s="2">
        <f>D186</f>
        <v>156143.48000000001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40245</v>
      </c>
      <c r="C437" s="2"/>
      <c r="D437" s="2">
        <f>D190</f>
        <v>40245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372975</v>
      </c>
      <c r="C438" s="2">
        <f>CD69</f>
        <v>372975</v>
      </c>
      <c r="D438" s="2">
        <f>D181+D186+D190</f>
        <v>372975.48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281957</v>
      </c>
      <c r="C439" s="2">
        <f>SUM(C69:CC69)</f>
        <v>281957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654932</v>
      </c>
      <c r="C440" s="2">
        <f>CE69</f>
        <v>654932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25961933</v>
      </c>
      <c r="C441" s="2">
        <f>SUM(C427:C437)+C440</f>
        <v>25961933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4"/>
      <c r="B442" s="324"/>
      <c r="C442" s="324"/>
      <c r="D442" s="324"/>
      <c r="E442" s="2"/>
      <c r="F442" s="324"/>
      <c r="G442" s="324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2" t="s">
        <v>480</v>
      </c>
      <c r="C443" s="322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608125</v>
      </c>
      <c r="C444" s="2">
        <f>C363</f>
        <v>608125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7128893.2599999998</v>
      </c>
      <c r="C445" s="2">
        <f>C364</f>
        <v>7128893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187537</v>
      </c>
      <c r="C446" s="2">
        <f>C365</f>
        <v>187537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7924555.2599999998</v>
      </c>
      <c r="C448" s="2">
        <f>D367</f>
        <v>7924555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4"/>
      <c r="B449" s="324"/>
      <c r="C449" s="324"/>
      <c r="D449" s="324"/>
      <c r="E449" s="2"/>
      <c r="F449" s="324"/>
      <c r="G449" s="324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2" t="s">
        <v>482</v>
      </c>
      <c r="C450" s="324"/>
      <c r="D450" s="324"/>
      <c r="E450" s="2"/>
      <c r="F450" s="324"/>
      <c r="G450" s="324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2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2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17" t="s">
        <v>484</v>
      </c>
      <c r="B453" s="2">
        <f>C231</f>
        <v>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0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187537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4"/>
      <c r="B456" s="324"/>
      <c r="C456" s="324"/>
      <c r="D456" s="324"/>
      <c r="E456" s="2"/>
      <c r="F456" s="324"/>
      <c r="G456" s="324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2" t="s">
        <v>471</v>
      </c>
      <c r="C457" s="322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984287</v>
      </c>
      <c r="C458" s="2">
        <f>CE70</f>
        <v>1159603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698731</v>
      </c>
      <c r="C459" s="2">
        <f>CE72</f>
        <v>698731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4"/>
      <c r="B460" s="324"/>
      <c r="C460" s="324"/>
      <c r="D460" s="324"/>
      <c r="E460" s="2"/>
      <c r="F460" s="324"/>
      <c r="G460" s="324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2"/>
      <c r="C461" s="322"/>
      <c r="D461" s="322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2" t="s">
        <v>471</v>
      </c>
      <c r="C462" s="322" t="s">
        <v>486</v>
      </c>
      <c r="D462" s="322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7396873</v>
      </c>
      <c r="C463" s="2">
        <f>CE73</f>
        <v>7396873</v>
      </c>
      <c r="D463" s="2">
        <f>E141+E147+E153</f>
        <v>7396873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25930603</v>
      </c>
      <c r="C464" s="2">
        <f>CE74</f>
        <v>25930603</v>
      </c>
      <c r="D464" s="2">
        <f>E142+E148+E154</f>
        <v>25930603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33327476</v>
      </c>
      <c r="C465" s="2">
        <f>CE75</f>
        <v>33327476</v>
      </c>
      <c r="D465" s="2">
        <f>D463+D464</f>
        <v>33327476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4"/>
      <c r="B466" s="324"/>
      <c r="C466" s="324"/>
      <c r="D466" s="324"/>
      <c r="E466" s="2"/>
      <c r="F466" s="324"/>
      <c r="G466" s="324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2" t="s">
        <v>492</v>
      </c>
      <c r="C467" s="322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619114</v>
      </c>
      <c r="C468" s="2">
        <f>E195</f>
        <v>619114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324429</v>
      </c>
      <c r="C469" s="2">
        <f>E196</f>
        <v>324429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4862883</v>
      </c>
      <c r="C470" s="2">
        <f>E197</f>
        <v>4862883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5223676</v>
      </c>
      <c r="C472" s="2">
        <f>E199</f>
        <v>5223676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6245256</v>
      </c>
      <c r="C473" s="2">
        <f>SUM(E200:E201)</f>
        <v>6245256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333484</v>
      </c>
      <c r="C475" s="2">
        <f>E203</f>
        <v>333484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17608842</v>
      </c>
      <c r="C476" s="2">
        <f>E204</f>
        <v>17608842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14454078</v>
      </c>
      <c r="C478" s="2">
        <f>E217</f>
        <v>14454078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17555802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16135802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17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17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17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1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25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17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1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137</v>
      </c>
      <c r="B493" s="326" t="str">
        <f>RIGHT('[1]Prior Year'!C83,4)</f>
        <v>137</v>
      </c>
      <c r="C493" s="326" t="str">
        <f>RIGHT(C82,4)</f>
        <v>2019</v>
      </c>
      <c r="D493" s="326" t="str">
        <f>RIGHT('[1]Prior Year'!C82,4)</f>
        <v>2018</v>
      </c>
      <c r="E493" s="326" t="str">
        <f>RIGHT(C82,4)</f>
        <v>2019</v>
      </c>
      <c r="F493" s="326" t="str">
        <f>RIGHT('[1]Prior Year'!C82,4)</f>
        <v>2018</v>
      </c>
      <c r="G493" s="326" t="str">
        <f>RIGHT(C82,4)</f>
        <v>2019</v>
      </c>
      <c r="H493" s="326"/>
      <c r="I493" s="2"/>
      <c r="J493" s="2"/>
      <c r="K493" s="326"/>
      <c r="L493" s="326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25"/>
      <c r="B494" s="322" t="s">
        <v>505</v>
      </c>
      <c r="C494" s="322" t="s">
        <v>505</v>
      </c>
      <c r="D494" s="327" t="s">
        <v>506</v>
      </c>
      <c r="E494" s="327" t="s">
        <v>506</v>
      </c>
      <c r="F494" s="326" t="s">
        <v>507</v>
      </c>
      <c r="G494" s="326" t="s">
        <v>507</v>
      </c>
      <c r="H494" s="326" t="s">
        <v>508</v>
      </c>
      <c r="I494" s="2"/>
      <c r="J494" s="2"/>
      <c r="K494" s="326"/>
      <c r="L494" s="326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2" t="s">
        <v>303</v>
      </c>
      <c r="C495" s="322" t="s">
        <v>303</v>
      </c>
      <c r="D495" s="322" t="s">
        <v>509</v>
      </c>
      <c r="E495" s="322" t="s">
        <v>509</v>
      </c>
      <c r="F495" s="326" t="s">
        <v>510</v>
      </c>
      <c r="G495" s="326" t="s">
        <v>510</v>
      </c>
      <c r="H495" s="326" t="s">
        <v>511</v>
      </c>
      <c r="I495" s="2"/>
      <c r="J495" s="2"/>
      <c r="K495" s="326"/>
      <c r="L495" s="326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28">
        <f>'[1]Prior Year'!C59</f>
        <v>0</v>
      </c>
      <c r="C496" s="328">
        <f>C71</f>
        <v>0</v>
      </c>
      <c r="D496" s="328">
        <f>'[1]Prior Year'!C59</f>
        <v>0</v>
      </c>
      <c r="E496" s="2">
        <f>C59</f>
        <v>0</v>
      </c>
      <c r="F496" s="329" t="str">
        <f t="shared" ref="F496:G511" si="15">IF(B496=0,"",IF(D496=0,"",B496/D496))</f>
        <v/>
      </c>
      <c r="G496" s="329" t="str">
        <f t="shared" si="15"/>
        <v/>
      </c>
      <c r="H496" s="330" t="str">
        <f>IF(B496=0,"",IF(C496=0,"",IF(D496=0,"",IF(E496=0,"",IF(G496/F496-1&lt;-0.25,G496/F496-1,IF(G496/F496-1&gt;0.25,G496/F496-1,""))))))</f>
        <v/>
      </c>
      <c r="I496" s="264"/>
      <c r="J496" s="2"/>
      <c r="K496" s="326"/>
      <c r="L496" s="326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28">
        <f>'[1]Prior Year'!D71</f>
        <v>0</v>
      </c>
      <c r="C497" s="328">
        <f>D71</f>
        <v>0</v>
      </c>
      <c r="D497" s="328">
        <f>'[1]Prior Year'!D59</f>
        <v>0</v>
      </c>
      <c r="E497" s="2">
        <f>D59</f>
        <v>0</v>
      </c>
      <c r="F497" s="329" t="str">
        <f t="shared" si="15"/>
        <v/>
      </c>
      <c r="G497" s="329" t="str">
        <f t="shared" si="15"/>
        <v/>
      </c>
      <c r="H497" s="330" t="str">
        <f t="shared" ref="H497:H550" si="16">IF(B497=0,"",IF(C497=0,"",IF(D497=0,"",IF(E497=0,"",IF(G497/F497-1&lt;-0.25,G497/F497-1,IF(G497/F497-1&gt;0.25,G497/F497-1,""))))))</f>
        <v/>
      </c>
      <c r="I497" s="264"/>
      <c r="J497" s="2"/>
      <c r="K497" s="326"/>
      <c r="L497" s="326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28">
        <f>'[1]Prior Year'!E71</f>
        <v>2674362</v>
      </c>
      <c r="C498" s="328">
        <f>E71</f>
        <v>2865912</v>
      </c>
      <c r="D498" s="328">
        <f>'[1]Prior Year'!E59</f>
        <v>1223</v>
      </c>
      <c r="E498" s="2">
        <f>E59</f>
        <v>1201</v>
      </c>
      <c r="F498" s="329">
        <f t="shared" si="15"/>
        <v>2186.722812755519</v>
      </c>
      <c r="G498" s="329">
        <f t="shared" si="15"/>
        <v>2386.2714404662779</v>
      </c>
      <c r="H498" s="330" t="str">
        <f t="shared" si="16"/>
        <v/>
      </c>
      <c r="I498" s="264"/>
      <c r="J498" s="2"/>
      <c r="K498" s="326"/>
      <c r="L498" s="326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28">
        <f>'[1]Prior Year'!F71</f>
        <v>0</v>
      </c>
      <c r="C499" s="328">
        <f>F71</f>
        <v>0</v>
      </c>
      <c r="D499" s="328">
        <f>'[1]Prior Year'!F59</f>
        <v>0</v>
      </c>
      <c r="E499" s="2">
        <f>F59</f>
        <v>0</v>
      </c>
      <c r="F499" s="329" t="str">
        <f t="shared" si="15"/>
        <v/>
      </c>
      <c r="G499" s="329" t="str">
        <f t="shared" si="15"/>
        <v/>
      </c>
      <c r="H499" s="330" t="str">
        <f t="shared" si="16"/>
        <v/>
      </c>
      <c r="I499" s="264"/>
      <c r="J499" s="2"/>
      <c r="K499" s="326"/>
      <c r="L499" s="326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28">
        <f>'[1]Prior Year'!G71</f>
        <v>0</v>
      </c>
      <c r="C500" s="328">
        <f>G71</f>
        <v>0</v>
      </c>
      <c r="D500" s="328">
        <f>'[1]Prior Year'!G59</f>
        <v>0</v>
      </c>
      <c r="E500" s="2">
        <f>G59</f>
        <v>0</v>
      </c>
      <c r="F500" s="329" t="str">
        <f t="shared" si="15"/>
        <v/>
      </c>
      <c r="G500" s="329" t="str">
        <f t="shared" si="15"/>
        <v/>
      </c>
      <c r="H500" s="330" t="str">
        <f t="shared" si="16"/>
        <v/>
      </c>
      <c r="I500" s="264"/>
      <c r="J500" s="2"/>
      <c r="K500" s="326"/>
      <c r="L500" s="326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28">
        <f>'[1]Prior Year'!H71</f>
        <v>0</v>
      </c>
      <c r="C501" s="328">
        <f>H71</f>
        <v>0</v>
      </c>
      <c r="D501" s="328">
        <f>'[1]Prior Year'!H59</f>
        <v>0</v>
      </c>
      <c r="E501" s="2">
        <f>H59</f>
        <v>0</v>
      </c>
      <c r="F501" s="329" t="str">
        <f t="shared" si="15"/>
        <v/>
      </c>
      <c r="G501" s="329" t="str">
        <f t="shared" si="15"/>
        <v/>
      </c>
      <c r="H501" s="330" t="str">
        <f t="shared" si="16"/>
        <v/>
      </c>
      <c r="I501" s="264"/>
      <c r="J501" s="2"/>
      <c r="K501" s="326"/>
      <c r="L501" s="326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28">
        <f>'[1]Prior Year'!I71</f>
        <v>0</v>
      </c>
      <c r="C502" s="328">
        <f>I71</f>
        <v>0</v>
      </c>
      <c r="D502" s="328">
        <f>'[1]Prior Year'!I59</f>
        <v>0</v>
      </c>
      <c r="E502" s="2">
        <f>I59</f>
        <v>0</v>
      </c>
      <c r="F502" s="329" t="str">
        <f t="shared" si="15"/>
        <v/>
      </c>
      <c r="G502" s="329" t="str">
        <f t="shared" si="15"/>
        <v/>
      </c>
      <c r="H502" s="330" t="str">
        <f t="shared" si="16"/>
        <v/>
      </c>
      <c r="I502" s="264"/>
      <c r="J502" s="2"/>
      <c r="K502" s="326"/>
      <c r="L502" s="326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28">
        <f>'[1]Prior Year'!J71</f>
        <v>0</v>
      </c>
      <c r="C503" s="328">
        <f>J71</f>
        <v>0</v>
      </c>
      <c r="D503" s="328">
        <f>'[1]Prior Year'!J59</f>
        <v>0</v>
      </c>
      <c r="E503" s="2">
        <f>J59</f>
        <v>0</v>
      </c>
      <c r="F503" s="329" t="str">
        <f t="shared" si="15"/>
        <v/>
      </c>
      <c r="G503" s="329" t="str">
        <f t="shared" si="15"/>
        <v/>
      </c>
      <c r="H503" s="330" t="str">
        <f t="shared" si="16"/>
        <v/>
      </c>
      <c r="I503" s="264"/>
      <c r="J503" s="2"/>
      <c r="K503" s="326"/>
      <c r="L503" s="326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28">
        <f>'[1]Prior Year'!K71</f>
        <v>0</v>
      </c>
      <c r="C504" s="328">
        <f>K71</f>
        <v>0</v>
      </c>
      <c r="D504" s="328">
        <f>'[1]Prior Year'!K59</f>
        <v>0</v>
      </c>
      <c r="E504" s="2">
        <f>K59</f>
        <v>0</v>
      </c>
      <c r="F504" s="329" t="str">
        <f t="shared" si="15"/>
        <v/>
      </c>
      <c r="G504" s="329" t="str">
        <f t="shared" si="15"/>
        <v/>
      </c>
      <c r="H504" s="330" t="str">
        <f t="shared" si="16"/>
        <v/>
      </c>
      <c r="I504" s="264"/>
      <c r="J504" s="2"/>
      <c r="K504" s="326"/>
      <c r="L504" s="326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28">
        <f>'[1]Prior Year'!L71</f>
        <v>1570687</v>
      </c>
      <c r="C505" s="328">
        <f>L71</f>
        <v>1831694</v>
      </c>
      <c r="D505" s="328">
        <f>'[1]Prior Year'!L59</f>
        <v>4124</v>
      </c>
      <c r="E505" s="2">
        <f>L59</f>
        <v>4542</v>
      </c>
      <c r="F505" s="329">
        <f t="shared" si="15"/>
        <v>380.86493695441317</v>
      </c>
      <c r="G505" s="329">
        <f t="shared" si="15"/>
        <v>403.27917217084985</v>
      </c>
      <c r="H505" s="330" t="str">
        <f t="shared" si="16"/>
        <v/>
      </c>
      <c r="I505" s="264"/>
      <c r="J505" s="2"/>
      <c r="K505" s="326"/>
      <c r="L505" s="326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28">
        <f>'[1]Prior Year'!M71</f>
        <v>0</v>
      </c>
      <c r="C506" s="328">
        <f>M71</f>
        <v>0</v>
      </c>
      <c r="D506" s="328">
        <f>'[1]Prior Year'!M59</f>
        <v>0</v>
      </c>
      <c r="E506" s="2">
        <f>M59</f>
        <v>0</v>
      </c>
      <c r="F506" s="329" t="str">
        <f t="shared" si="15"/>
        <v/>
      </c>
      <c r="G506" s="329" t="str">
        <f t="shared" si="15"/>
        <v/>
      </c>
      <c r="H506" s="330" t="str">
        <f t="shared" si="16"/>
        <v/>
      </c>
      <c r="I506" s="264"/>
      <c r="J506" s="2"/>
      <c r="K506" s="326"/>
      <c r="L506" s="326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28">
        <f>'[1]Prior Year'!N71</f>
        <v>0</v>
      </c>
      <c r="C507" s="328">
        <f>N71</f>
        <v>0</v>
      </c>
      <c r="D507" s="328">
        <f>'[1]Prior Year'!N59</f>
        <v>0</v>
      </c>
      <c r="E507" s="2">
        <f>N59</f>
        <v>0</v>
      </c>
      <c r="F507" s="329" t="str">
        <f t="shared" si="15"/>
        <v/>
      </c>
      <c r="G507" s="329" t="str">
        <f t="shared" si="15"/>
        <v/>
      </c>
      <c r="H507" s="330" t="str">
        <f t="shared" si="16"/>
        <v/>
      </c>
      <c r="I507" s="264"/>
      <c r="J507" s="2"/>
      <c r="K507" s="326"/>
      <c r="L507" s="326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28">
        <f>'[1]Prior Year'!O71</f>
        <v>0</v>
      </c>
      <c r="C508" s="328">
        <f>O71</f>
        <v>0</v>
      </c>
      <c r="D508" s="328">
        <f>'[1]Prior Year'!O59</f>
        <v>0</v>
      </c>
      <c r="E508" s="2">
        <f>O59</f>
        <v>0</v>
      </c>
      <c r="F508" s="329" t="str">
        <f t="shared" si="15"/>
        <v/>
      </c>
      <c r="G508" s="329" t="str">
        <f t="shared" si="15"/>
        <v/>
      </c>
      <c r="H508" s="330" t="str">
        <f t="shared" si="16"/>
        <v/>
      </c>
      <c r="I508" s="264"/>
      <c r="J508" s="2"/>
      <c r="K508" s="326"/>
      <c r="L508" s="326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28">
        <f>'[1]Prior Year'!P71</f>
        <v>647736.94999999995</v>
      </c>
      <c r="C509" s="328">
        <f>P71</f>
        <v>679541</v>
      </c>
      <c r="D509" s="328">
        <f>'[1]Prior Year'!P59</f>
        <v>16578</v>
      </c>
      <c r="E509" s="2">
        <f>P59</f>
        <v>19488</v>
      </c>
      <c r="F509" s="329">
        <f t="shared" si="15"/>
        <v>39.072080468090235</v>
      </c>
      <c r="G509" s="329">
        <f t="shared" si="15"/>
        <v>34.869714696223319</v>
      </c>
      <c r="H509" s="330" t="str">
        <f t="shared" si="16"/>
        <v/>
      </c>
      <c r="I509" s="264"/>
      <c r="J509" s="2"/>
      <c r="K509" s="326"/>
      <c r="L509" s="326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28">
        <f>'[1]Prior Year'!Q71</f>
        <v>269465</v>
      </c>
      <c r="C510" s="328">
        <f>Q71</f>
        <v>269211</v>
      </c>
      <c r="D510" s="328">
        <f>'[1]Prior Year'!Q59</f>
        <v>24870</v>
      </c>
      <c r="E510" s="2">
        <f>Q59</f>
        <v>25905</v>
      </c>
      <c r="F510" s="329">
        <f t="shared" si="15"/>
        <v>10.834941696823481</v>
      </c>
      <c r="G510" s="329">
        <f t="shared" si="15"/>
        <v>10.392240880138969</v>
      </c>
      <c r="H510" s="330" t="str">
        <f t="shared" si="16"/>
        <v/>
      </c>
      <c r="I510" s="264"/>
      <c r="J510" s="2"/>
      <c r="K510" s="326"/>
      <c r="L510" s="326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28">
        <f>'[1]Prior Year'!R71</f>
        <v>549434</v>
      </c>
      <c r="C511" s="328">
        <f>R71</f>
        <v>989014</v>
      </c>
      <c r="D511" s="328">
        <f>'[1]Prior Year'!R59</f>
        <v>33655</v>
      </c>
      <c r="E511" s="2">
        <f>R59</f>
        <v>38660</v>
      </c>
      <c r="F511" s="329">
        <f t="shared" si="15"/>
        <v>16.325479126429951</v>
      </c>
      <c r="G511" s="329">
        <f t="shared" si="15"/>
        <v>25.582359027418519</v>
      </c>
      <c r="H511" s="330">
        <f t="shared" si="16"/>
        <v>0.56702041203815257</v>
      </c>
      <c r="I511" s="264"/>
      <c r="J511" s="2"/>
      <c r="K511" s="326"/>
      <c r="L511" s="326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28">
        <f>'[1]Prior Year'!S71</f>
        <v>153019</v>
      </c>
      <c r="C512" s="328">
        <f>S71</f>
        <v>147659</v>
      </c>
      <c r="D512" s="322" t="s">
        <v>529</v>
      </c>
      <c r="E512" s="322" t="s">
        <v>529</v>
      </c>
      <c r="F512" s="329" t="str">
        <f t="shared" ref="F512:G527" si="17">IF(B512=0,"",IF(D512=0,"",B512/D512))</f>
        <v/>
      </c>
      <c r="G512" s="329" t="str">
        <f t="shared" si="17"/>
        <v/>
      </c>
      <c r="H512" s="330" t="str">
        <f t="shared" si="16"/>
        <v/>
      </c>
      <c r="I512" s="264"/>
      <c r="J512" s="2"/>
      <c r="K512" s="326"/>
      <c r="L512" s="326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28">
        <f>'[1]Prior Year'!T71</f>
        <v>0</v>
      </c>
      <c r="C513" s="328">
        <f>T71</f>
        <v>0</v>
      </c>
      <c r="D513" s="322" t="s">
        <v>529</v>
      </c>
      <c r="E513" s="322" t="s">
        <v>529</v>
      </c>
      <c r="F513" s="329" t="str">
        <f t="shared" si="17"/>
        <v/>
      </c>
      <c r="G513" s="329" t="str">
        <f t="shared" si="17"/>
        <v/>
      </c>
      <c r="H513" s="330" t="str">
        <f t="shared" si="16"/>
        <v/>
      </c>
      <c r="I513" s="264"/>
      <c r="J513" s="2"/>
      <c r="K513" s="326"/>
      <c r="L513" s="326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28">
        <f>'[1]Prior Year'!U71</f>
        <v>1082339</v>
      </c>
      <c r="C514" s="328">
        <f>U71</f>
        <v>1062013</v>
      </c>
      <c r="D514" s="328">
        <f>'[1]Prior Year'!U59</f>
        <v>50013</v>
      </c>
      <c r="E514" s="2">
        <f>U59</f>
        <v>53660</v>
      </c>
      <c r="F514" s="329">
        <f t="shared" si="17"/>
        <v>21.641153300141962</v>
      </c>
      <c r="G514" s="329">
        <f t="shared" si="17"/>
        <v>19.79152068579948</v>
      </c>
      <c r="H514" s="330" t="str">
        <f t="shared" si="16"/>
        <v/>
      </c>
      <c r="I514" s="264"/>
      <c r="J514" s="2"/>
      <c r="K514" s="326"/>
      <c r="L514" s="326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28">
        <f>'[1]Prior Year'!V71</f>
        <v>314</v>
      </c>
      <c r="C515" s="328">
        <f>V71</f>
        <v>127</v>
      </c>
      <c r="D515" s="328">
        <f>'[1]Prior Year'!V59</f>
        <v>247</v>
      </c>
      <c r="E515" s="2">
        <f>V59</f>
        <v>313</v>
      </c>
      <c r="F515" s="329">
        <f t="shared" si="17"/>
        <v>1.2712550607287449</v>
      </c>
      <c r="G515" s="329">
        <f t="shared" si="17"/>
        <v>0.40575079872204473</v>
      </c>
      <c r="H515" s="330">
        <f t="shared" si="16"/>
        <v>-0.68082660100527059</v>
      </c>
      <c r="I515" s="264"/>
      <c r="J515" s="2"/>
      <c r="K515" s="326"/>
      <c r="L515" s="326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28">
        <f>'[1]Prior Year'!W71</f>
        <v>136195</v>
      </c>
      <c r="C516" s="328">
        <f>W71</f>
        <v>153400</v>
      </c>
      <c r="D516" s="328">
        <f>'[1]Prior Year'!W59</f>
        <v>352</v>
      </c>
      <c r="E516" s="2">
        <f>W59</f>
        <v>399</v>
      </c>
      <c r="F516" s="329">
        <f t="shared" si="17"/>
        <v>386.91761363636363</v>
      </c>
      <c r="G516" s="329">
        <f t="shared" si="17"/>
        <v>384.46115288220551</v>
      </c>
      <c r="H516" s="330" t="str">
        <f t="shared" si="16"/>
        <v/>
      </c>
      <c r="I516" s="264"/>
      <c r="J516" s="2"/>
      <c r="K516" s="326"/>
      <c r="L516" s="326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28">
        <f>'[1]Prior Year'!X71</f>
        <v>230747</v>
      </c>
      <c r="C517" s="328">
        <f>X71</f>
        <v>272243</v>
      </c>
      <c r="D517" s="328">
        <f>'[1]Prior Year'!X59</f>
        <v>1373</v>
      </c>
      <c r="E517" s="2">
        <f>X59</f>
        <v>1493</v>
      </c>
      <c r="F517" s="329">
        <f t="shared" si="17"/>
        <v>168.06045156591406</v>
      </c>
      <c r="G517" s="329">
        <f t="shared" si="17"/>
        <v>182.34628265237777</v>
      </c>
      <c r="H517" s="330" t="str">
        <f t="shared" si="16"/>
        <v/>
      </c>
      <c r="I517" s="264"/>
      <c r="J517" s="2"/>
      <c r="K517" s="326"/>
      <c r="L517" s="326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28">
        <f>'[1]Prior Year'!Y71</f>
        <v>793687</v>
      </c>
      <c r="C518" s="328">
        <f>Y71</f>
        <v>802959</v>
      </c>
      <c r="D518" s="328">
        <f>'[1]Prior Year'!Y59</f>
        <v>6217</v>
      </c>
      <c r="E518" s="2">
        <f>Y59</f>
        <v>7136</v>
      </c>
      <c r="F518" s="329">
        <f t="shared" si="17"/>
        <v>127.66398584526299</v>
      </c>
      <c r="G518" s="329">
        <f t="shared" si="17"/>
        <v>112.52228139013452</v>
      </c>
      <c r="H518" s="330" t="str">
        <f t="shared" si="16"/>
        <v/>
      </c>
      <c r="I518" s="264"/>
      <c r="J518" s="2"/>
      <c r="K518" s="326"/>
      <c r="L518" s="326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28">
        <f>'[1]Prior Year'!Z71</f>
        <v>0</v>
      </c>
      <c r="C519" s="328">
        <f>Z71</f>
        <v>0</v>
      </c>
      <c r="D519" s="328">
        <f>'[1]Prior Year'!Z59</f>
        <v>0</v>
      </c>
      <c r="E519" s="2">
        <f>Z59</f>
        <v>0</v>
      </c>
      <c r="F519" s="329" t="str">
        <f t="shared" si="17"/>
        <v/>
      </c>
      <c r="G519" s="329" t="str">
        <f t="shared" si="17"/>
        <v/>
      </c>
      <c r="H519" s="330" t="str">
        <f t="shared" si="16"/>
        <v/>
      </c>
      <c r="I519" s="264"/>
      <c r="J519" s="2"/>
      <c r="K519" s="326"/>
      <c r="L519" s="326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28">
        <f>'[1]Prior Year'!AA71</f>
        <v>0</v>
      </c>
      <c r="C520" s="328">
        <f>AA71</f>
        <v>0</v>
      </c>
      <c r="D520" s="328">
        <f>'[1]Prior Year'!AA59</f>
        <v>0</v>
      </c>
      <c r="E520" s="2">
        <f>AA59</f>
        <v>0</v>
      </c>
      <c r="F520" s="329" t="str">
        <f t="shared" si="17"/>
        <v/>
      </c>
      <c r="G520" s="329" t="str">
        <f t="shared" si="17"/>
        <v/>
      </c>
      <c r="H520" s="330" t="str">
        <f t="shared" si="16"/>
        <v/>
      </c>
      <c r="I520" s="264"/>
      <c r="J520" s="2"/>
      <c r="K520" s="326"/>
      <c r="L520" s="326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28">
        <f>'[1]Prior Year'!AB71</f>
        <v>908116</v>
      </c>
      <c r="C521" s="328">
        <f>AB71</f>
        <v>415667</v>
      </c>
      <c r="D521" s="322" t="s">
        <v>529</v>
      </c>
      <c r="E521" s="322" t="s">
        <v>529</v>
      </c>
      <c r="F521" s="329" t="str">
        <f t="shared" si="17"/>
        <v/>
      </c>
      <c r="G521" s="329" t="str">
        <f t="shared" si="17"/>
        <v/>
      </c>
      <c r="H521" s="330" t="str">
        <f t="shared" si="16"/>
        <v/>
      </c>
      <c r="I521" s="264"/>
      <c r="J521" s="2"/>
      <c r="K521" s="326"/>
      <c r="L521" s="326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28">
        <f>'[1]Prior Year'!AC71</f>
        <v>221629</v>
      </c>
      <c r="C522" s="328">
        <f>AC71</f>
        <v>208665</v>
      </c>
      <c r="D522" s="328">
        <f>'[1]Prior Year'!AC59</f>
        <v>0</v>
      </c>
      <c r="E522" s="2">
        <f>AC59</f>
        <v>5743</v>
      </c>
      <c r="F522" s="329" t="str">
        <f t="shared" si="17"/>
        <v/>
      </c>
      <c r="G522" s="329">
        <f t="shared" si="17"/>
        <v>36.333797666724706</v>
      </c>
      <c r="H522" s="330" t="str">
        <f t="shared" si="16"/>
        <v/>
      </c>
      <c r="I522" s="264"/>
      <c r="J522" s="2"/>
      <c r="K522" s="326"/>
      <c r="L522" s="326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28">
        <f>'[1]Prior Year'!AD71</f>
        <v>0</v>
      </c>
      <c r="C523" s="328">
        <f>AD71</f>
        <v>0</v>
      </c>
      <c r="D523" s="328">
        <f>'[1]Prior Year'!AD59</f>
        <v>0</v>
      </c>
      <c r="E523" s="2">
        <f>AD59</f>
        <v>0</v>
      </c>
      <c r="F523" s="329" t="str">
        <f t="shared" si="17"/>
        <v/>
      </c>
      <c r="G523" s="329" t="str">
        <f t="shared" si="17"/>
        <v/>
      </c>
      <c r="H523" s="330" t="str">
        <f t="shared" si="16"/>
        <v/>
      </c>
      <c r="I523" s="264"/>
      <c r="J523" s="2"/>
      <c r="K523" s="326"/>
      <c r="L523" s="326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28">
        <f>'[1]Prior Year'!AE71</f>
        <v>842713</v>
      </c>
      <c r="C524" s="328">
        <f>AE71</f>
        <v>785187</v>
      </c>
      <c r="D524" s="328">
        <f>'[1]Prior Year'!AE59</f>
        <v>8849</v>
      </c>
      <c r="E524" s="2">
        <f>AE59</f>
        <v>9400</v>
      </c>
      <c r="F524" s="329">
        <f t="shared" si="17"/>
        <v>95.232568651825062</v>
      </c>
      <c r="G524" s="329">
        <f t="shared" si="17"/>
        <v>83.530531914893615</v>
      </c>
      <c r="H524" s="330" t="str">
        <f t="shared" si="16"/>
        <v/>
      </c>
      <c r="I524" s="264"/>
      <c r="J524" s="2"/>
      <c r="K524" s="326"/>
      <c r="L524" s="326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28">
        <f>'[1]Prior Year'!AF71</f>
        <v>0</v>
      </c>
      <c r="C525" s="328">
        <f>AF71</f>
        <v>0</v>
      </c>
      <c r="D525" s="328">
        <f>'[1]Prior Year'!AF59</f>
        <v>0</v>
      </c>
      <c r="E525" s="2">
        <f>AF59</f>
        <v>0</v>
      </c>
      <c r="F525" s="329" t="str">
        <f t="shared" si="17"/>
        <v/>
      </c>
      <c r="G525" s="329" t="str">
        <f t="shared" si="17"/>
        <v/>
      </c>
      <c r="H525" s="330" t="str">
        <f t="shared" si="16"/>
        <v/>
      </c>
      <c r="I525" s="264"/>
      <c r="J525" s="2"/>
      <c r="K525" s="326"/>
      <c r="L525" s="326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28">
        <f>'[1]Prior Year'!AG71</f>
        <v>1178816</v>
      </c>
      <c r="C526" s="328">
        <f>AG71</f>
        <v>1157359</v>
      </c>
      <c r="D526" s="328">
        <f>'[1]Prior Year'!AG59</f>
        <v>2823</v>
      </c>
      <c r="E526" s="2">
        <f>AG59</f>
        <v>2792</v>
      </c>
      <c r="F526" s="329">
        <f t="shared" si="17"/>
        <v>417.57562876372651</v>
      </c>
      <c r="G526" s="329">
        <f t="shared" si="17"/>
        <v>414.52686246418341</v>
      </c>
      <c r="H526" s="330" t="str">
        <f t="shared" si="16"/>
        <v/>
      </c>
      <c r="I526" s="264"/>
      <c r="J526" s="2"/>
      <c r="K526" s="326"/>
      <c r="L526" s="326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28">
        <f>'[1]Prior Year'!AH71</f>
        <v>262454</v>
      </c>
      <c r="C527" s="328">
        <f>AH71</f>
        <v>259803</v>
      </c>
      <c r="D527" s="328">
        <f>'[1]Prior Year'!AH59</f>
        <v>0</v>
      </c>
      <c r="E527" s="2">
        <f>AH59</f>
        <v>396</v>
      </c>
      <c r="F527" s="329" t="str">
        <f t="shared" si="17"/>
        <v/>
      </c>
      <c r="G527" s="329">
        <f t="shared" si="17"/>
        <v>656.06818181818187</v>
      </c>
      <c r="H527" s="330" t="str">
        <f t="shared" si="16"/>
        <v/>
      </c>
      <c r="I527" s="264"/>
      <c r="J527" s="2"/>
      <c r="K527" s="326"/>
      <c r="L527" s="326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28">
        <f>'[1]Prior Year'!AI71</f>
        <v>0</v>
      </c>
      <c r="C528" s="328">
        <f>AI71</f>
        <v>0</v>
      </c>
      <c r="D528" s="328">
        <f>'[1]Prior Year'!AI59</f>
        <v>0</v>
      </c>
      <c r="E528" s="2">
        <f>AI59</f>
        <v>0</v>
      </c>
      <c r="F528" s="329" t="str">
        <f t="shared" ref="F528:G540" si="18">IF(B528=0,"",IF(D528=0,"",B528/D528))</f>
        <v/>
      </c>
      <c r="G528" s="329" t="str">
        <f t="shared" si="18"/>
        <v/>
      </c>
      <c r="H528" s="330" t="str">
        <f t="shared" si="16"/>
        <v/>
      </c>
      <c r="I528" s="264"/>
      <c r="J528" s="2"/>
      <c r="K528" s="326"/>
      <c r="L528" s="326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28">
        <f>'[1]Prior Year'!AJ71</f>
        <v>5270954</v>
      </c>
      <c r="C529" s="328">
        <f>AJ71</f>
        <v>5789032</v>
      </c>
      <c r="D529" s="328">
        <f>'[1]Prior Year'!AJ59</f>
        <v>20595</v>
      </c>
      <c r="E529" s="2">
        <f>AJ59</f>
        <v>23755</v>
      </c>
      <c r="F529" s="329">
        <f t="shared" si="18"/>
        <v>255.93367322165574</v>
      </c>
      <c r="G529" s="329">
        <f t="shared" si="18"/>
        <v>243.6974110713534</v>
      </c>
      <c r="H529" s="330" t="str">
        <f t="shared" si="16"/>
        <v/>
      </c>
      <c r="I529" s="264"/>
      <c r="J529" s="2"/>
      <c r="K529" s="326"/>
      <c r="L529" s="326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28">
        <f>'[1]Prior Year'!AK71</f>
        <v>87732</v>
      </c>
      <c r="C530" s="328">
        <f>AK71</f>
        <v>78442</v>
      </c>
      <c r="D530" s="328">
        <f>'[1]Prior Year'!AK59</f>
        <v>0</v>
      </c>
      <c r="E530" s="2">
        <f>AK59</f>
        <v>0</v>
      </c>
      <c r="F530" s="329" t="str">
        <f t="shared" si="18"/>
        <v/>
      </c>
      <c r="G530" s="329" t="str">
        <f t="shared" si="18"/>
        <v/>
      </c>
      <c r="H530" s="330" t="str">
        <f t="shared" si="16"/>
        <v/>
      </c>
      <c r="I530" s="264"/>
      <c r="J530" s="2"/>
      <c r="K530" s="326"/>
      <c r="L530" s="326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28">
        <f>'[1]Prior Year'!AL71</f>
        <v>30525</v>
      </c>
      <c r="C531" s="328">
        <f>AL71</f>
        <v>57662</v>
      </c>
      <c r="D531" s="328">
        <f>'[1]Prior Year'!AL59</f>
        <v>0</v>
      </c>
      <c r="E531" s="2">
        <f>AL59</f>
        <v>0</v>
      </c>
      <c r="F531" s="329" t="str">
        <f t="shared" si="18"/>
        <v/>
      </c>
      <c r="G531" s="329" t="str">
        <f t="shared" si="18"/>
        <v/>
      </c>
      <c r="H531" s="330" t="str">
        <f t="shared" si="16"/>
        <v/>
      </c>
      <c r="I531" s="264"/>
      <c r="J531" s="2"/>
      <c r="K531" s="326"/>
      <c r="L531" s="326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28">
        <f>'[1]Prior Year'!AM71</f>
        <v>51121</v>
      </c>
      <c r="C532" s="328">
        <f>AM71</f>
        <v>39909</v>
      </c>
      <c r="D532" s="328">
        <f>'[1]Prior Year'!AM59</f>
        <v>0</v>
      </c>
      <c r="E532" s="2">
        <f>AM59</f>
        <v>0</v>
      </c>
      <c r="F532" s="329" t="str">
        <f t="shared" si="18"/>
        <v/>
      </c>
      <c r="G532" s="329" t="str">
        <f t="shared" si="18"/>
        <v/>
      </c>
      <c r="H532" s="330" t="str">
        <f t="shared" si="16"/>
        <v/>
      </c>
      <c r="I532" s="264"/>
      <c r="J532" s="2"/>
      <c r="K532" s="326"/>
      <c r="L532" s="326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28">
        <f>'[1]Prior Year'!AN71</f>
        <v>0</v>
      </c>
      <c r="C533" s="328">
        <f>AN71</f>
        <v>0</v>
      </c>
      <c r="D533" s="328">
        <f>'[1]Prior Year'!AN59</f>
        <v>0</v>
      </c>
      <c r="E533" s="2">
        <f>AN59</f>
        <v>0</v>
      </c>
      <c r="F533" s="329" t="str">
        <f t="shared" si="18"/>
        <v/>
      </c>
      <c r="G533" s="329" t="str">
        <f t="shared" si="18"/>
        <v/>
      </c>
      <c r="H533" s="330" t="str">
        <f t="shared" si="16"/>
        <v/>
      </c>
      <c r="I533" s="264"/>
      <c r="J533" s="2"/>
      <c r="K533" s="326"/>
      <c r="L533" s="326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28">
        <f>'[1]Prior Year'!AO71</f>
        <v>0</v>
      </c>
      <c r="C534" s="328">
        <f>AO71</f>
        <v>0</v>
      </c>
      <c r="D534" s="328">
        <f>'[1]Prior Year'!AO59</f>
        <v>0</v>
      </c>
      <c r="E534" s="2">
        <f>AO59</f>
        <v>0</v>
      </c>
      <c r="F534" s="329" t="str">
        <f t="shared" si="18"/>
        <v/>
      </c>
      <c r="G534" s="329" t="str">
        <f t="shared" si="18"/>
        <v/>
      </c>
      <c r="H534" s="330" t="str">
        <f t="shared" si="16"/>
        <v/>
      </c>
      <c r="I534" s="264"/>
      <c r="J534" s="2"/>
      <c r="K534" s="326"/>
      <c r="L534" s="326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28">
        <f>'[1]Prior Year'!AP71</f>
        <v>0</v>
      </c>
      <c r="C535" s="328">
        <f>AP71</f>
        <v>0</v>
      </c>
      <c r="D535" s="328">
        <f>'[1]Prior Year'!AP59</f>
        <v>0</v>
      </c>
      <c r="E535" s="2">
        <f>AP59</f>
        <v>0</v>
      </c>
      <c r="F535" s="329" t="str">
        <f t="shared" si="18"/>
        <v/>
      </c>
      <c r="G535" s="329" t="str">
        <f t="shared" si="18"/>
        <v/>
      </c>
      <c r="H535" s="330" t="str">
        <f t="shared" si="16"/>
        <v/>
      </c>
      <c r="I535" s="264"/>
      <c r="J535" s="2"/>
      <c r="K535" s="326"/>
      <c r="L535" s="326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28">
        <f>'[1]Prior Year'!AQ71</f>
        <v>0</v>
      </c>
      <c r="C536" s="328">
        <f>AQ71</f>
        <v>0</v>
      </c>
      <c r="D536" s="328">
        <f>'[1]Prior Year'!AQ59</f>
        <v>0</v>
      </c>
      <c r="E536" s="2">
        <f>AQ59</f>
        <v>0</v>
      </c>
      <c r="F536" s="329" t="str">
        <f t="shared" si="18"/>
        <v/>
      </c>
      <c r="G536" s="329" t="str">
        <f t="shared" si="18"/>
        <v/>
      </c>
      <c r="H536" s="330" t="str">
        <f t="shared" si="16"/>
        <v/>
      </c>
      <c r="I536" s="264"/>
      <c r="J536" s="2"/>
      <c r="K536" s="326"/>
      <c r="L536" s="326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28">
        <f>'[1]Prior Year'!AR71</f>
        <v>0</v>
      </c>
      <c r="C537" s="328">
        <f>AR71</f>
        <v>0</v>
      </c>
      <c r="D537" s="328">
        <f>'[1]Prior Year'!AR59</f>
        <v>0</v>
      </c>
      <c r="E537" s="2">
        <f>AR59</f>
        <v>0</v>
      </c>
      <c r="F537" s="329" t="str">
        <f t="shared" si="18"/>
        <v/>
      </c>
      <c r="G537" s="329" t="str">
        <f t="shared" si="18"/>
        <v/>
      </c>
      <c r="H537" s="330" t="str">
        <f t="shared" si="16"/>
        <v/>
      </c>
      <c r="I537" s="264"/>
      <c r="J537" s="2"/>
      <c r="K537" s="326"/>
      <c r="L537" s="326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28">
        <f>'[1]Prior Year'!AS71</f>
        <v>0</v>
      </c>
      <c r="C538" s="328">
        <f>AS71</f>
        <v>0</v>
      </c>
      <c r="D538" s="328">
        <f>'[1]Prior Year'!AS59</f>
        <v>0</v>
      </c>
      <c r="E538" s="2">
        <f>AS59</f>
        <v>0</v>
      </c>
      <c r="F538" s="329" t="str">
        <f t="shared" si="18"/>
        <v/>
      </c>
      <c r="G538" s="329" t="str">
        <f t="shared" si="18"/>
        <v/>
      </c>
      <c r="H538" s="330" t="str">
        <f t="shared" si="16"/>
        <v/>
      </c>
      <c r="I538" s="264"/>
      <c r="J538" s="2"/>
      <c r="K538" s="326"/>
      <c r="L538" s="326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28">
        <f>'[1]Prior Year'!AT71</f>
        <v>0</v>
      </c>
      <c r="C539" s="328">
        <f>AT71</f>
        <v>0</v>
      </c>
      <c r="D539" s="328">
        <f>'[1]Prior Year'!AT59</f>
        <v>0</v>
      </c>
      <c r="E539" s="2">
        <f>AT59</f>
        <v>0</v>
      </c>
      <c r="F539" s="329" t="str">
        <f t="shared" si="18"/>
        <v/>
      </c>
      <c r="G539" s="329" t="str">
        <f t="shared" si="18"/>
        <v/>
      </c>
      <c r="H539" s="330" t="str">
        <f t="shared" si="16"/>
        <v/>
      </c>
      <c r="I539" s="264"/>
      <c r="J539" s="2"/>
      <c r="K539" s="326"/>
      <c r="L539" s="326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28">
        <f>'[1]Prior Year'!AU71</f>
        <v>0</v>
      </c>
      <c r="C540" s="328">
        <f>AU71</f>
        <v>0</v>
      </c>
      <c r="D540" s="328">
        <f>'[1]Prior Year'!AU59</f>
        <v>0</v>
      </c>
      <c r="E540" s="2">
        <f>AU59</f>
        <v>0</v>
      </c>
      <c r="F540" s="329" t="str">
        <f t="shared" si="18"/>
        <v/>
      </c>
      <c r="G540" s="329" t="str">
        <f t="shared" si="18"/>
        <v/>
      </c>
      <c r="H540" s="330" t="str">
        <f t="shared" si="16"/>
        <v/>
      </c>
      <c r="I540" s="264"/>
      <c r="J540" s="2"/>
      <c r="K540" s="326"/>
      <c r="L540" s="326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28">
        <f>'[1]Prior Year'!AV71</f>
        <v>174751</v>
      </c>
      <c r="C541" s="328">
        <f>AV71</f>
        <v>195304</v>
      </c>
      <c r="D541" s="322" t="s">
        <v>529</v>
      </c>
      <c r="E541" s="322" t="s">
        <v>529</v>
      </c>
      <c r="F541" s="329"/>
      <c r="G541" s="329"/>
      <c r="H541" s="330"/>
      <c r="I541" s="264"/>
      <c r="J541" s="2"/>
      <c r="K541" s="326"/>
      <c r="L541" s="326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28">
        <f>'[1]Prior Year'!AW71</f>
        <v>0</v>
      </c>
      <c r="C542" s="328">
        <f>AW71</f>
        <v>0</v>
      </c>
      <c r="D542" s="322" t="s">
        <v>529</v>
      </c>
      <c r="E542" s="322" t="s">
        <v>529</v>
      </c>
      <c r="F542" s="329"/>
      <c r="G542" s="329"/>
      <c r="H542" s="330"/>
      <c r="I542" s="264"/>
      <c r="J542" s="2"/>
      <c r="K542" s="326"/>
      <c r="L542" s="326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28">
        <f>'[1]Prior Year'!AX71</f>
        <v>0</v>
      </c>
      <c r="C543" s="328">
        <f>AX71</f>
        <v>0</v>
      </c>
      <c r="D543" s="322" t="s">
        <v>529</v>
      </c>
      <c r="E543" s="322" t="s">
        <v>529</v>
      </c>
      <c r="F543" s="329"/>
      <c r="G543" s="329"/>
      <c r="H543" s="330"/>
      <c r="I543" s="264"/>
      <c r="J543" s="2"/>
      <c r="K543" s="326"/>
      <c r="L543" s="326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28">
        <f>'[1]Prior Year'!AY71</f>
        <v>687596</v>
      </c>
      <c r="C544" s="328">
        <f>AY71</f>
        <v>588607</v>
      </c>
      <c r="D544" s="328">
        <f>'[1]Prior Year'!AY59</f>
        <v>15797</v>
      </c>
      <c r="E544" s="2">
        <f>AY59</f>
        <v>17045</v>
      </c>
      <c r="F544" s="329">
        <f t="shared" ref="F544:G550" si="19">IF(B544=0,"",IF(D544=0,"",B544/D544))</f>
        <v>43.526998797239983</v>
      </c>
      <c r="G544" s="329">
        <f t="shared" si="19"/>
        <v>34.532531534174247</v>
      </c>
      <c r="H544" s="330" t="str">
        <f t="shared" si="16"/>
        <v/>
      </c>
      <c r="I544" s="264"/>
      <c r="J544" s="2"/>
      <c r="K544" s="326"/>
      <c r="L544" s="326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28">
        <f>'[1]Prior Year'!AZ71</f>
        <v>0</v>
      </c>
      <c r="C545" s="328">
        <f>AZ71</f>
        <v>0</v>
      </c>
      <c r="D545" s="328">
        <f>'[1]Prior Year'!AZ59</f>
        <v>0</v>
      </c>
      <c r="E545" s="2">
        <f>AZ59</f>
        <v>0</v>
      </c>
      <c r="F545" s="329" t="str">
        <f t="shared" si="19"/>
        <v/>
      </c>
      <c r="G545" s="329" t="str">
        <f t="shared" si="19"/>
        <v/>
      </c>
      <c r="H545" s="330" t="str">
        <f t="shared" si="16"/>
        <v/>
      </c>
      <c r="I545" s="264"/>
      <c r="J545" s="2"/>
      <c r="K545" s="326"/>
      <c r="L545" s="326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28">
        <f>'[1]Prior Year'!BA71</f>
        <v>59756</v>
      </c>
      <c r="C546" s="328">
        <f>BA71</f>
        <v>61291</v>
      </c>
      <c r="D546" s="328">
        <f>'[1]Prior Year'!BA59</f>
        <v>0</v>
      </c>
      <c r="E546" s="2">
        <f>BA59</f>
        <v>0</v>
      </c>
      <c r="F546" s="329" t="str">
        <f t="shared" si="19"/>
        <v/>
      </c>
      <c r="G546" s="329" t="str">
        <f t="shared" si="19"/>
        <v/>
      </c>
      <c r="H546" s="330" t="str">
        <f t="shared" si="16"/>
        <v/>
      </c>
      <c r="I546" s="264"/>
      <c r="J546" s="2"/>
      <c r="K546" s="326"/>
      <c r="L546" s="326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28">
        <f>'[1]Prior Year'!BB71</f>
        <v>95357</v>
      </c>
      <c r="C547" s="328">
        <f>BB71</f>
        <v>99164</v>
      </c>
      <c r="D547" s="322" t="s">
        <v>529</v>
      </c>
      <c r="E547" s="322" t="s">
        <v>529</v>
      </c>
      <c r="F547" s="329"/>
      <c r="G547" s="329"/>
      <c r="H547" s="330"/>
      <c r="I547" s="264"/>
      <c r="J547" s="2"/>
      <c r="K547" s="326"/>
      <c r="L547" s="326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28">
        <f>'[1]Prior Year'!BC71</f>
        <v>0</v>
      </c>
      <c r="C548" s="328">
        <f>BC71</f>
        <v>0</v>
      </c>
      <c r="D548" s="322" t="s">
        <v>529</v>
      </c>
      <c r="E548" s="322" t="s">
        <v>529</v>
      </c>
      <c r="F548" s="329"/>
      <c r="G548" s="329"/>
      <c r="H548" s="330"/>
      <c r="I548" s="264"/>
      <c r="J548" s="2"/>
      <c r="K548" s="326"/>
      <c r="L548" s="326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28">
        <f>'[1]Prior Year'!BD71</f>
        <v>0</v>
      </c>
      <c r="C549" s="328">
        <f>BD71</f>
        <v>0</v>
      </c>
      <c r="D549" s="322" t="s">
        <v>529</v>
      </c>
      <c r="E549" s="322" t="s">
        <v>529</v>
      </c>
      <c r="F549" s="329"/>
      <c r="G549" s="329"/>
      <c r="H549" s="330"/>
      <c r="I549" s="264"/>
      <c r="J549" s="2"/>
      <c r="K549" s="326"/>
      <c r="L549" s="326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28">
        <f>'[1]Prior Year'!BE71</f>
        <v>701872</v>
      </c>
      <c r="C550" s="328">
        <f>BE71</f>
        <v>714152</v>
      </c>
      <c r="D550" s="328">
        <f>'[1]Prior Year'!BE59</f>
        <v>41043</v>
      </c>
      <c r="E550" s="2">
        <f>BE59</f>
        <v>41043</v>
      </c>
      <c r="F550" s="329">
        <f t="shared" si="19"/>
        <v>17.100894184148331</v>
      </c>
      <c r="G550" s="329">
        <f t="shared" si="19"/>
        <v>17.400092585824623</v>
      </c>
      <c r="H550" s="330" t="str">
        <f t="shared" si="16"/>
        <v/>
      </c>
      <c r="I550" s="264"/>
      <c r="J550" s="2"/>
      <c r="K550" s="326"/>
      <c r="L550" s="326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28">
        <f>'[1]Prior Year'!BF71</f>
        <v>381810</v>
      </c>
      <c r="C551" s="328">
        <f>BF71</f>
        <v>407131</v>
      </c>
      <c r="D551" s="322" t="s">
        <v>529</v>
      </c>
      <c r="E551" s="322" t="s">
        <v>529</v>
      </c>
      <c r="F551" s="329"/>
      <c r="G551" s="329"/>
      <c r="H551" s="330"/>
      <c r="I551" s="264"/>
      <c r="J551" s="317"/>
      <c r="K551" s="2"/>
      <c r="L551" s="2"/>
      <c r="M551" s="33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28">
        <f>'[1]Prior Year'!BG71</f>
        <v>0</v>
      </c>
      <c r="C552" s="328">
        <f>BG71</f>
        <v>0</v>
      </c>
      <c r="D552" s="322" t="s">
        <v>529</v>
      </c>
      <c r="E552" s="322" t="s">
        <v>529</v>
      </c>
      <c r="F552" s="329"/>
      <c r="G552" s="329"/>
      <c r="H552" s="330"/>
      <c r="I552" s="2"/>
      <c r="J552" s="317"/>
      <c r="K552" s="2"/>
      <c r="L552" s="2"/>
      <c r="M552" s="33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28">
        <f>'[1]Prior Year'!BH71</f>
        <v>0</v>
      </c>
      <c r="C553" s="328">
        <f>BH71</f>
        <v>0</v>
      </c>
      <c r="D553" s="322" t="s">
        <v>529</v>
      </c>
      <c r="E553" s="322" t="s">
        <v>529</v>
      </c>
      <c r="F553" s="329"/>
      <c r="G553" s="329"/>
      <c r="H553" s="330"/>
      <c r="I553" s="2"/>
      <c r="J553" s="317"/>
      <c r="K553" s="2"/>
      <c r="L553" s="2"/>
      <c r="M553" s="33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28">
        <f>'[1]Prior Year'!BI71</f>
        <v>0</v>
      </c>
      <c r="C554" s="328">
        <f>BI71</f>
        <v>0</v>
      </c>
      <c r="D554" s="322" t="s">
        <v>529</v>
      </c>
      <c r="E554" s="322" t="s">
        <v>529</v>
      </c>
      <c r="F554" s="329"/>
      <c r="G554" s="329"/>
      <c r="H554" s="330"/>
      <c r="I554" s="2"/>
      <c r="J554" s="317"/>
      <c r="K554" s="2"/>
      <c r="L554" s="2"/>
      <c r="M554" s="33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28">
        <f>'[1]Prior Year'!BJ71</f>
        <v>395506</v>
      </c>
      <c r="C555" s="328">
        <f>BJ71</f>
        <v>413708</v>
      </c>
      <c r="D555" s="322" t="s">
        <v>529</v>
      </c>
      <c r="E555" s="322" t="s">
        <v>529</v>
      </c>
      <c r="F555" s="329"/>
      <c r="G555" s="329"/>
      <c r="H555" s="330"/>
      <c r="I555" s="2"/>
      <c r="J555" s="317"/>
      <c r="K555" s="2"/>
      <c r="L555" s="2"/>
      <c r="M555" s="33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28">
        <f>'[1]Prior Year'!BK71</f>
        <v>841349</v>
      </c>
      <c r="C556" s="328">
        <f>BK71</f>
        <v>680656</v>
      </c>
      <c r="D556" s="322" t="s">
        <v>529</v>
      </c>
      <c r="E556" s="322" t="s">
        <v>529</v>
      </c>
      <c r="F556" s="329"/>
      <c r="G556" s="329"/>
      <c r="H556" s="330"/>
      <c r="I556" s="2"/>
      <c r="J556" s="317"/>
      <c r="K556" s="2"/>
      <c r="L556" s="2"/>
      <c r="M556" s="33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28">
        <f>'[1]Prior Year'!BL71</f>
        <v>684589</v>
      </c>
      <c r="C557" s="328">
        <f>BL71</f>
        <v>702819</v>
      </c>
      <c r="D557" s="322" t="s">
        <v>529</v>
      </c>
      <c r="E557" s="322" t="s">
        <v>529</v>
      </c>
      <c r="F557" s="329"/>
      <c r="G557" s="329"/>
      <c r="H557" s="330"/>
      <c r="I557" s="2"/>
      <c r="J557" s="317"/>
      <c r="K557" s="2"/>
      <c r="L557" s="2"/>
      <c r="M557" s="33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28">
        <f>'[1]Prior Year'!BM71</f>
        <v>865225</v>
      </c>
      <c r="C558" s="328">
        <f>BM71</f>
        <v>210785</v>
      </c>
      <c r="D558" s="322" t="s">
        <v>529</v>
      </c>
      <c r="E558" s="322" t="s">
        <v>529</v>
      </c>
      <c r="F558" s="329"/>
      <c r="G558" s="329"/>
      <c r="H558" s="330"/>
      <c r="I558" s="2"/>
      <c r="J558" s="317"/>
      <c r="K558" s="2"/>
      <c r="L558" s="2"/>
      <c r="M558" s="33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28">
        <f>'[1]Prior Year'!BN71</f>
        <v>1377286</v>
      </c>
      <c r="C559" s="328">
        <f>BN71</f>
        <v>2121525</v>
      </c>
      <c r="D559" s="322" t="s">
        <v>529</v>
      </c>
      <c r="E559" s="322" t="s">
        <v>529</v>
      </c>
      <c r="F559" s="329"/>
      <c r="G559" s="329"/>
      <c r="H559" s="330"/>
      <c r="I559" s="2"/>
      <c r="J559" s="317"/>
      <c r="K559" s="2"/>
      <c r="L559" s="2"/>
      <c r="M559" s="33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28">
        <f>'[1]Prior Year'!BO71</f>
        <v>0</v>
      </c>
      <c r="C560" s="328">
        <f>BO71</f>
        <v>0</v>
      </c>
      <c r="D560" s="322" t="s">
        <v>529</v>
      </c>
      <c r="E560" s="322" t="s">
        <v>529</v>
      </c>
      <c r="F560" s="329"/>
      <c r="G560" s="329"/>
      <c r="H560" s="330"/>
      <c r="I560" s="2"/>
      <c r="J560" s="317"/>
      <c r="K560" s="2"/>
      <c r="L560" s="2"/>
      <c r="M560" s="33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28">
        <f>'[1]Prior Year'!BP71</f>
        <v>0</v>
      </c>
      <c r="C561" s="328">
        <f>BP71</f>
        <v>0</v>
      </c>
      <c r="D561" s="322" t="s">
        <v>529</v>
      </c>
      <c r="E561" s="322" t="s">
        <v>529</v>
      </c>
      <c r="F561" s="329"/>
      <c r="G561" s="329"/>
      <c r="H561" s="330"/>
      <c r="I561" s="2"/>
      <c r="J561" s="317"/>
      <c r="K561" s="2"/>
      <c r="L561" s="2"/>
      <c r="M561" s="33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28">
        <f>'[1]Prior Year'!BQ71</f>
        <v>0</v>
      </c>
      <c r="C562" s="328">
        <f>BQ71</f>
        <v>0</v>
      </c>
      <c r="D562" s="322" t="s">
        <v>529</v>
      </c>
      <c r="E562" s="322" t="s">
        <v>529</v>
      </c>
      <c r="F562" s="329"/>
      <c r="G562" s="329"/>
      <c r="H562" s="330"/>
      <c r="I562" s="2"/>
      <c r="J562" s="317"/>
      <c r="K562" s="2"/>
      <c r="L562" s="2"/>
      <c r="M562" s="33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28">
        <f>'[1]Prior Year'!BR71</f>
        <v>303023</v>
      </c>
      <c r="C563" s="328">
        <f>BR71</f>
        <v>287222</v>
      </c>
      <c r="D563" s="322" t="s">
        <v>529</v>
      </c>
      <c r="E563" s="322" t="s">
        <v>529</v>
      </c>
      <c r="F563" s="329"/>
      <c r="G563" s="329"/>
      <c r="H563" s="330"/>
      <c r="I563" s="2"/>
      <c r="J563" s="317"/>
      <c r="K563" s="2"/>
      <c r="L563" s="2"/>
      <c r="M563" s="33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28">
        <f>'[1]Prior Year'!BS71</f>
        <v>0</v>
      </c>
      <c r="C564" s="328">
        <f>BS71</f>
        <v>0</v>
      </c>
      <c r="D564" s="322" t="s">
        <v>529</v>
      </c>
      <c r="E564" s="322" t="s">
        <v>529</v>
      </c>
      <c r="F564" s="329"/>
      <c r="G564" s="329"/>
      <c r="H564" s="330"/>
      <c r="I564" s="2"/>
      <c r="J564" s="317"/>
      <c r="K564" s="2"/>
      <c r="L564" s="2"/>
      <c r="M564" s="33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28">
        <f>'[1]Prior Year'!BT71</f>
        <v>0</v>
      </c>
      <c r="C565" s="328">
        <f>BT71</f>
        <v>0</v>
      </c>
      <c r="D565" s="322" t="s">
        <v>529</v>
      </c>
      <c r="E565" s="322" t="s">
        <v>529</v>
      </c>
      <c r="F565" s="329"/>
      <c r="G565" s="329"/>
      <c r="H565" s="330"/>
      <c r="I565" s="2"/>
      <c r="J565" s="317"/>
      <c r="K565" s="2"/>
      <c r="L565" s="2"/>
      <c r="M565" s="33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28">
        <f>'[1]Prior Year'!BU71</f>
        <v>0</v>
      </c>
      <c r="C566" s="328">
        <f>BU71</f>
        <v>0</v>
      </c>
      <c r="D566" s="322" t="s">
        <v>529</v>
      </c>
      <c r="E566" s="322" t="s">
        <v>529</v>
      </c>
      <c r="F566" s="329"/>
      <c r="G566" s="329"/>
      <c r="H566" s="330"/>
      <c r="I566" s="2"/>
      <c r="J566" s="317"/>
      <c r="K566" s="2"/>
      <c r="L566" s="2"/>
      <c r="M566" s="33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28">
        <f>'[1]Prior Year'!BV71</f>
        <v>382753</v>
      </c>
      <c r="C567" s="328">
        <f>BV71</f>
        <v>377764</v>
      </c>
      <c r="D567" s="322" t="s">
        <v>529</v>
      </c>
      <c r="E567" s="322" t="s">
        <v>529</v>
      </c>
      <c r="F567" s="329"/>
      <c r="G567" s="329"/>
      <c r="H567" s="330"/>
      <c r="I567" s="2"/>
      <c r="J567" s="317"/>
      <c r="K567" s="2"/>
      <c r="L567" s="2"/>
      <c r="M567" s="33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28">
        <f>'[1]Prior Year'!BW71</f>
        <v>0</v>
      </c>
      <c r="C568" s="328">
        <f>BW71</f>
        <v>0</v>
      </c>
      <c r="D568" s="322" t="s">
        <v>529</v>
      </c>
      <c r="E568" s="322" t="s">
        <v>529</v>
      </c>
      <c r="F568" s="329"/>
      <c r="G568" s="329"/>
      <c r="H568" s="330"/>
      <c r="I568" s="2"/>
      <c r="J568" s="317"/>
      <c r="K568" s="2"/>
      <c r="L568" s="2"/>
      <c r="M568" s="33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28">
        <f>'[1]Prior Year'!BX71</f>
        <v>0</v>
      </c>
      <c r="C569" s="328">
        <f>BX71</f>
        <v>0</v>
      </c>
      <c r="D569" s="322" t="s">
        <v>529</v>
      </c>
      <c r="E569" s="322" t="s">
        <v>529</v>
      </c>
      <c r="F569" s="329"/>
      <c r="G569" s="329"/>
      <c r="H569" s="330"/>
      <c r="I569" s="2"/>
      <c r="J569" s="317"/>
      <c r="K569" s="2"/>
      <c r="L569" s="2"/>
      <c r="M569" s="33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28">
        <f>'[1]Prior Year'!BY71</f>
        <v>252</v>
      </c>
      <c r="C570" s="328">
        <f>BY71</f>
        <v>264</v>
      </c>
      <c r="D570" s="322" t="s">
        <v>529</v>
      </c>
      <c r="E570" s="322" t="s">
        <v>529</v>
      </c>
      <c r="F570" s="329"/>
      <c r="G570" s="329"/>
      <c r="H570" s="330"/>
      <c r="I570" s="2"/>
      <c r="J570" s="317"/>
      <c r="K570" s="2"/>
      <c r="L570" s="2"/>
      <c r="M570" s="33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28">
        <f>'[1]Prior Year'!BZ71</f>
        <v>0</v>
      </c>
      <c r="C571" s="328">
        <f>BZ71</f>
        <v>0</v>
      </c>
      <c r="D571" s="322" t="s">
        <v>529</v>
      </c>
      <c r="E571" s="322" t="s">
        <v>529</v>
      </c>
      <c r="F571" s="329"/>
      <c r="G571" s="329"/>
      <c r="H571" s="330"/>
      <c r="I571" s="2"/>
      <c r="J571" s="317"/>
      <c r="K571" s="2"/>
      <c r="L571" s="2"/>
      <c r="M571" s="33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28">
        <f>'[1]Prior Year'!CA71</f>
        <v>7860</v>
      </c>
      <c r="C572" s="328">
        <f>CA71</f>
        <v>1022</v>
      </c>
      <c r="D572" s="322" t="s">
        <v>529</v>
      </c>
      <c r="E572" s="322" t="s">
        <v>529</v>
      </c>
      <c r="F572" s="329"/>
      <c r="G572" s="329"/>
      <c r="H572" s="330"/>
      <c r="I572" s="2"/>
      <c r="J572" s="317"/>
      <c r="K572" s="2"/>
      <c r="L572" s="2"/>
      <c r="M572" s="33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28">
        <f>'[1]Prior Year'!CB71</f>
        <v>0</v>
      </c>
      <c r="C573" s="328">
        <f>CB71</f>
        <v>1664</v>
      </c>
      <c r="D573" s="322" t="s">
        <v>529</v>
      </c>
      <c r="E573" s="322" t="s">
        <v>529</v>
      </c>
      <c r="F573" s="329"/>
      <c r="G573" s="329"/>
      <c r="H573" s="330"/>
      <c r="I573" s="2"/>
      <c r="J573" s="317"/>
      <c r="K573" s="2"/>
      <c r="L573" s="2"/>
      <c r="M573" s="33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28">
        <f>'[1]Prior Year'!CC71</f>
        <v>577</v>
      </c>
      <c r="C574" s="328">
        <f>CC71</f>
        <v>-299222</v>
      </c>
      <c r="D574" s="322" t="s">
        <v>529</v>
      </c>
      <c r="E574" s="322" t="s">
        <v>529</v>
      </c>
      <c r="F574" s="329"/>
      <c r="G574" s="329"/>
      <c r="H574" s="330"/>
      <c r="I574" s="2"/>
      <c r="J574" s="317"/>
      <c r="K574" s="2"/>
      <c r="L574" s="2"/>
      <c r="M574" s="33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28">
        <f>'[1]Prior Year'!CD71</f>
        <v>-541424</v>
      </c>
      <c r="C575" s="328">
        <f>CD71</f>
        <v>372975</v>
      </c>
      <c r="D575" s="322" t="s">
        <v>529</v>
      </c>
      <c r="E575" s="322" t="s">
        <v>529</v>
      </c>
      <c r="F575" s="329"/>
      <c r="G575" s="329"/>
      <c r="H575" s="330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1"/>
      <c r="B612" s="2"/>
      <c r="C612" s="322" t="s">
        <v>589</v>
      </c>
      <c r="D612" s="2">
        <f>CE76-(BE76+CD76)</f>
        <v>38082</v>
      </c>
      <c r="E612" s="2">
        <f>SUM(C624:D647)+SUM(C668:D713)</f>
        <v>22359287.85441941</v>
      </c>
      <c r="F612" s="2">
        <f>CE64-(AX64+BD64+BE64+BG64+BJ64+BN64+BP64+BQ64+CB64+CC64+CD64)</f>
        <v>2417095</v>
      </c>
      <c r="G612" s="2">
        <f>CE77-(AX77+AY77+BD77+BE77+BG77+BJ77+BN77+BP77+BQ77+CB77+CC77+CD77)</f>
        <v>17045</v>
      </c>
      <c r="H612" s="321">
        <f>CE60-(AX60+AY60+AZ60+BD60+BE60+BG60+BJ60+BN60+BO60+BP60+BQ60+BR60+CB60+CC60+CD60)</f>
        <v>159.44999999999999</v>
      </c>
      <c r="I612" s="2">
        <f>CE78-(AX78+AY78+AZ78+BD78+BE78+BF78+BG78+BJ78+BN78+BO78+BP78+BQ78+BR78+CB78+CC78+CD78)</f>
        <v>2057.4</v>
      </c>
      <c r="J612" s="2">
        <f>CE79-(AX79+AY79+AZ79+BA79+BD79+BE79+BF79+BG79+BJ79+BN79+BO79+BP79+BQ79+BR79+CB79+CC79+CD79)</f>
        <v>20694</v>
      </c>
      <c r="K612" s="2">
        <f>CE75-(AW75+AX75+AY75+AZ75+BA75+BB75+BC75+BD75+BE75+BF75+BG75+BH75+BI75+BJ75+BK75+BL75+BM75+BN75+BO75+BP75+BQ75+BR75+BS75+BT75+BU75+BV75+BW75+BX75+CB75+CC75+CD75)</f>
        <v>33327476</v>
      </c>
      <c r="L612" s="321">
        <f>CE80-(AW80+AX80+AY80+AZ80+BA80+BB80+BC80+BD80+BE80+BF80+BG80+BH80+BI80+BJ80+BK80+BL80+BM80+BN80+BO80+BP80+BQ80+BR80+BS80+BT80+BU80+BV80+BW80+BX80+BY80+BZ80+CA80+CB80+CC80+CD80)</f>
        <v>31.41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1"/>
      <c r="B613" s="2"/>
      <c r="C613" s="322" t="s">
        <v>590</v>
      </c>
      <c r="D613" s="322" t="s">
        <v>591</v>
      </c>
      <c r="E613" s="325" t="s">
        <v>592</v>
      </c>
      <c r="F613" s="322" t="s">
        <v>593</v>
      </c>
      <c r="G613" s="322" t="s">
        <v>594</v>
      </c>
      <c r="H613" s="322" t="s">
        <v>595</v>
      </c>
      <c r="I613" s="322" t="s">
        <v>596</v>
      </c>
      <c r="J613" s="322" t="s">
        <v>597</v>
      </c>
      <c r="K613" s="322" t="s">
        <v>598</v>
      </c>
      <c r="L613" s="325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1">
        <v>8430</v>
      </c>
      <c r="B614" s="325" t="s">
        <v>140</v>
      </c>
      <c r="C614" s="2">
        <f>BE71</f>
        <v>714152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17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1"/>
      <c r="B615" s="325" t="s">
        <v>601</v>
      </c>
      <c r="C615" s="332">
        <f>CD69-CD70</f>
        <v>372975</v>
      </c>
      <c r="D615" s="333">
        <f>SUM(C614:C615)</f>
        <v>1087127</v>
      </c>
      <c r="E615" s="2"/>
      <c r="F615" s="2"/>
      <c r="G615" s="2"/>
      <c r="H615" s="2"/>
      <c r="I615" s="2"/>
      <c r="J615" s="2"/>
      <c r="K615" s="2"/>
      <c r="L615" s="2"/>
      <c r="M615" s="2"/>
      <c r="N615" s="317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1">
        <v>8310</v>
      </c>
      <c r="B616" s="334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17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1">
        <v>8510</v>
      </c>
      <c r="B617" s="334" t="s">
        <v>145</v>
      </c>
      <c r="C617" s="2">
        <f>BJ71</f>
        <v>413708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17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1">
        <v>8470</v>
      </c>
      <c r="B618" s="334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17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1">
        <v>8610</v>
      </c>
      <c r="B619" s="334" t="s">
        <v>608</v>
      </c>
      <c r="C619" s="2">
        <f>BN71</f>
        <v>2121525</v>
      </c>
      <c r="D619" s="2">
        <f>(D615/D612)*BN76</f>
        <v>200656.88994800692</v>
      </c>
      <c r="E619" s="2"/>
      <c r="F619" s="2"/>
      <c r="G619" s="2"/>
      <c r="H619" s="2"/>
      <c r="I619" s="2"/>
      <c r="J619" s="2"/>
      <c r="K619" s="2"/>
      <c r="L619" s="2"/>
      <c r="M619" s="2"/>
      <c r="N619" s="317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1">
        <v>8790</v>
      </c>
      <c r="B620" s="334" t="s">
        <v>610</v>
      </c>
      <c r="C620" s="2">
        <f>CC71</f>
        <v>-299222</v>
      </c>
      <c r="D620" s="2">
        <f>(D615/D612)*CC76</f>
        <v>4710.2556325823225</v>
      </c>
      <c r="E620" s="2"/>
      <c r="F620" s="2"/>
      <c r="G620" s="2"/>
      <c r="H620" s="2"/>
      <c r="I620" s="2"/>
      <c r="J620" s="2"/>
      <c r="K620" s="2"/>
      <c r="L620" s="2"/>
      <c r="M620" s="2"/>
      <c r="N620" s="317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1">
        <v>8630</v>
      </c>
      <c r="B621" s="334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17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1">
        <v>8770</v>
      </c>
      <c r="B622" s="325" t="s">
        <v>614</v>
      </c>
      <c r="C622" s="2">
        <f>CB71</f>
        <v>1664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17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1">
        <v>8640</v>
      </c>
      <c r="B623" s="334" t="s">
        <v>616</v>
      </c>
      <c r="C623" s="2">
        <f>BQ71</f>
        <v>0</v>
      </c>
      <c r="D623" s="2">
        <f>(D615/D612)*BQ76</f>
        <v>0</v>
      </c>
      <c r="E623" s="2">
        <f>SUM(C616:D623)</f>
        <v>2443042.1455805888</v>
      </c>
      <c r="F623" s="2"/>
      <c r="G623" s="2"/>
      <c r="H623" s="2"/>
      <c r="I623" s="2"/>
      <c r="J623" s="2"/>
      <c r="K623" s="2"/>
      <c r="L623" s="2"/>
      <c r="M623" s="2"/>
      <c r="N623" s="317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1">
        <v>8420</v>
      </c>
      <c r="B624" s="334" t="s">
        <v>139</v>
      </c>
      <c r="C624" s="2">
        <f>BD71</f>
        <v>0</v>
      </c>
      <c r="D624" s="2">
        <f>(D615/D612)*BD76</f>
        <v>0</v>
      </c>
      <c r="E624" s="2">
        <f>(E623/E612)*SUM(C624:D624)</f>
        <v>0</v>
      </c>
      <c r="F624" s="2">
        <f>SUM(C624:E624)</f>
        <v>0</v>
      </c>
      <c r="G624" s="2"/>
      <c r="H624" s="2"/>
      <c r="I624" s="2"/>
      <c r="J624" s="2"/>
      <c r="K624" s="2"/>
      <c r="L624" s="2"/>
      <c r="M624" s="2"/>
      <c r="N624" s="317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1">
        <v>8320</v>
      </c>
      <c r="B625" s="334" t="s">
        <v>135</v>
      </c>
      <c r="C625" s="2">
        <f>AY71</f>
        <v>588607</v>
      </c>
      <c r="D625" s="2">
        <f>(D615/D612)*AY76</f>
        <v>105338.44414684102</v>
      </c>
      <c r="E625" s="2">
        <f>(E623/E612)*SUM(C625:D625)</f>
        <v>75822.538616733378</v>
      </c>
      <c r="F625" s="2">
        <f>(F624/F612)*AY64</f>
        <v>0</v>
      </c>
      <c r="G625" s="2">
        <f>SUM(C625:F625)</f>
        <v>769767.98276357446</v>
      </c>
      <c r="H625" s="2"/>
      <c r="I625" s="2"/>
      <c r="J625" s="2"/>
      <c r="K625" s="2"/>
      <c r="L625" s="2"/>
      <c r="M625" s="2"/>
      <c r="N625" s="317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1">
        <v>8650</v>
      </c>
      <c r="B626" s="334" t="s">
        <v>152</v>
      </c>
      <c r="C626" s="2">
        <f>BR71</f>
        <v>287222</v>
      </c>
      <c r="D626" s="2">
        <f>(D615/D612)*BR76</f>
        <v>0</v>
      </c>
      <c r="E626" s="2">
        <f>(E623/E612)*SUM(C626:D626)</f>
        <v>31382.728095217699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17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1">
        <v>8620</v>
      </c>
      <c r="B627" s="325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17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1">
        <v>8330</v>
      </c>
      <c r="B628" s="334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318604.72809521772</v>
      </c>
      <c r="I628" s="2"/>
      <c r="J628" s="2"/>
      <c r="K628" s="2"/>
      <c r="L628" s="2"/>
      <c r="M628" s="2"/>
      <c r="N628" s="317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1">
        <v>8460</v>
      </c>
      <c r="B629" s="334" t="s">
        <v>141</v>
      </c>
      <c r="C629" s="2">
        <f>BF71</f>
        <v>407131</v>
      </c>
      <c r="D629" s="2">
        <f>(D615/D612)*BF76</f>
        <v>30002.901029357701</v>
      </c>
      <c r="E629" s="2">
        <f>(E623/E612)*SUM(C629:D629)</f>
        <v>47762.54728818174</v>
      </c>
      <c r="F629" s="2">
        <f>(F624/F612)*BF64</f>
        <v>0</v>
      </c>
      <c r="G629" s="2">
        <f>(G625/G612)*BF77</f>
        <v>0</v>
      </c>
      <c r="H629" s="2">
        <f>(H628/H612)*BF60</f>
        <v>16704.518826441017</v>
      </c>
      <c r="I629" s="2">
        <f>SUM(C629:H629)</f>
        <v>501600.96714398044</v>
      </c>
      <c r="J629" s="2"/>
      <c r="K629" s="2"/>
      <c r="L629" s="2"/>
      <c r="M629" s="2"/>
      <c r="N629" s="317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1">
        <v>8350</v>
      </c>
      <c r="B630" s="334" t="s">
        <v>625</v>
      </c>
      <c r="C630" s="2">
        <f>BA71</f>
        <v>61291</v>
      </c>
      <c r="D630" s="2">
        <f>(D615/D612)*BA76</f>
        <v>24493.329289428075</v>
      </c>
      <c r="E630" s="2">
        <f>(E623/E612)*SUM(C630:D630)</f>
        <v>9373.0503962814164</v>
      </c>
      <c r="F630" s="2">
        <f>(F624/F612)*BA64</f>
        <v>0</v>
      </c>
      <c r="G630" s="2">
        <f>(G625/G612)*BA77</f>
        <v>0</v>
      </c>
      <c r="H630" s="2">
        <f>(H628/H612)*BA60</f>
        <v>2257.9074490285107</v>
      </c>
      <c r="I630" s="2">
        <f>(I629/I612)*BA78</f>
        <v>0</v>
      </c>
      <c r="J630" s="2">
        <f>SUM(C630:I630)</f>
        <v>97415.287134737999</v>
      </c>
      <c r="K630" s="2"/>
      <c r="L630" s="2"/>
      <c r="M630" s="2"/>
      <c r="N630" s="317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1">
        <v>8200</v>
      </c>
      <c r="B631" s="334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17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1">
        <v>8360</v>
      </c>
      <c r="B632" s="334" t="s">
        <v>629</v>
      </c>
      <c r="C632" s="2">
        <f>BB71</f>
        <v>99164</v>
      </c>
      <c r="D632" s="2">
        <f>(D615/D612)*BB76</f>
        <v>3654.0164907305289</v>
      </c>
      <c r="E632" s="2">
        <f>(E623/E612)*SUM(C632:D632)</f>
        <v>11234.201609967919</v>
      </c>
      <c r="F632" s="2">
        <f>(F624/F612)*BB64</f>
        <v>0</v>
      </c>
      <c r="G632" s="2">
        <f>(G625/G612)*BB77</f>
        <v>0</v>
      </c>
      <c r="H632" s="2">
        <f>(H628/H612)*BB60</f>
        <v>1998.1481849809832</v>
      </c>
      <c r="I632" s="2">
        <f>(I629/I612)*BB78</f>
        <v>1584.7216323689474</v>
      </c>
      <c r="J632" s="2">
        <f>(J630/J612)*BB79</f>
        <v>0</v>
      </c>
      <c r="K632" s="2"/>
      <c r="L632" s="2"/>
      <c r="M632" s="2"/>
      <c r="N632" s="317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1">
        <v>8370</v>
      </c>
      <c r="B633" s="334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17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1">
        <v>8490</v>
      </c>
      <c r="B634" s="334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17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1">
        <v>8530</v>
      </c>
      <c r="B635" s="334" t="s">
        <v>635</v>
      </c>
      <c r="C635" s="2">
        <f>BK71</f>
        <v>680656</v>
      </c>
      <c r="D635" s="2">
        <f>(D615/D612)*BK76</f>
        <v>0</v>
      </c>
      <c r="E635" s="2">
        <f>(E623/E612)*SUM(C635:D635)</f>
        <v>74370.494510791294</v>
      </c>
      <c r="F635" s="2">
        <f>(F624/F612)*BK64</f>
        <v>0</v>
      </c>
      <c r="G635" s="2">
        <f>(G625/G612)*BK77</f>
        <v>0</v>
      </c>
      <c r="H635" s="2">
        <f>(H628/H612)*BK60</f>
        <v>9910.8149975056767</v>
      </c>
      <c r="I635" s="2">
        <f>(I629/I612)*BK78</f>
        <v>12597.31796069285</v>
      </c>
      <c r="J635" s="2">
        <f>(J630/J612)*BK79</f>
        <v>0</v>
      </c>
      <c r="K635" s="2"/>
      <c r="L635" s="2"/>
      <c r="M635" s="2"/>
      <c r="N635" s="317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1">
        <v>8480</v>
      </c>
      <c r="B636" s="334" t="s">
        <v>637</v>
      </c>
      <c r="C636" s="2">
        <f>BH71</f>
        <v>0</v>
      </c>
      <c r="D636" s="2">
        <f>(D615/D612)*BH76</f>
        <v>0</v>
      </c>
      <c r="E636" s="2">
        <f>(E623/E612)*SUM(C636:D636)</f>
        <v>0</v>
      </c>
      <c r="F636" s="2">
        <f>(F624/F612)*BH64</f>
        <v>0</v>
      </c>
      <c r="G636" s="2">
        <f>(G625/G612)*BH77</f>
        <v>0</v>
      </c>
      <c r="H636" s="2">
        <f>(H628/H612)*BH60</f>
        <v>0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17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1">
        <v>8560</v>
      </c>
      <c r="B637" s="334" t="s">
        <v>147</v>
      </c>
      <c r="C637" s="2">
        <f>BL71</f>
        <v>702819</v>
      </c>
      <c r="D637" s="2">
        <f>(D615/D612)*BL76</f>
        <v>0</v>
      </c>
      <c r="E637" s="2">
        <f>(E623/E612)*SUM(C637:D637)</f>
        <v>76792.089662883795</v>
      </c>
      <c r="F637" s="2">
        <f>(F624/F612)*BL64</f>
        <v>0</v>
      </c>
      <c r="G637" s="2">
        <f>(G625/G612)*BL77</f>
        <v>0</v>
      </c>
      <c r="H637" s="2">
        <f>(H628/H612)*BL60</f>
        <v>28673.42645447711</v>
      </c>
      <c r="I637" s="2">
        <f>(I629/I612)*BL78</f>
        <v>8735.4732442737513</v>
      </c>
      <c r="J637" s="2">
        <f>(J630/J612)*BL79</f>
        <v>0</v>
      </c>
      <c r="K637" s="2"/>
      <c r="L637" s="2"/>
      <c r="M637" s="2"/>
      <c r="N637" s="317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1">
        <v>8590</v>
      </c>
      <c r="B638" s="334" t="s">
        <v>640</v>
      </c>
      <c r="C638" s="2">
        <f>BM71</f>
        <v>210785</v>
      </c>
      <c r="D638" s="2">
        <f>(D615/D612)*BM76</f>
        <v>0</v>
      </c>
      <c r="E638" s="2">
        <f>(E623/E612)*SUM(C638:D638)</f>
        <v>23030.994636728603</v>
      </c>
      <c r="F638" s="2">
        <f>(F624/F612)*BM64</f>
        <v>0</v>
      </c>
      <c r="G638" s="2">
        <f>(G625/G612)*BM77</f>
        <v>0</v>
      </c>
      <c r="H638" s="2">
        <f>(H628/H612)*BM60</f>
        <v>8132.4631128726023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17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1">
        <v>8660</v>
      </c>
      <c r="B639" s="334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17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1">
        <v>8670</v>
      </c>
      <c r="B640" s="334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17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1">
        <v>8680</v>
      </c>
      <c r="B641" s="334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17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1">
        <v>8690</v>
      </c>
      <c r="B642" s="334" t="s">
        <v>648</v>
      </c>
      <c r="C642" s="2">
        <f>BV71</f>
        <v>377764</v>
      </c>
      <c r="D642" s="2">
        <f>(D615/D612)*BV76</f>
        <v>10448.203403182606</v>
      </c>
      <c r="E642" s="2">
        <f>(E623/E612)*SUM(C642:D642)</f>
        <v>42417.21742292522</v>
      </c>
      <c r="F642" s="2">
        <f>(F624/F612)*BV64</f>
        <v>0</v>
      </c>
      <c r="G642" s="2">
        <f>(G625/G612)*BV77</f>
        <v>0</v>
      </c>
      <c r="H642" s="2">
        <f>(H628/H612)*BV60</f>
        <v>8292.31496767108</v>
      </c>
      <c r="I642" s="2">
        <f>(I629/I612)*BV78</f>
        <v>0</v>
      </c>
      <c r="J642" s="2">
        <f>(J630/J612)*BV79</f>
        <v>0</v>
      </c>
      <c r="K642" s="2"/>
      <c r="L642" s="2"/>
      <c r="M642" s="2"/>
      <c r="N642" s="317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1">
        <v>8700</v>
      </c>
      <c r="B643" s="334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17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1">
        <v>8710</v>
      </c>
      <c r="B644" s="334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2393059.898292053</v>
      </c>
      <c r="L644" s="2"/>
      <c r="M644" s="2"/>
      <c r="N644" s="317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1">
        <v>8720</v>
      </c>
      <c r="B645" s="334" t="s">
        <v>654</v>
      </c>
      <c r="C645" s="2">
        <f>BY71</f>
        <v>264</v>
      </c>
      <c r="D645" s="2">
        <f>(D615/D612)*BY76</f>
        <v>2055.3842760359225</v>
      </c>
      <c r="E645" s="2">
        <f>(E623/E612)*SUM(C645:D645)</f>
        <v>253.42280912729075</v>
      </c>
      <c r="F645" s="2">
        <f>(F624/F612)*BY64</f>
        <v>0</v>
      </c>
      <c r="G645" s="2">
        <f>(G625/G612)*BY77</f>
        <v>0</v>
      </c>
      <c r="H645" s="2">
        <f>(H628/H612)*BY60</f>
        <v>0</v>
      </c>
      <c r="I645" s="2">
        <f>(I629/I612)*BY78</f>
        <v>0</v>
      </c>
      <c r="J645" s="2">
        <f>(J630/J612)*BY79</f>
        <v>0</v>
      </c>
      <c r="K645" s="2">
        <v>0</v>
      </c>
      <c r="L645" s="2"/>
      <c r="M645" s="2"/>
      <c r="N645" s="317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1">
        <v>8730</v>
      </c>
      <c r="B646" s="334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17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1">
        <v>8740</v>
      </c>
      <c r="B647" s="334" t="s">
        <v>658</v>
      </c>
      <c r="C647" s="2">
        <f>CA71</f>
        <v>1022</v>
      </c>
      <c r="D647" s="2">
        <f>(D615/D612)*CA76</f>
        <v>0</v>
      </c>
      <c r="E647" s="2">
        <f>(E623/E612)*SUM(C647:D647)</f>
        <v>111.66675294132234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3706.4738381045358</v>
      </c>
      <c r="M647" s="2"/>
      <c r="N647" s="317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1"/>
      <c r="B648" s="331"/>
      <c r="C648" s="2">
        <f>SUM(C614:C647)</f>
        <v>6741527</v>
      </c>
      <c r="D648" s="2"/>
      <c r="E648" s="2"/>
      <c r="F648" s="2"/>
      <c r="G648" s="2"/>
      <c r="H648" s="2"/>
      <c r="I648" s="2"/>
      <c r="J648" s="2"/>
      <c r="K648" s="2"/>
      <c r="L648" s="333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2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2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2" t="s">
        <v>590</v>
      </c>
      <c r="D667" s="322" t="s">
        <v>591</v>
      </c>
      <c r="E667" s="325" t="s">
        <v>592</v>
      </c>
      <c r="F667" s="322" t="s">
        <v>593</v>
      </c>
      <c r="G667" s="322" t="s">
        <v>594</v>
      </c>
      <c r="H667" s="322" t="s">
        <v>595</v>
      </c>
      <c r="I667" s="322" t="s">
        <v>596</v>
      </c>
      <c r="J667" s="322" t="s">
        <v>597</v>
      </c>
      <c r="K667" s="322" t="s">
        <v>598</v>
      </c>
      <c r="L667" s="325" t="s">
        <v>599</v>
      </c>
      <c r="M667" s="322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1">
        <v>6010</v>
      </c>
      <c r="B668" s="325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325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1">
        <v>6030</v>
      </c>
      <c r="B669" s="325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25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1">
        <v>6070</v>
      </c>
      <c r="B670" s="325" t="s">
        <v>665</v>
      </c>
      <c r="C670" s="2">
        <f>E71</f>
        <v>2865912</v>
      </c>
      <c r="D670" s="2">
        <f>(D615/D612)*E76</f>
        <v>137082.71241006249</v>
      </c>
      <c r="E670" s="2">
        <f>(E623/E612)*SUM(C670:D670)</f>
        <v>328116.11412406241</v>
      </c>
      <c r="F670" s="2">
        <f>(F624/F612)*E64</f>
        <v>0</v>
      </c>
      <c r="G670" s="2">
        <f>(G625/G612)*E77</f>
        <v>201282.24694498393</v>
      </c>
      <c r="H670" s="2">
        <f>(H628/H612)*E60</f>
        <v>47056.389756302153</v>
      </c>
      <c r="I670" s="2">
        <f>(I629/I612)*E78</f>
        <v>197846.40071806169</v>
      </c>
      <c r="J670" s="2">
        <f>(J630/J612)*E79</f>
        <v>29016.518309583695</v>
      </c>
      <c r="K670" s="2">
        <f>(K644/K612)*E75</f>
        <v>160246.55790187829</v>
      </c>
      <c r="L670" s="2">
        <f>(L647/L612)*E80</f>
        <v>1227.2310702415527</v>
      </c>
      <c r="M670" s="2">
        <f t="shared" si="20"/>
        <v>1101874</v>
      </c>
      <c r="N670" s="325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1">
        <v>6100</v>
      </c>
      <c r="B671" s="325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25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1">
        <v>6120</v>
      </c>
      <c r="B672" s="325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25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1">
        <v>6140</v>
      </c>
      <c r="B673" s="325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25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1">
        <v>6150</v>
      </c>
      <c r="B674" s="325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25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1">
        <v>6170</v>
      </c>
      <c r="B675" s="325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325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1">
        <v>6200</v>
      </c>
      <c r="B676" s="325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25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1">
        <v>6210</v>
      </c>
      <c r="B677" s="325" t="s">
        <v>289</v>
      </c>
      <c r="C677" s="2">
        <f>L71</f>
        <v>1831694</v>
      </c>
      <c r="D677" s="2">
        <f>(D615/D612)*L76</f>
        <v>175307.15054356388</v>
      </c>
      <c r="E677" s="2">
        <f>(E623/E612)*SUM(C677:D677)</f>
        <v>219290.90179128951</v>
      </c>
      <c r="F677" s="2">
        <f>(F624/F612)*L64</f>
        <v>0</v>
      </c>
      <c r="G677" s="2">
        <f>(G625/G612)*L77</f>
        <v>568485.7358185905</v>
      </c>
      <c r="H677" s="2">
        <f>(H628/H612)*L60</f>
        <v>35646.963620060742</v>
      </c>
      <c r="I677" s="2">
        <f>(I629/I612)*L78</f>
        <v>139314.09771819445</v>
      </c>
      <c r="J677" s="2">
        <f>(J630/J612)*L79</f>
        <v>33643.909208078301</v>
      </c>
      <c r="K677" s="2">
        <f>(K644/K612)*L75</f>
        <v>123337.15017057068</v>
      </c>
      <c r="L677" s="2">
        <f>(L647/L612)*L80</f>
        <v>789.43998653038352</v>
      </c>
      <c r="M677" s="2">
        <f t="shared" si="20"/>
        <v>1295815</v>
      </c>
      <c r="N677" s="325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1">
        <v>6330</v>
      </c>
      <c r="B678" s="325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25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1">
        <v>6400</v>
      </c>
      <c r="B679" s="325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25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1">
        <v>7010</v>
      </c>
      <c r="B680" s="325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0"/>
        <v>0</v>
      </c>
      <c r="N680" s="325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1">
        <v>7020</v>
      </c>
      <c r="B681" s="325" t="s">
        <v>684</v>
      </c>
      <c r="C681" s="2">
        <f>P71</f>
        <v>679541</v>
      </c>
      <c r="D681" s="2">
        <f>(D615/D612)*P76</f>
        <v>40051.446378866654</v>
      </c>
      <c r="E681" s="2">
        <f>(E623/E612)*SUM(C681:D681)</f>
        <v>78624.806192006508</v>
      </c>
      <c r="F681" s="2">
        <f>(F624/F612)*P64</f>
        <v>0</v>
      </c>
      <c r="G681" s="2">
        <f>(G625/G612)*P77</f>
        <v>0</v>
      </c>
      <c r="H681" s="2">
        <f>(H628/H612)*P60</f>
        <v>6633.8519741368636</v>
      </c>
      <c r="I681" s="2">
        <f>(I629/I612)*P78</f>
        <v>42746.037508191934</v>
      </c>
      <c r="J681" s="2">
        <f>(J630/J612)*P79</f>
        <v>5597.1187978739472</v>
      </c>
      <c r="K681" s="2">
        <f>(K644/K612)*P75</f>
        <v>98902.10794328693</v>
      </c>
      <c r="L681" s="2">
        <f>(L647/L612)*P80</f>
        <v>114.46289789752943</v>
      </c>
      <c r="M681" s="2">
        <f t="shared" si="20"/>
        <v>272670</v>
      </c>
      <c r="N681" s="325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1">
        <v>7030</v>
      </c>
      <c r="B682" s="325" t="s">
        <v>686</v>
      </c>
      <c r="C682" s="2">
        <f>Q71</f>
        <v>269211</v>
      </c>
      <c r="D682" s="2">
        <f>(D615/D612)*Q76</f>
        <v>0</v>
      </c>
      <c r="E682" s="2">
        <f>(E623/E612)*SUM(C682:D682)</f>
        <v>29414.792784820285</v>
      </c>
      <c r="F682" s="2">
        <f>(F624/F612)*Q64</f>
        <v>0</v>
      </c>
      <c r="G682" s="2">
        <f>(G625/G612)*Q77</f>
        <v>0</v>
      </c>
      <c r="H682" s="2">
        <f>(H628/H612)*Q60</f>
        <v>4595.7408254562606</v>
      </c>
      <c r="I682" s="2">
        <f>(I629/I612)*Q78</f>
        <v>0</v>
      </c>
      <c r="J682" s="2">
        <f>(J630/J612)*Q79</f>
        <v>0</v>
      </c>
      <c r="K682" s="2">
        <f>(K644/K612)*Q75</f>
        <v>24702.800888657654</v>
      </c>
      <c r="L682" s="2">
        <f>(L647/L612)*Q80</f>
        <v>214.76543729227174</v>
      </c>
      <c r="M682" s="2">
        <f t="shared" si="20"/>
        <v>58928</v>
      </c>
      <c r="N682" s="325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1">
        <v>7040</v>
      </c>
      <c r="B683" s="325" t="s">
        <v>107</v>
      </c>
      <c r="C683" s="2">
        <f>R71</f>
        <v>989014</v>
      </c>
      <c r="D683" s="2">
        <f>(D615/D612)*R76</f>
        <v>6423.0758626122579</v>
      </c>
      <c r="E683" s="2">
        <f>(E623/E612)*SUM(C683:D683)</f>
        <v>108764.40902053099</v>
      </c>
      <c r="F683" s="2">
        <f>(F624/F612)*R64</f>
        <v>0</v>
      </c>
      <c r="G683" s="2">
        <f>(G625/G612)*R77</f>
        <v>0</v>
      </c>
      <c r="H683" s="2">
        <f>(H628/H612)*R60</f>
        <v>9031.6297961140426</v>
      </c>
      <c r="I683" s="2">
        <f>(I629/I612)*R78</f>
        <v>0</v>
      </c>
      <c r="J683" s="2">
        <f>(J630/J612)*R79</f>
        <v>0</v>
      </c>
      <c r="K683" s="2">
        <f>(K644/K612)*R75</f>
        <v>155697.3174218554</v>
      </c>
      <c r="L683" s="2">
        <f>(L647/L612)*R80</f>
        <v>191.16483978762651</v>
      </c>
      <c r="M683" s="2">
        <f t="shared" si="20"/>
        <v>280108</v>
      </c>
      <c r="N683" s="325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1">
        <v>7050</v>
      </c>
      <c r="B684" s="325" t="s">
        <v>689</v>
      </c>
      <c r="C684" s="2">
        <f>S71</f>
        <v>147659</v>
      </c>
      <c r="D684" s="2">
        <f>(D615/D612)*S76</f>
        <v>19126.492568667611</v>
      </c>
      <c r="E684" s="2">
        <f>(E623/E612)*SUM(C684:D684)</f>
        <v>18223.477879512877</v>
      </c>
      <c r="F684" s="2">
        <f>(F624/F612)*S64</f>
        <v>0</v>
      </c>
      <c r="G684" s="2">
        <f>(G625/G612)*S77</f>
        <v>0</v>
      </c>
      <c r="H684" s="2">
        <f>(H628/H612)*S60</f>
        <v>3816.4630333136779</v>
      </c>
      <c r="I684" s="2">
        <f>(I629/I612)*S78</f>
        <v>0</v>
      </c>
      <c r="J684" s="2">
        <f>(J630/J612)*S79</f>
        <v>0</v>
      </c>
      <c r="K684" s="2">
        <f>(K644/K612)*S75</f>
        <v>49058.140215934684</v>
      </c>
      <c r="L684" s="2">
        <f>(L647/L612)*S80</f>
        <v>0</v>
      </c>
      <c r="M684" s="2">
        <f t="shared" si="20"/>
        <v>90225</v>
      </c>
      <c r="N684" s="325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1">
        <v>7060</v>
      </c>
      <c r="B685" s="325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19040.663789532002</v>
      </c>
      <c r="L685" s="2">
        <f>(L647/L612)*T80</f>
        <v>0</v>
      </c>
      <c r="M685" s="2">
        <f t="shared" si="20"/>
        <v>19041</v>
      </c>
      <c r="N685" s="325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1">
        <v>7070</v>
      </c>
      <c r="B686" s="325" t="s">
        <v>109</v>
      </c>
      <c r="C686" s="2">
        <f>U71</f>
        <v>1062013</v>
      </c>
      <c r="D686" s="2">
        <f>(D615/D612)*U76</f>
        <v>15044.2710204296</v>
      </c>
      <c r="E686" s="2">
        <f>(E623/E612)*SUM(C686:D686)</f>
        <v>117682.47376388765</v>
      </c>
      <c r="F686" s="2">
        <f>(F624/F612)*U64</f>
        <v>0</v>
      </c>
      <c r="G686" s="2">
        <f>(G625/G612)*U77</f>
        <v>0</v>
      </c>
      <c r="H686" s="2">
        <f>(H628/H612)*U60</f>
        <v>14066.963222266122</v>
      </c>
      <c r="I686" s="2">
        <f>(I629/I612)*U78</f>
        <v>18570.499498083496</v>
      </c>
      <c r="J686" s="2">
        <f>(J630/J612)*U79</f>
        <v>94.14833974556683</v>
      </c>
      <c r="K686" s="2">
        <f>(K644/K612)*U75</f>
        <v>311298.05790631525</v>
      </c>
      <c r="L686" s="2">
        <f>(L647/L612)*U80</f>
        <v>0</v>
      </c>
      <c r="M686" s="2">
        <f t="shared" si="20"/>
        <v>476756</v>
      </c>
      <c r="N686" s="325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1">
        <v>7110</v>
      </c>
      <c r="B687" s="325" t="s">
        <v>694</v>
      </c>
      <c r="C687" s="2">
        <f>V71</f>
        <v>127</v>
      </c>
      <c r="D687" s="2">
        <f>(D615/D612)*V76</f>
        <v>0</v>
      </c>
      <c r="E687" s="2">
        <f>(E623/E612)*SUM(C687:D687)</f>
        <v>13.876396891925575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6066.0369302407607</v>
      </c>
      <c r="L687" s="2">
        <f>(L647/L612)*V80</f>
        <v>0</v>
      </c>
      <c r="M687" s="2">
        <f t="shared" si="20"/>
        <v>6080</v>
      </c>
      <c r="N687" s="325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1">
        <v>7120</v>
      </c>
      <c r="B688" s="325" t="s">
        <v>696</v>
      </c>
      <c r="C688" s="2">
        <f>W71</f>
        <v>153400</v>
      </c>
      <c r="D688" s="2">
        <f>(D615/D612)*W76</f>
        <v>0</v>
      </c>
      <c r="E688" s="2">
        <f>(E623/E612)*SUM(C688:D688)</f>
        <v>16760.939237963648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66631.839818856621</v>
      </c>
      <c r="L688" s="2">
        <f>(L647/L612)*W80</f>
        <v>0</v>
      </c>
      <c r="M688" s="2">
        <f t="shared" si="20"/>
        <v>83393</v>
      </c>
      <c r="N688" s="325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1">
        <v>7130</v>
      </c>
      <c r="B689" s="325" t="s">
        <v>698</v>
      </c>
      <c r="C689" s="2">
        <f>X71</f>
        <v>272243</v>
      </c>
      <c r="D689" s="2">
        <f>(D615/D612)*X76</f>
        <v>0</v>
      </c>
      <c r="E689" s="2">
        <f>(E623/E612)*SUM(C689:D689)</f>
        <v>29746.07810274405</v>
      </c>
      <c r="F689" s="2">
        <f>(F624/F612)*X64</f>
        <v>0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166074.56319831521</v>
      </c>
      <c r="L689" s="2">
        <f>(L647/L612)*X80</f>
        <v>0</v>
      </c>
      <c r="M689" s="2">
        <f t="shared" si="20"/>
        <v>195821</v>
      </c>
      <c r="N689" s="325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1">
        <v>7140</v>
      </c>
      <c r="B690" s="325" t="s">
        <v>1249</v>
      </c>
      <c r="C690" s="2">
        <f>Y71</f>
        <v>802959</v>
      </c>
      <c r="D690" s="2">
        <f>(D615/D612)*Y76</f>
        <v>44790.24901528281</v>
      </c>
      <c r="E690" s="2">
        <f>(E623/E612)*SUM(C690:D690)</f>
        <v>92627.598772975689</v>
      </c>
      <c r="F690" s="2">
        <f>(F624/F612)*Y64</f>
        <v>0</v>
      </c>
      <c r="G690" s="2">
        <f>(G625/G612)*Y77</f>
        <v>0</v>
      </c>
      <c r="H690" s="2">
        <f>(H628/H612)*Y60</f>
        <v>13127.833575325058</v>
      </c>
      <c r="I690" s="2">
        <f>(I629/I612)*Y78</f>
        <v>12880.129821238692</v>
      </c>
      <c r="J690" s="2">
        <f>(J630/J612)*Y79</f>
        <v>5361.7479485100303</v>
      </c>
      <c r="K690" s="2">
        <f>(K644/K612)*Y75</f>
        <v>150642.93288638454</v>
      </c>
      <c r="L690" s="2">
        <f>(L647/L612)*Y80</f>
        <v>0</v>
      </c>
      <c r="M690" s="2">
        <f t="shared" si="20"/>
        <v>319430</v>
      </c>
      <c r="N690" s="325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1">
        <v>7150</v>
      </c>
      <c r="B691" s="325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25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1">
        <v>7160</v>
      </c>
      <c r="B692" s="325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0</v>
      </c>
      <c r="L692" s="2">
        <f>(L647/L612)*AA80</f>
        <v>0</v>
      </c>
      <c r="M692" s="2">
        <f t="shared" si="20"/>
        <v>0</v>
      </c>
      <c r="N692" s="325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1">
        <v>7170</v>
      </c>
      <c r="B693" s="325" t="s">
        <v>115</v>
      </c>
      <c r="C693" s="2">
        <f>AB71</f>
        <v>415667</v>
      </c>
      <c r="D693" s="2">
        <f>(D615/D612)*AB76</f>
        <v>10847.861456856257</v>
      </c>
      <c r="E693" s="2">
        <f>(E623/E612)*SUM(C693:D693)</f>
        <v>46602.279510866043</v>
      </c>
      <c r="F693" s="2">
        <f>(F624/F612)*AB64</f>
        <v>0</v>
      </c>
      <c r="G693" s="2">
        <f>(G625/G612)*AB77</f>
        <v>0</v>
      </c>
      <c r="H693" s="2">
        <f>(H628/H612)*AB60</f>
        <v>4016.2778518117757</v>
      </c>
      <c r="I693" s="2">
        <f>(I629/I612)*AB78</f>
        <v>7170.2558781493444</v>
      </c>
      <c r="J693" s="2">
        <f>(J630/J612)*AB79</f>
        <v>0</v>
      </c>
      <c r="K693" s="2">
        <f>(K644/K612)*AB75</f>
        <v>119777.87715216272</v>
      </c>
      <c r="L693" s="2">
        <f>(L647/L612)*AB80</f>
        <v>0</v>
      </c>
      <c r="M693" s="2">
        <f t="shared" si="20"/>
        <v>188415</v>
      </c>
      <c r="N693" s="325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1">
        <v>7180</v>
      </c>
      <c r="B694" s="325" t="s">
        <v>706</v>
      </c>
      <c r="C694" s="2">
        <f>AC71</f>
        <v>208665</v>
      </c>
      <c r="D694" s="2">
        <f>(D615/D612)*AC76</f>
        <v>1141.8801533532903</v>
      </c>
      <c r="E694" s="2">
        <f>(E623/E612)*SUM(C694:D694)</f>
        <v>22924.122359563728</v>
      </c>
      <c r="F694" s="2">
        <f>(F624/F612)*AC64</f>
        <v>0</v>
      </c>
      <c r="G694" s="2">
        <f>(G625/G612)*AC77</f>
        <v>0</v>
      </c>
      <c r="H694" s="2">
        <f>(H628/H612)*AC60</f>
        <v>3776.5000696140578</v>
      </c>
      <c r="I694" s="2">
        <f>(I629/I612)*AC78</f>
        <v>1238.5209065283468</v>
      </c>
      <c r="J694" s="2">
        <f>(J630/J612)*AC79</f>
        <v>0</v>
      </c>
      <c r="K694" s="2">
        <f>(K644/K612)*AC75</f>
        <v>40721.432288475604</v>
      </c>
      <c r="L694" s="2">
        <f>(L647/L612)*AC80</f>
        <v>0</v>
      </c>
      <c r="M694" s="2">
        <f t="shared" si="20"/>
        <v>69802</v>
      </c>
      <c r="N694" s="325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1">
        <v>7190</v>
      </c>
      <c r="B695" s="325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25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1">
        <v>7200</v>
      </c>
      <c r="B696" s="325" t="s">
        <v>709</v>
      </c>
      <c r="C696" s="2">
        <f>AE71</f>
        <v>785187</v>
      </c>
      <c r="D696" s="2">
        <f>(D615/D612)*AE76</f>
        <v>41821.360616564256</v>
      </c>
      <c r="E696" s="2">
        <f>(E623/E612)*SUM(C696:D696)</f>
        <v>90361.387754772906</v>
      </c>
      <c r="F696" s="2">
        <f>(F624/F612)*AE64</f>
        <v>0</v>
      </c>
      <c r="G696" s="2">
        <f>(G625/G612)*AE77</f>
        <v>0</v>
      </c>
      <c r="H696" s="2">
        <f>(H628/H612)*AE60</f>
        <v>12548.370601680575</v>
      </c>
      <c r="I696" s="2">
        <f>(I629/I612)*AE78</f>
        <v>6724.0957878054724</v>
      </c>
      <c r="J696" s="2">
        <f>(J630/J612)*AE79</f>
        <v>8327.4206504953854</v>
      </c>
      <c r="K696" s="2">
        <f>(K644/K612)*AE75</f>
        <v>132470.67168485365</v>
      </c>
      <c r="L696" s="2">
        <f>(L647/L612)*AE80</f>
        <v>0</v>
      </c>
      <c r="M696" s="2">
        <f t="shared" si="20"/>
        <v>292253</v>
      </c>
      <c r="N696" s="325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1">
        <v>7220</v>
      </c>
      <c r="B697" s="325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25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1">
        <v>7230</v>
      </c>
      <c r="B698" s="325" t="s">
        <v>713</v>
      </c>
      <c r="C698" s="2">
        <f>AG71</f>
        <v>1157359</v>
      </c>
      <c r="D698" s="2">
        <f>(D615/D612)*AG76</f>
        <v>16585.809227456542</v>
      </c>
      <c r="E698" s="2">
        <f>(E623/E612)*SUM(C698:D698)</f>
        <v>128268.6937169767</v>
      </c>
      <c r="F698" s="2">
        <f>(F624/F612)*AG64</f>
        <v>0</v>
      </c>
      <c r="G698" s="2">
        <f>(G625/G612)*AG77</f>
        <v>0</v>
      </c>
      <c r="H698" s="2">
        <f>(H628/H612)*AG60</f>
        <v>10730.05575334788</v>
      </c>
      <c r="I698" s="2">
        <f>(I629/I612)*AG78</f>
        <v>20174.725396696987</v>
      </c>
      <c r="J698" s="2">
        <f>(J630/J612)*AG79</f>
        <v>11980.376232623377</v>
      </c>
      <c r="K698" s="2">
        <f>(K644/K612)*AG75</f>
        <v>120898.16962595079</v>
      </c>
      <c r="L698" s="2">
        <f>(L647/L612)*AG80</f>
        <v>444.87126296256292</v>
      </c>
      <c r="M698" s="2">
        <f t="shared" si="20"/>
        <v>309083</v>
      </c>
      <c r="N698" s="325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1">
        <v>7240</v>
      </c>
      <c r="B699" s="325" t="s">
        <v>119</v>
      </c>
      <c r="C699" s="2">
        <f>AH71</f>
        <v>259803</v>
      </c>
      <c r="D699" s="2">
        <f>(D615/D612)*AH76</f>
        <v>0</v>
      </c>
      <c r="E699" s="2">
        <f>(E623/E612)*SUM(C699:D699)</f>
        <v>28386.846785141261</v>
      </c>
      <c r="F699" s="2">
        <f>(F624/F612)*AH64</f>
        <v>0</v>
      </c>
      <c r="G699" s="2">
        <f>(G625/G612)*AH77</f>
        <v>0</v>
      </c>
      <c r="H699" s="2">
        <f>(H628/H612)*AH60</f>
        <v>4655.685271005691</v>
      </c>
      <c r="I699" s="2">
        <f>(I629/I612)*AH78</f>
        <v>0</v>
      </c>
      <c r="J699" s="2">
        <f>(J630/J612)*AH79</f>
        <v>1699.3775324074811</v>
      </c>
      <c r="K699" s="2">
        <f>(K644/K612)*AH75</f>
        <v>30191.386718129048</v>
      </c>
      <c r="L699" s="2">
        <f>(L647/L612)*AH80</f>
        <v>0</v>
      </c>
      <c r="M699" s="2">
        <f t="shared" si="20"/>
        <v>64933</v>
      </c>
      <c r="N699" s="325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1">
        <v>7250</v>
      </c>
      <c r="B700" s="325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413.23440498976771</v>
      </c>
      <c r="L700" s="2">
        <f>(L647/L612)*AI80</f>
        <v>0</v>
      </c>
      <c r="M700" s="2">
        <f t="shared" si="20"/>
        <v>413</v>
      </c>
      <c r="N700" s="325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1">
        <v>7260</v>
      </c>
      <c r="B701" s="325" t="s">
        <v>121</v>
      </c>
      <c r="C701" s="2">
        <f>AJ71</f>
        <v>5789032</v>
      </c>
      <c r="D701" s="2">
        <f>(D615/D612)*AJ76</f>
        <v>185355.69589307284</v>
      </c>
      <c r="E701" s="2">
        <f>(E623/E612)*SUM(C701:D701)</f>
        <v>652779.32956259081</v>
      </c>
      <c r="F701" s="2">
        <f>(F624/F612)*AJ64</f>
        <v>0</v>
      </c>
      <c r="G701" s="2">
        <f>(G625/G612)*AJ77</f>
        <v>0</v>
      </c>
      <c r="H701" s="2">
        <f>(H628/H612)*AJ60</f>
        <v>65079.686384830624</v>
      </c>
      <c r="I701" s="2">
        <f>(I629/I612)*AJ78</f>
        <v>25375.0503841477</v>
      </c>
      <c r="J701" s="2">
        <f>(J630/J612)*AJ79</f>
        <v>1694.6701154202028</v>
      </c>
      <c r="K701" s="2">
        <f>(K644/K612)*AJ75</f>
        <v>527589.89998255472</v>
      </c>
      <c r="L701" s="2">
        <f>(L647/L612)*AJ80</f>
        <v>588.83490774089898</v>
      </c>
      <c r="M701" s="2">
        <f t="shared" si="20"/>
        <v>1458463</v>
      </c>
      <c r="N701" s="325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1">
        <v>7310</v>
      </c>
      <c r="B702" s="325" t="s">
        <v>719</v>
      </c>
      <c r="C702" s="2">
        <f>AK71</f>
        <v>78442</v>
      </c>
      <c r="D702" s="2">
        <f>(D615/D612)*AK76</f>
        <v>12189.570637046374</v>
      </c>
      <c r="E702" s="2">
        <f>(E623/E612)*SUM(C702:D702)</f>
        <v>9902.6743708523118</v>
      </c>
      <c r="F702" s="2">
        <f>(F624/F612)*AK64</f>
        <v>0</v>
      </c>
      <c r="G702" s="2">
        <f>(G625/G612)*AK77</f>
        <v>0</v>
      </c>
      <c r="H702" s="2">
        <f>(H628/H612)*AK60</f>
        <v>1118.9629835893506</v>
      </c>
      <c r="I702" s="2">
        <f>(I629/I612)*AK78</f>
        <v>2396.586714797962</v>
      </c>
      <c r="J702" s="2">
        <f>(J630/J612)*AK79</f>
        <v>0</v>
      </c>
      <c r="K702" s="2">
        <f>(K644/K612)*AK75</f>
        <v>10279.519968433562</v>
      </c>
      <c r="L702" s="2">
        <f>(L647/L612)*AK80</f>
        <v>0</v>
      </c>
      <c r="M702" s="2">
        <f t="shared" si="20"/>
        <v>35887</v>
      </c>
      <c r="N702" s="325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1">
        <v>7320</v>
      </c>
      <c r="B703" s="325" t="s">
        <v>721</v>
      </c>
      <c r="C703" s="2">
        <f>AL71</f>
        <v>57662</v>
      </c>
      <c r="D703" s="2">
        <f>(D615/D612)*AL76</f>
        <v>0</v>
      </c>
      <c r="E703" s="2">
        <f>(E623/E612)*SUM(C703:D703)</f>
        <v>6300.321240804823</v>
      </c>
      <c r="F703" s="2">
        <f>(F624/F612)*AL64</f>
        <v>0</v>
      </c>
      <c r="G703" s="2">
        <f>(G625/G612)*AL77</f>
        <v>0</v>
      </c>
      <c r="H703" s="2">
        <f>(H628/H612)*AL60</f>
        <v>879.18520139163263</v>
      </c>
      <c r="I703" s="2">
        <f>(I629/I612)*AL78</f>
        <v>0</v>
      </c>
      <c r="J703" s="2">
        <f>(J630/J612)*AL79</f>
        <v>0</v>
      </c>
      <c r="K703" s="2">
        <f>(K644/K612)*AL75</f>
        <v>5962.8539867185546</v>
      </c>
      <c r="L703" s="2">
        <f>(L647/L612)*AL80</f>
        <v>0</v>
      </c>
      <c r="M703" s="2">
        <f t="shared" si="20"/>
        <v>13142</v>
      </c>
      <c r="N703" s="325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1">
        <v>7330</v>
      </c>
      <c r="B704" s="325" t="s">
        <v>723</v>
      </c>
      <c r="C704" s="2">
        <f>AM71</f>
        <v>39909</v>
      </c>
      <c r="D704" s="2">
        <f>(D615/D612)*AM76</f>
        <v>0</v>
      </c>
      <c r="E704" s="2">
        <f>(E623/E612)*SUM(C704:D704)</f>
        <v>4360.5757760618726</v>
      </c>
      <c r="F704" s="2">
        <f>(F624/F612)*AM64</f>
        <v>0</v>
      </c>
      <c r="G704" s="2">
        <f>(G625/G612)*AM77</f>
        <v>0</v>
      </c>
      <c r="H704" s="2">
        <f>(H628/H612)*AM60</f>
        <v>1518.5926205855471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5879</v>
      </c>
      <c r="N704" s="325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1">
        <v>7340</v>
      </c>
      <c r="B705" s="325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25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1">
        <v>7350</v>
      </c>
      <c r="B706" s="325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33550.899855619275</v>
      </c>
      <c r="L706" s="2">
        <f>(L647/L612)*AO80</f>
        <v>0</v>
      </c>
      <c r="M706" s="2">
        <f t="shared" si="20"/>
        <v>33551</v>
      </c>
      <c r="N706" s="325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1">
        <v>7380</v>
      </c>
      <c r="B707" s="325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25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1">
        <v>7390</v>
      </c>
      <c r="B708" s="325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25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1">
        <v>7400</v>
      </c>
      <c r="B709" s="325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25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1">
        <v>7410</v>
      </c>
      <c r="B710" s="325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25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1">
        <v>7420</v>
      </c>
      <c r="B711" s="325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25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1">
        <v>7430</v>
      </c>
      <c r="B712" s="325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25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1">
        <v>7490</v>
      </c>
      <c r="B713" s="325" t="s">
        <v>740</v>
      </c>
      <c r="C713" s="2">
        <f>AV71</f>
        <v>195304</v>
      </c>
      <c r="D713" s="2">
        <f>(D615/D612)*AV76</f>
        <v>0</v>
      </c>
      <c r="E713" s="2">
        <f>(E623/E612)*SUM(C713:D713)</f>
        <v>21339.49463449317</v>
      </c>
      <c r="F713" s="2">
        <f>(F624/F612)*AV64</f>
        <v>0</v>
      </c>
      <c r="G713" s="2">
        <f>(G625/G612)*AV77</f>
        <v>0</v>
      </c>
      <c r="H713" s="2">
        <f>(H628/H612)*AV60</f>
        <v>4335.9815614087329</v>
      </c>
      <c r="I713" s="2">
        <f>(I629/I612)*AV78</f>
        <v>4247.0539747487801</v>
      </c>
      <c r="J713" s="2">
        <f>(J630/J612)*AV79</f>
        <v>0</v>
      </c>
      <c r="K713" s="2">
        <f>(K644/K612)*AV75</f>
        <v>39505.783552337161</v>
      </c>
      <c r="L713" s="2">
        <f>(L647/L612)*AV80</f>
        <v>135.70343565171015</v>
      </c>
      <c r="M713" s="2">
        <f t="shared" si="20"/>
        <v>69564</v>
      </c>
      <c r="N713" s="317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24802330</v>
      </c>
      <c r="D715" s="2">
        <f>SUM(D616:D647)+SUM(D668:D713)</f>
        <v>1087127</v>
      </c>
      <c r="E715" s="2">
        <f>SUM(E624:E647)+SUM(E668:E713)</f>
        <v>2443042.1455805888</v>
      </c>
      <c r="F715" s="2">
        <f>SUM(F625:F648)+SUM(F668:F713)</f>
        <v>0</v>
      </c>
      <c r="G715" s="2">
        <f>SUM(G626:G647)+SUM(G668:G713)</f>
        <v>769767.98276357446</v>
      </c>
      <c r="H715" s="2">
        <f>SUM(H629:H647)+SUM(H668:H713)</f>
        <v>318604.72809521772</v>
      </c>
      <c r="I715" s="2">
        <f>SUM(I630:I647)+SUM(I668:I713)</f>
        <v>501600.96714398032</v>
      </c>
      <c r="J715" s="2">
        <f>SUM(J631:J647)+SUM(J668:J713)</f>
        <v>97415.287134737999</v>
      </c>
      <c r="K715" s="2">
        <f>SUM(K668:K713)</f>
        <v>2393059.898292053</v>
      </c>
      <c r="L715" s="2">
        <f>SUM(L668:L713)</f>
        <v>3706.4738381045358</v>
      </c>
      <c r="M715" s="2">
        <f>SUM(M668:M713)</f>
        <v>6741526</v>
      </c>
      <c r="N715" s="325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24802330</v>
      </c>
      <c r="D716" s="2">
        <f>D615</f>
        <v>1087127</v>
      </c>
      <c r="E716" s="2">
        <f>E623</f>
        <v>2443042.1455805888</v>
      </c>
      <c r="F716" s="2">
        <f>F624</f>
        <v>0</v>
      </c>
      <c r="G716" s="2">
        <f>G625</f>
        <v>769767.98276357446</v>
      </c>
      <c r="H716" s="2">
        <f>H628</f>
        <v>318604.72809521772</v>
      </c>
      <c r="I716" s="2">
        <f>I629</f>
        <v>501600.96714398044</v>
      </c>
      <c r="J716" s="2">
        <f>J630</f>
        <v>97415.287134737999</v>
      </c>
      <c r="K716" s="2">
        <f>K644</f>
        <v>2393059.898292053</v>
      </c>
      <c r="L716" s="2">
        <f>L647</f>
        <v>3706.4738381045358</v>
      </c>
      <c r="M716" s="2">
        <f>C648</f>
        <v>6741527</v>
      </c>
      <c r="N716" s="325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7"/>
      <c r="J719" s="277"/>
      <c r="K719" s="277"/>
      <c r="L719" s="277"/>
      <c r="M719" s="277"/>
      <c r="N719" s="277"/>
      <c r="O719" s="202"/>
      <c r="P719" s="277"/>
      <c r="Q719" s="277"/>
      <c r="R719" s="277"/>
      <c r="S719" s="277"/>
      <c r="T719" s="277"/>
      <c r="U719" s="277"/>
      <c r="V719" s="277"/>
      <c r="W719" s="277"/>
      <c r="X719" s="277"/>
      <c r="Y719" s="277"/>
      <c r="Z719" s="277"/>
      <c r="AA719" s="277"/>
      <c r="AB719" s="277"/>
      <c r="AC719" s="277"/>
      <c r="AD719" s="277"/>
      <c r="AE719" s="277"/>
      <c r="AF719" s="277"/>
      <c r="AG719" s="277"/>
      <c r="AH719" s="277"/>
      <c r="AI719" s="277"/>
      <c r="AJ719" s="277"/>
      <c r="AK719" s="277"/>
      <c r="AL719" s="277"/>
      <c r="AM719" s="277"/>
      <c r="AN719" s="277"/>
      <c r="AO719" s="277"/>
      <c r="AP719" s="277"/>
      <c r="AQ719" s="277"/>
      <c r="AR719" s="277"/>
      <c r="AS719" s="277"/>
      <c r="AT719" s="277"/>
      <c r="AU719" s="277"/>
      <c r="AV719" s="277"/>
      <c r="AW719" s="277"/>
      <c r="AX719" s="277"/>
      <c r="AY719" s="277"/>
      <c r="AZ719" s="277"/>
      <c r="BA719" s="277"/>
      <c r="BB719" s="277"/>
      <c r="BC719" s="277"/>
      <c r="BD719" s="277"/>
      <c r="BE719" s="277"/>
      <c r="BF719" s="277"/>
      <c r="BG719" s="277"/>
      <c r="BH719" s="277"/>
      <c r="BI719" s="277"/>
      <c r="BJ719" s="277"/>
      <c r="BK719" s="277"/>
      <c r="BL719" s="277"/>
      <c r="BM719" s="277"/>
      <c r="BN719" s="277"/>
      <c r="BO719" s="277"/>
      <c r="BP719" s="277"/>
      <c r="BQ719" s="277"/>
      <c r="BR719" s="277"/>
      <c r="BS719" s="277"/>
      <c r="BT719" s="277"/>
      <c r="BU719" s="277"/>
      <c r="BV719" s="277"/>
      <c r="BW719" s="277"/>
      <c r="BX719" s="277"/>
      <c r="BY719" s="277"/>
      <c r="BZ719" s="277"/>
      <c r="CA719" s="277"/>
      <c r="CB719" s="277"/>
      <c r="CC719" s="277"/>
      <c r="CD719" s="277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78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79" t="str">
        <f>RIGHT(C84,3)&amp;"*"&amp;RIGHT(C83,4)&amp;"*"&amp;"A"</f>
        <v># 3*137*A</v>
      </c>
      <c r="B721" s="277">
        <f>ROUND(C166,0)</f>
        <v>50816</v>
      </c>
      <c r="C721" s="277">
        <f>ROUND(C167,0)</f>
        <v>228205</v>
      </c>
      <c r="D721" s="277">
        <f>ROUND(C168,0)</f>
        <v>1948748</v>
      </c>
      <c r="E721" s="277">
        <f>ROUND(C169,0)</f>
        <v>0</v>
      </c>
      <c r="F721" s="277">
        <f>ROUND(C170,0)</f>
        <v>366584</v>
      </c>
      <c r="G721" s="277">
        <f>ROUND(C171,0)</f>
        <v>244745</v>
      </c>
      <c r="H721" s="277">
        <f>ROUND(C172+C173,0)</f>
        <v>6663</v>
      </c>
      <c r="I721" s="277">
        <f>ROUND(C176,0)</f>
        <v>92713</v>
      </c>
      <c r="J721" s="277">
        <f>ROUND(C177,0)</f>
        <v>0</v>
      </c>
      <c r="K721" s="277">
        <f>ROUND(C180,0)</f>
        <v>33718</v>
      </c>
      <c r="L721" s="277">
        <f>ROUND(C181,0)</f>
        <v>0</v>
      </c>
      <c r="M721" s="277">
        <f>ROUND(C184,0)</f>
        <v>124655</v>
      </c>
      <c r="N721" s="277">
        <f>ROUND(C185,0)</f>
        <v>0</v>
      </c>
      <c r="O721" s="277">
        <f>ROUND(C186,0)</f>
        <v>0</v>
      </c>
      <c r="P721" s="277">
        <f>ROUND(C189,0)</f>
        <v>0</v>
      </c>
      <c r="Q721" s="277">
        <f>ROUND(C190,0)</f>
        <v>0</v>
      </c>
      <c r="R721" s="277">
        <f>ROUND(B196,0)</f>
        <v>324429</v>
      </c>
      <c r="S721" s="277">
        <f>ROUND(C196,0)</f>
        <v>0</v>
      </c>
      <c r="T721" s="277">
        <f>ROUND(D196,0)</f>
        <v>0</v>
      </c>
      <c r="U721" s="277">
        <f>ROUND(B197,0)</f>
        <v>4841530</v>
      </c>
      <c r="V721" s="277">
        <f>ROUND(C197,0)</f>
        <v>21353</v>
      </c>
      <c r="W721" s="277">
        <f>ROUND(D197,0)</f>
        <v>0</v>
      </c>
      <c r="X721" s="277">
        <f>ROUND(B198,0)</f>
        <v>0</v>
      </c>
      <c r="Y721" s="277">
        <f>ROUND(C198,0)</f>
        <v>0</v>
      </c>
      <c r="Z721" s="277">
        <f>ROUND(D198,0)</f>
        <v>0</v>
      </c>
      <c r="AA721" s="277">
        <f>ROUND(B199,0)</f>
        <v>4966369</v>
      </c>
      <c r="AB721" s="277">
        <f>ROUND(C199,0)</f>
        <v>257307</v>
      </c>
      <c r="AC721" s="277">
        <f>ROUND(D199,0)</f>
        <v>0</v>
      </c>
      <c r="AD721" s="277">
        <f>ROUND(B200,0)</f>
        <v>6099384</v>
      </c>
      <c r="AE721" s="277">
        <f>ROUND(C200,0)</f>
        <v>145872</v>
      </c>
      <c r="AF721" s="277">
        <f>ROUND(D200,0)</f>
        <v>0</v>
      </c>
      <c r="AG721" s="277">
        <f>ROUND(B201,0)</f>
        <v>0</v>
      </c>
      <c r="AH721" s="277">
        <f>ROUND(C201,0)</f>
        <v>0</v>
      </c>
      <c r="AI721" s="277">
        <f>ROUND(D201,0)</f>
        <v>0</v>
      </c>
      <c r="AJ721" s="277">
        <f>ROUND(B202,0)</f>
        <v>0</v>
      </c>
      <c r="AK721" s="277">
        <f>ROUND(C202,0)</f>
        <v>0</v>
      </c>
      <c r="AL721" s="277">
        <f>ROUND(D202,0)</f>
        <v>0</v>
      </c>
      <c r="AM721" s="277">
        <f>ROUND(B203,0)</f>
        <v>45258</v>
      </c>
      <c r="AN721" s="277">
        <f>ROUND(C203,0)</f>
        <v>288226</v>
      </c>
      <c r="AO721" s="277">
        <f>ROUND(D203,0)</f>
        <v>0</v>
      </c>
      <c r="AP721" s="277">
        <f>ROUND(B204,0)</f>
        <v>16896084</v>
      </c>
      <c r="AQ721" s="277">
        <f>ROUND(C204,0)</f>
        <v>712758</v>
      </c>
      <c r="AR721" s="277">
        <f>ROUND(D204,0)</f>
        <v>0</v>
      </c>
      <c r="AS721" s="277"/>
      <c r="AT721" s="277"/>
      <c r="AU721" s="277"/>
      <c r="AV721" s="277">
        <f>ROUND(B210,0)</f>
        <v>3760604</v>
      </c>
      <c r="AW721" s="277">
        <f>ROUND(C210,0)</f>
        <v>138392</v>
      </c>
      <c r="AX721" s="277">
        <f>ROUND(D210,0)</f>
        <v>0</v>
      </c>
      <c r="AY721" s="277">
        <f>ROUND(B211,0)</f>
        <v>0</v>
      </c>
      <c r="AZ721" s="277">
        <f>ROUND(C211,0)</f>
        <v>0</v>
      </c>
      <c r="BA721" s="277">
        <f>ROUND(D211,0)</f>
        <v>0</v>
      </c>
      <c r="BB721" s="277">
        <f>ROUND(B212,0)</f>
        <v>4585039</v>
      </c>
      <c r="BC721" s="277">
        <f>ROUND(C212,0)</f>
        <v>79737</v>
      </c>
      <c r="BD721" s="277">
        <f>ROUND(D212,0)</f>
        <v>0</v>
      </c>
      <c r="BE721" s="277">
        <f>ROUND(B213,0)</f>
        <v>5352171</v>
      </c>
      <c r="BF721" s="277">
        <f>ROUND(C213,0)</f>
        <v>237737</v>
      </c>
      <c r="BG721" s="277">
        <f>ROUND(D213,0)</f>
        <v>0</v>
      </c>
      <c r="BH721" s="277">
        <f>ROUND(B214,0)</f>
        <v>0</v>
      </c>
      <c r="BI721" s="277">
        <f>ROUND(C214,0)</f>
        <v>0</v>
      </c>
      <c r="BJ721" s="277">
        <f>ROUND(D214,0)</f>
        <v>0</v>
      </c>
      <c r="BK721" s="277">
        <f>ROUND(B215,0)</f>
        <v>0</v>
      </c>
      <c r="BL721" s="277">
        <f>ROUND(C215,0)</f>
        <v>0</v>
      </c>
      <c r="BM721" s="277">
        <f>ROUND(D215,0)</f>
        <v>0</v>
      </c>
      <c r="BN721" s="277">
        <f>ROUND(B216,0)</f>
        <v>0</v>
      </c>
      <c r="BO721" s="277">
        <f>ROUND(C216,0)</f>
        <v>0</v>
      </c>
      <c r="BP721" s="277">
        <f>ROUND(D216,0)</f>
        <v>0</v>
      </c>
      <c r="BQ721" s="277">
        <f>ROUND(B217,0)</f>
        <v>13994563</v>
      </c>
      <c r="BR721" s="277">
        <f>ROUND(C217,0)</f>
        <v>459515</v>
      </c>
      <c r="BS721" s="277">
        <f>ROUND(D217,0)</f>
        <v>0</v>
      </c>
      <c r="BT721" s="277">
        <f>ROUND(C222,0)</f>
        <v>0</v>
      </c>
      <c r="BU721" s="277">
        <f>ROUND(C223,0)</f>
        <v>2387069</v>
      </c>
      <c r="BV721" s="277">
        <f>ROUND(C224,0)</f>
        <v>2362796</v>
      </c>
      <c r="BW721" s="277">
        <f>ROUND(C225,0)</f>
        <v>0</v>
      </c>
      <c r="BX721" s="277">
        <f>ROUND(C226,0)</f>
        <v>0</v>
      </c>
      <c r="BY721" s="277">
        <f>ROUND(C227,0)</f>
        <v>0</v>
      </c>
      <c r="BZ721" s="277">
        <f>ROUND(C230,0)</f>
        <v>0</v>
      </c>
      <c r="CA721" s="277">
        <f>ROUND(C232,0)</f>
        <v>0</v>
      </c>
      <c r="CB721" s="277">
        <f>ROUND(C233,0)</f>
        <v>0</v>
      </c>
      <c r="CC721" s="277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79" t="str">
        <f>RIGHT(C84,3)&amp;"*"&amp;RIGHT(C83,4)&amp;"*"&amp;"A"</f>
        <v># 3*137*A</v>
      </c>
      <c r="B725" s="277">
        <f>ROUND(C112,0)</f>
        <v>119</v>
      </c>
      <c r="C725" s="277">
        <f>ROUND(C113,0)</f>
        <v>0</v>
      </c>
      <c r="D725" s="277">
        <f>ROUND(C114,0)</f>
        <v>0</v>
      </c>
      <c r="E725" s="277">
        <f>ROUND(C115,0)</f>
        <v>0</v>
      </c>
      <c r="F725" s="277">
        <f>ROUND(D112,0)</f>
        <v>4542</v>
      </c>
      <c r="G725" s="277">
        <f>ROUND(D113,0)</f>
        <v>0</v>
      </c>
      <c r="H725" s="277">
        <f>ROUND(D114,0)</f>
        <v>0</v>
      </c>
      <c r="I725" s="277">
        <f>ROUND(D115,0)</f>
        <v>0</v>
      </c>
      <c r="J725" s="277">
        <f>ROUND(C117,0)</f>
        <v>0</v>
      </c>
      <c r="K725" s="277">
        <f>ROUND(C118,0)</f>
        <v>25</v>
      </c>
      <c r="L725" s="277">
        <f>ROUND(C119,0)</f>
        <v>0</v>
      </c>
      <c r="M725" s="277">
        <f>ROUND(C120,0)</f>
        <v>0</v>
      </c>
      <c r="N725" s="277">
        <f>ROUND(C121,0)</f>
        <v>0</v>
      </c>
      <c r="O725" s="277">
        <f>ROUND(C122,0)</f>
        <v>0</v>
      </c>
      <c r="P725" s="277">
        <f>ROUND(C123,0)</f>
        <v>0</v>
      </c>
      <c r="Q725" s="277">
        <f>ROUND(C124,0)</f>
        <v>0</v>
      </c>
      <c r="R725" s="277">
        <f>ROUND(C125,0)</f>
        <v>0</v>
      </c>
      <c r="S725" s="277">
        <f>ROUND(C126,0)</f>
        <v>0</v>
      </c>
      <c r="T725" s="277"/>
      <c r="U725" s="277">
        <f>ROUND(C127,0)</f>
        <v>0</v>
      </c>
      <c r="V725" s="277">
        <f>ROUND(C129,0)</f>
        <v>0</v>
      </c>
      <c r="W725" s="277">
        <f>ROUND(C130,0)</f>
        <v>0</v>
      </c>
      <c r="X725" s="277">
        <f>ROUND(B139,0)</f>
        <v>915</v>
      </c>
      <c r="Y725" s="277">
        <f>ROUND(B140,0)</f>
        <v>0</v>
      </c>
      <c r="Z725" s="277">
        <f>ROUND(B141,0)</f>
        <v>2885272</v>
      </c>
      <c r="AA725" s="277">
        <f>ROUND(B142,0)</f>
        <v>13274003</v>
      </c>
      <c r="AB725" s="277">
        <f>ROUND(B143,0)</f>
        <v>0</v>
      </c>
      <c r="AC725" s="277">
        <f>ROUND(C139,0)</f>
        <v>132</v>
      </c>
      <c r="AD725" s="277">
        <f>ROUND(C140,0)</f>
        <v>0</v>
      </c>
      <c r="AE725" s="277">
        <f>ROUND(C141,0)</f>
        <v>1188053</v>
      </c>
      <c r="AF725" s="277">
        <f>ROUND(C142,0)</f>
        <v>5465766</v>
      </c>
      <c r="AG725" s="277">
        <f>ROUND(C143,0)</f>
        <v>0</v>
      </c>
      <c r="AH725" s="277">
        <f>ROUND(D139,0)</f>
        <v>154</v>
      </c>
      <c r="AI725" s="277">
        <f>ROUND(D140,0)</f>
        <v>0</v>
      </c>
      <c r="AJ725" s="277">
        <f>ROUND(D141,0)</f>
        <v>1584072</v>
      </c>
      <c r="AK725" s="277">
        <f>ROUND(D142,0)</f>
        <v>7190834</v>
      </c>
      <c r="AL725" s="277">
        <f>ROUND(D143,0)</f>
        <v>0</v>
      </c>
      <c r="AM725" s="277">
        <f>ROUND(B145,0)</f>
        <v>1203</v>
      </c>
      <c r="AN725" s="277">
        <f>ROUND(B146,0)</f>
        <v>0</v>
      </c>
      <c r="AO725" s="277">
        <f>ROUND(B147,0)</f>
        <v>876018</v>
      </c>
      <c r="AP725" s="277">
        <f>ROUND(B148,0)</f>
        <v>0</v>
      </c>
      <c r="AQ725" s="277">
        <f>ROUND(B149,0)</f>
        <v>0</v>
      </c>
      <c r="AR725" s="277">
        <f>ROUND(C145,0)</f>
        <v>1764</v>
      </c>
      <c r="AS725" s="277">
        <f>ROUND(C146,0)</f>
        <v>0</v>
      </c>
      <c r="AT725" s="277">
        <f>ROUND(C147,0)</f>
        <v>360713</v>
      </c>
      <c r="AU725" s="277">
        <f>ROUND(C148,0)</f>
        <v>0</v>
      </c>
      <c r="AV725" s="277">
        <f>ROUND(C149,0)</f>
        <v>0</v>
      </c>
      <c r="AW725" s="277">
        <f>ROUND(D145,0)</f>
        <v>1575</v>
      </c>
      <c r="AX725" s="277">
        <f>ROUND(D146,0)</f>
        <v>0</v>
      </c>
      <c r="AY725" s="277">
        <f>ROUND(D147,0)</f>
        <v>502745</v>
      </c>
      <c r="AZ725" s="277">
        <f>ROUND(D148,0)</f>
        <v>0</v>
      </c>
      <c r="BA725" s="277">
        <f>ROUND(D149,0)</f>
        <v>0</v>
      </c>
      <c r="BB725" s="277">
        <f>ROUND(B151,0)</f>
        <v>0</v>
      </c>
      <c r="BC725" s="277">
        <f>ROUND(B152,0)</f>
        <v>0</v>
      </c>
      <c r="BD725" s="277">
        <f>ROUND(B153,0)</f>
        <v>0</v>
      </c>
      <c r="BE725" s="277">
        <f>ROUND(B154,0)</f>
        <v>0</v>
      </c>
      <c r="BF725" s="277">
        <f>ROUND(B155,0)</f>
        <v>0</v>
      </c>
      <c r="BG725" s="277">
        <f>ROUND(C151,0)</f>
        <v>0</v>
      </c>
      <c r="BH725" s="277">
        <f>ROUND(C152,0)</f>
        <v>0</v>
      </c>
      <c r="BI725" s="277">
        <f>ROUND(C153,0)</f>
        <v>0</v>
      </c>
      <c r="BJ725" s="277">
        <f>ROUND(C154,0)</f>
        <v>0</v>
      </c>
      <c r="BK725" s="277">
        <f>ROUND(C155,0)</f>
        <v>0</v>
      </c>
      <c r="BL725" s="277">
        <f>ROUND(D151,0)</f>
        <v>0</v>
      </c>
      <c r="BM725" s="277">
        <f>ROUND(D152,0)</f>
        <v>0</v>
      </c>
      <c r="BN725" s="277">
        <f>ROUND(D153,0)</f>
        <v>0</v>
      </c>
      <c r="BO725" s="277">
        <f>ROUND(D154,0)</f>
        <v>0</v>
      </c>
      <c r="BP725" s="277">
        <f>ROUND(D155,0)</f>
        <v>0</v>
      </c>
      <c r="BQ725" s="277">
        <f>ROUND(B158,0)</f>
        <v>0</v>
      </c>
      <c r="BR725" s="277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  <c r="CF727" s="277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79" t="str">
        <f>RIGHT(C84,3)&amp;"*"&amp;RIGHT(C83,4)&amp;"*"&amp;"A"</f>
        <v># 3*137*A</v>
      </c>
      <c r="B729" s="277">
        <f>ROUND(C249,0)</f>
        <v>0</v>
      </c>
      <c r="C729" s="277">
        <f>ROUND(C250,0)</f>
        <v>2807938</v>
      </c>
      <c r="D729" s="277">
        <f>ROUND(C251,0)</f>
        <v>0</v>
      </c>
      <c r="E729" s="277">
        <f>ROUND(C252,0)</f>
        <v>3710047</v>
      </c>
      <c r="F729" s="277">
        <f>ROUND(C253,0)</f>
        <v>976678</v>
      </c>
      <c r="G729" s="277">
        <f>ROUND(C254,0)</f>
        <v>461000</v>
      </c>
      <c r="H729" s="277">
        <f>ROUND(C255,0)</f>
        <v>143200</v>
      </c>
      <c r="I729" s="277">
        <f>ROUND(C256,0)</f>
        <v>0</v>
      </c>
      <c r="J729" s="277">
        <f>ROUND(C257,0)</f>
        <v>589251</v>
      </c>
      <c r="K729" s="277">
        <f>ROUND(C258,0)</f>
        <v>82622</v>
      </c>
      <c r="L729" s="277">
        <f>ROUND(C261,0)</f>
        <v>0</v>
      </c>
      <c r="M729" s="277">
        <f>ROUND(C262,0)</f>
        <v>7040395</v>
      </c>
      <c r="N729" s="277">
        <f>ROUND(C263,0)</f>
        <v>0</v>
      </c>
      <c r="O729" s="277">
        <f>ROUND(C266,0)</f>
        <v>0</v>
      </c>
      <c r="P729" s="277">
        <f>ROUND(C267,0)</f>
        <v>619114</v>
      </c>
      <c r="Q729" s="277">
        <f>ROUND(C268,0)</f>
        <v>324429</v>
      </c>
      <c r="R729" s="277">
        <f>ROUND(C269,0)</f>
        <v>4862883</v>
      </c>
      <c r="S729" s="277">
        <f>ROUND(C270,0)</f>
        <v>0</v>
      </c>
      <c r="T729" s="277">
        <f>ROUND(C271,0)</f>
        <v>5223676</v>
      </c>
      <c r="U729" s="277">
        <f>ROUND(C272,0)</f>
        <v>6245256</v>
      </c>
      <c r="V729" s="277">
        <f>ROUND(C273,0)</f>
        <v>0</v>
      </c>
      <c r="W729" s="277">
        <f>ROUND(C274,0)</f>
        <v>333484</v>
      </c>
      <c r="X729" s="277">
        <f>ROUND(C275,0)</f>
        <v>0</v>
      </c>
      <c r="Y729" s="277">
        <f>ROUND(C278,0)</f>
        <v>0</v>
      </c>
      <c r="Z729" s="277">
        <f>ROUND(C279,0)</f>
        <v>0</v>
      </c>
      <c r="AA729" s="277">
        <f>ROUND(C280,0)</f>
        <v>0</v>
      </c>
      <c r="AB729" s="277">
        <f>ROUND(C281,0)</f>
        <v>0</v>
      </c>
      <c r="AC729" s="277">
        <f>ROUND(C285,0)</f>
        <v>0</v>
      </c>
      <c r="AD729" s="277">
        <f>ROUND(C286,0)</f>
        <v>0</v>
      </c>
      <c r="AE729" s="277">
        <f>ROUND(C287,0)</f>
        <v>0</v>
      </c>
      <c r="AF729" s="277">
        <f>ROUND(C288,0)</f>
        <v>0</v>
      </c>
      <c r="AG729" s="277">
        <f>ROUND(C303,0)</f>
        <v>0</v>
      </c>
      <c r="AH729" s="277">
        <f>ROUND(C304,0)</f>
        <v>0</v>
      </c>
      <c r="AI729" s="277">
        <f>ROUND(C305,0)</f>
        <v>977844</v>
      </c>
      <c r="AJ729" s="277">
        <f>ROUND(C306,0)</f>
        <v>157429</v>
      </c>
      <c r="AK729" s="277">
        <f>ROUND(C307,0)</f>
        <v>1313</v>
      </c>
      <c r="AL729" s="277">
        <f>ROUND(C308,0)</f>
        <v>0</v>
      </c>
      <c r="AM729" s="277">
        <f>ROUND(C309,0)</f>
        <v>0</v>
      </c>
      <c r="AN729" s="277">
        <f>ROUND(C310,0)</f>
        <v>0</v>
      </c>
      <c r="AO729" s="277">
        <f>ROUND(C311,0)</f>
        <v>0</v>
      </c>
      <c r="AP729" s="277">
        <f>ROUND(C312,0)</f>
        <v>0</v>
      </c>
      <c r="AQ729" s="277">
        <f>ROUND(C315,0)</f>
        <v>0</v>
      </c>
      <c r="AR729" s="277">
        <f>ROUND(C316,0)</f>
        <v>0</v>
      </c>
      <c r="AS729" s="277">
        <f>ROUND(C317,0)</f>
        <v>0</v>
      </c>
      <c r="AT729" s="277">
        <f>ROUND(C320,0)</f>
        <v>0</v>
      </c>
      <c r="AU729" s="277">
        <f>ROUND(C321,0)</f>
        <v>0</v>
      </c>
      <c r="AV729" s="277">
        <f>ROUND(C322,0)</f>
        <v>0</v>
      </c>
      <c r="AW729" s="277">
        <f>ROUND(C323,0)</f>
        <v>0</v>
      </c>
      <c r="AX729" s="277">
        <f>ROUND(C324,0)</f>
        <v>0</v>
      </c>
      <c r="AY729" s="277">
        <f>ROUND(C325,0)</f>
        <v>350416</v>
      </c>
      <c r="AZ729" s="277">
        <f>ROUND(C326,0)</f>
        <v>0</v>
      </c>
      <c r="BA729" s="277">
        <f>ROUND(C327,0)</f>
        <v>3810010</v>
      </c>
      <c r="BB729" s="277">
        <f>ROUND(C331,0)</f>
        <v>0</v>
      </c>
      <c r="BC729" s="277"/>
      <c r="BD729" s="277"/>
      <c r="BE729" s="277">
        <f>ROUND(C336,0)</f>
        <v>0</v>
      </c>
      <c r="BF729" s="277">
        <f>ROUND(C335,0)</f>
        <v>0</v>
      </c>
      <c r="BG729" s="277"/>
      <c r="BH729" s="277"/>
      <c r="BI729" s="280">
        <f>ROUND(CE60,2)</f>
        <v>188.75</v>
      </c>
      <c r="BJ729" s="277">
        <f>ROUND(C358,0)</f>
        <v>0</v>
      </c>
      <c r="BK729" s="277">
        <f>ROUND(C359,0)</f>
        <v>7396873</v>
      </c>
      <c r="BL729" s="277">
        <f>ROUND(C362,0)</f>
        <v>0</v>
      </c>
      <c r="BM729" s="277">
        <f>ROUND(C363,0)</f>
        <v>608125</v>
      </c>
      <c r="BN729" s="277">
        <f>ROUND(C364,0)</f>
        <v>7128893</v>
      </c>
      <c r="BO729" s="277">
        <f>ROUND(C368,0)</f>
        <v>0</v>
      </c>
      <c r="BP729" s="277">
        <f>ROUND(C369,0)</f>
        <v>0</v>
      </c>
      <c r="BQ729" s="277">
        <f>ROUND(C376,0)</f>
        <v>0</v>
      </c>
      <c r="BR729" s="277">
        <f>ROUND(C377,0)</f>
        <v>0</v>
      </c>
      <c r="BS729" s="277">
        <f>ROUND(C378,0)</f>
        <v>14321353</v>
      </c>
      <c r="BT729" s="277">
        <f>ROUND(C379,0)</f>
        <v>3766339</v>
      </c>
      <c r="BU729" s="277">
        <f>ROUND(C380,0)</f>
        <v>800936</v>
      </c>
      <c r="BV729" s="277">
        <f>ROUND(C381,0)</f>
        <v>2524671</v>
      </c>
      <c r="BW729" s="277">
        <f>ROUND(C382,0)</f>
        <v>404080</v>
      </c>
      <c r="BX729" s="277">
        <f>ROUND(C383,0)</f>
        <v>2741912</v>
      </c>
      <c r="BY729" s="277">
        <f>ROUND(C384,0)</f>
        <v>459515</v>
      </c>
      <c r="BZ729" s="277">
        <f>ROUND(C385,0)</f>
        <v>288195</v>
      </c>
      <c r="CA729" s="277">
        <f>ROUND(C386,0)</f>
        <v>176587</v>
      </c>
      <c r="CB729" s="277">
        <f>ROUND(C387,0)</f>
        <v>156143</v>
      </c>
      <c r="CC729" s="277">
        <f>ROUND(C388,0)</f>
        <v>40245</v>
      </c>
      <c r="CD729" s="277">
        <f>ROUND(C391,0)</f>
        <v>0</v>
      </c>
      <c r="CE729" s="277">
        <f>ROUND(C393,0)</f>
        <v>0</v>
      </c>
      <c r="CF729" s="277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# 3*137*6010*A</v>
      </c>
      <c r="B733" s="277">
        <f>ROUND(C59,0)</f>
        <v>0</v>
      </c>
      <c r="C733" s="280">
        <f>ROUND(C60,2)</f>
        <v>0</v>
      </c>
      <c r="D733" s="277">
        <f>ROUND(C61,0)</f>
        <v>0</v>
      </c>
      <c r="E733" s="277">
        <f>ROUND(C62,0)</f>
        <v>0</v>
      </c>
      <c r="F733" s="277">
        <f>ROUND(C63,0)</f>
        <v>0</v>
      </c>
      <c r="G733" s="277">
        <f>ROUND(C64,0)</f>
        <v>0</v>
      </c>
      <c r="H733" s="277">
        <f>ROUND(C65,0)</f>
        <v>0</v>
      </c>
      <c r="I733" s="277">
        <f>ROUND(C66,0)</f>
        <v>0</v>
      </c>
      <c r="J733" s="277">
        <f>ROUND(C67,0)</f>
        <v>0</v>
      </c>
      <c r="K733" s="277">
        <f>ROUND(C68,0)</f>
        <v>0</v>
      </c>
      <c r="L733" s="277">
        <f>ROUND(C70,0)</f>
        <v>0</v>
      </c>
      <c r="M733" s="277">
        <f>ROUND(C71,0)</f>
        <v>0</v>
      </c>
      <c r="N733" s="277">
        <f>ROUND(C76,0)</f>
        <v>0</v>
      </c>
      <c r="O733" s="277">
        <f>ROUND(C74,0)</f>
        <v>0</v>
      </c>
      <c r="P733" s="277">
        <f>IF(C77&gt;0,ROUND(C77,0),0)</f>
        <v>0</v>
      </c>
      <c r="Q733" s="277">
        <f>IF(C78&gt;0,ROUND(C78,0),0)</f>
        <v>0</v>
      </c>
      <c r="R733" s="277">
        <f>IF(C79&gt;0,ROUND(C79,0),0)</f>
        <v>0</v>
      </c>
      <c r="S733" s="277">
        <f>IF(C80&gt;0,ROUND(C80,0),0)</f>
        <v>0</v>
      </c>
      <c r="T733" s="280">
        <f>IF(C81&gt;0,ROUND(C81,2),0)</f>
        <v>0</v>
      </c>
      <c r="U733" s="277"/>
      <c r="X733" s="277"/>
      <c r="Y733" s="277"/>
      <c r="Z733" s="277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# 3*137*6030*A</v>
      </c>
      <c r="B734" s="277">
        <f>ROUND(D59,0)</f>
        <v>0</v>
      </c>
      <c r="C734" s="280">
        <f>ROUND(D60,2)</f>
        <v>0</v>
      </c>
      <c r="D734" s="277">
        <f>ROUND(D61,0)</f>
        <v>0</v>
      </c>
      <c r="E734" s="277">
        <f>ROUND(D62,0)</f>
        <v>0</v>
      </c>
      <c r="F734" s="277">
        <f>ROUND(D63,0)</f>
        <v>0</v>
      </c>
      <c r="G734" s="277">
        <f>ROUND(D64,0)</f>
        <v>0</v>
      </c>
      <c r="H734" s="277">
        <f>ROUND(D65,0)</f>
        <v>0</v>
      </c>
      <c r="I734" s="277">
        <f>ROUND(D66,0)</f>
        <v>0</v>
      </c>
      <c r="J734" s="277">
        <f>ROUND(D67,0)</f>
        <v>0</v>
      </c>
      <c r="K734" s="277">
        <f>ROUND(D68,0)</f>
        <v>0</v>
      </c>
      <c r="L734" s="277">
        <f>ROUND(D70,0)</f>
        <v>0</v>
      </c>
      <c r="M734" s="277">
        <f>ROUND(D71,0)</f>
        <v>0</v>
      </c>
      <c r="N734" s="277">
        <f>ROUND(D76,0)</f>
        <v>0</v>
      </c>
      <c r="O734" s="277">
        <f>ROUND(D74,0)</f>
        <v>0</v>
      </c>
      <c r="P734" s="277">
        <f>IF(D77&gt;0,ROUND(D77,0),0)</f>
        <v>0</v>
      </c>
      <c r="Q734" s="277">
        <f>IF(D78&gt;0,ROUND(D78,0),0)</f>
        <v>0</v>
      </c>
      <c r="R734" s="277">
        <f>IF(D79&gt;0,ROUND(D79,0),0)</f>
        <v>0</v>
      </c>
      <c r="S734" s="277">
        <f>IF(D80&gt;0,ROUND(D80,0),0)</f>
        <v>0</v>
      </c>
      <c r="T734" s="280">
        <f>IF(D81&gt;0,ROUND(D81,2),0)</f>
        <v>0</v>
      </c>
      <c r="U734" s="277"/>
      <c r="X734" s="277"/>
      <c r="Y734" s="277"/>
      <c r="Z734" s="277">
        <f t="shared" ref="Z734:Z778" si="21">IF(M668&lt;&gt;0,ROUND(M668,0),0)</f>
        <v>0</v>
      </c>
    </row>
    <row r="735" spans="1:84" ht="12.65" customHeight="1" x14ac:dyDescent="0.35">
      <c r="A735" s="209" t="str">
        <f>RIGHT($C$84,3)&amp;"*"&amp;RIGHT($C$83,4)&amp;"*"&amp;E$55&amp;"*"&amp;"A"</f>
        <v># 3*137*6070*A</v>
      </c>
      <c r="B735" s="277">
        <f>ROUND(E59,0)</f>
        <v>1201</v>
      </c>
      <c r="C735" s="280">
        <f>ROUND(E60,2)</f>
        <v>23.55</v>
      </c>
      <c r="D735" s="277">
        <f>ROUND(E61,0)</f>
        <v>1711461</v>
      </c>
      <c r="E735" s="277">
        <f>ROUND(E62,0)</f>
        <v>498429</v>
      </c>
      <c r="F735" s="277">
        <f>ROUND(E63,0)</f>
        <v>15995</v>
      </c>
      <c r="G735" s="277">
        <f>ROUND(E64,0)</f>
        <v>98861</v>
      </c>
      <c r="H735" s="277">
        <f>ROUND(E65,0)</f>
        <v>2515</v>
      </c>
      <c r="I735" s="277">
        <f>ROUND(E66,0)</f>
        <v>456069</v>
      </c>
      <c r="J735" s="277">
        <f>ROUND(E67,0)</f>
        <v>39501</v>
      </c>
      <c r="K735" s="277">
        <f>ROUND(E68,0)</f>
        <v>30183</v>
      </c>
      <c r="L735" s="277">
        <f>ROUND(E70,0)</f>
        <v>0</v>
      </c>
      <c r="M735" s="277">
        <f>ROUND(E71,0)</f>
        <v>2865912</v>
      </c>
      <c r="N735" s="277">
        <f>ROUND(E76,0)</f>
        <v>4802</v>
      </c>
      <c r="O735" s="277">
        <f>ROUND(E74,0)</f>
        <v>0</v>
      </c>
      <c r="P735" s="277">
        <f>IF(E77&gt;0,ROUND(E77,0),0)</f>
        <v>4457</v>
      </c>
      <c r="Q735" s="277">
        <f>IF(E78&gt;0,ROUND(E78,0),0)</f>
        <v>812</v>
      </c>
      <c r="R735" s="277">
        <f>IF(E79&gt;0,ROUND(E79,0),0)</f>
        <v>6164</v>
      </c>
      <c r="S735" s="277">
        <f>IF(E80&gt;0,ROUND(E80,0),0)</f>
        <v>10</v>
      </c>
      <c r="T735" s="280">
        <f>IF(E81&gt;0,ROUND(E81,2),0)</f>
        <v>0</v>
      </c>
      <c r="U735" s="277"/>
      <c r="X735" s="277"/>
      <c r="Y735" s="277"/>
      <c r="Z735" s="277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# 3*137*6100*A</v>
      </c>
      <c r="B736" s="277">
        <f>ROUND(F59,0)</f>
        <v>0</v>
      </c>
      <c r="C736" s="280">
        <f>ROUND(F60,2)</f>
        <v>0</v>
      </c>
      <c r="D736" s="277">
        <f>ROUND(F61,0)</f>
        <v>0</v>
      </c>
      <c r="E736" s="277">
        <f>ROUND(F62,0)</f>
        <v>0</v>
      </c>
      <c r="F736" s="277">
        <f>ROUND(F63,0)</f>
        <v>0</v>
      </c>
      <c r="G736" s="277">
        <f>ROUND(F64,0)</f>
        <v>0</v>
      </c>
      <c r="H736" s="277">
        <f>ROUND(F65,0)</f>
        <v>0</v>
      </c>
      <c r="I736" s="277">
        <f>ROUND(F66,0)</f>
        <v>0</v>
      </c>
      <c r="J736" s="277">
        <f>ROUND(F67,0)</f>
        <v>0</v>
      </c>
      <c r="K736" s="277">
        <f>ROUND(F68,0)</f>
        <v>0</v>
      </c>
      <c r="L736" s="277">
        <f>ROUND(F70,0)</f>
        <v>0</v>
      </c>
      <c r="M736" s="277">
        <f>ROUND(F71,0)</f>
        <v>0</v>
      </c>
      <c r="N736" s="277">
        <f>ROUND(F76,0)</f>
        <v>0</v>
      </c>
      <c r="O736" s="277">
        <f>ROUND(F74,0)</f>
        <v>0</v>
      </c>
      <c r="P736" s="277">
        <f>IF(F77&gt;0,ROUND(F77,0),0)</f>
        <v>0</v>
      </c>
      <c r="Q736" s="277">
        <f>IF(F78&gt;0,ROUND(F78,0),0)</f>
        <v>0</v>
      </c>
      <c r="R736" s="277">
        <f>IF(F79&gt;0,ROUND(F79,0),0)</f>
        <v>0</v>
      </c>
      <c r="S736" s="277">
        <f>IF(F80&gt;0,ROUND(F80,0),0)</f>
        <v>0</v>
      </c>
      <c r="T736" s="280">
        <f>IF(F81&gt;0,ROUND(F81,2),0)</f>
        <v>0</v>
      </c>
      <c r="U736" s="277"/>
      <c r="X736" s="277"/>
      <c r="Y736" s="277"/>
      <c r="Z736" s="277">
        <f t="shared" si="21"/>
        <v>1101874</v>
      </c>
    </row>
    <row r="737" spans="1:26" ht="12.65" customHeight="1" x14ac:dyDescent="0.35">
      <c r="A737" s="209" t="str">
        <f>RIGHT($C$84,3)&amp;"*"&amp;RIGHT($C$83,4)&amp;"*"&amp;G$55&amp;"*"&amp;"A"</f>
        <v># 3*137*6120*A</v>
      </c>
      <c r="B737" s="277">
        <f>ROUND(G59,0)</f>
        <v>0</v>
      </c>
      <c r="C737" s="280">
        <f>ROUND(G60,2)</f>
        <v>0</v>
      </c>
      <c r="D737" s="277">
        <f>ROUND(G61,0)</f>
        <v>0</v>
      </c>
      <c r="E737" s="277">
        <f>ROUND(G62,0)</f>
        <v>0</v>
      </c>
      <c r="F737" s="277">
        <f>ROUND(G63,0)</f>
        <v>0</v>
      </c>
      <c r="G737" s="277">
        <f>ROUND(G64,0)</f>
        <v>0</v>
      </c>
      <c r="H737" s="277">
        <f>ROUND(G65,0)</f>
        <v>0</v>
      </c>
      <c r="I737" s="277">
        <f>ROUND(G66,0)</f>
        <v>0</v>
      </c>
      <c r="J737" s="277">
        <f>ROUND(G67,0)</f>
        <v>0</v>
      </c>
      <c r="K737" s="277">
        <f>ROUND(G68,0)</f>
        <v>0</v>
      </c>
      <c r="L737" s="277">
        <f>ROUND(G70,0)</f>
        <v>0</v>
      </c>
      <c r="M737" s="277">
        <f>ROUND(G71,0)</f>
        <v>0</v>
      </c>
      <c r="N737" s="277">
        <f>ROUND(G76,0)</f>
        <v>0</v>
      </c>
      <c r="O737" s="277">
        <f>ROUND(G74,0)</f>
        <v>0</v>
      </c>
      <c r="P737" s="277">
        <f>IF(G77&gt;0,ROUND(G77,0),0)</f>
        <v>0</v>
      </c>
      <c r="Q737" s="277">
        <f>IF(G78&gt;0,ROUND(G78,0),0)</f>
        <v>0</v>
      </c>
      <c r="R737" s="277">
        <f>IF(G79&gt;0,ROUND(G79,0),0)</f>
        <v>0</v>
      </c>
      <c r="S737" s="277">
        <f>IF(G80&gt;0,ROUND(G80,0),0)</f>
        <v>0</v>
      </c>
      <c r="T737" s="280">
        <f>IF(G81&gt;0,ROUND(G81,2),0)</f>
        <v>0</v>
      </c>
      <c r="U737" s="277"/>
      <c r="X737" s="277"/>
      <c r="Y737" s="277"/>
      <c r="Z737" s="277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# 3*137*6140*A</v>
      </c>
      <c r="B738" s="277">
        <f>ROUND(H59,0)</f>
        <v>0</v>
      </c>
      <c r="C738" s="280">
        <f>ROUND(H60,2)</f>
        <v>0</v>
      </c>
      <c r="D738" s="277">
        <f>ROUND(H61,0)</f>
        <v>0</v>
      </c>
      <c r="E738" s="277">
        <f>ROUND(H62,0)</f>
        <v>0</v>
      </c>
      <c r="F738" s="277">
        <f>ROUND(H63,0)</f>
        <v>0</v>
      </c>
      <c r="G738" s="277">
        <f>ROUND(H64,0)</f>
        <v>0</v>
      </c>
      <c r="H738" s="277">
        <f>ROUND(H65,0)</f>
        <v>0</v>
      </c>
      <c r="I738" s="277">
        <f>ROUND(H66,0)</f>
        <v>0</v>
      </c>
      <c r="J738" s="277">
        <f>ROUND(H67,0)</f>
        <v>0</v>
      </c>
      <c r="K738" s="277">
        <f>ROUND(H68,0)</f>
        <v>0</v>
      </c>
      <c r="L738" s="277">
        <f>ROUND(H70,0)</f>
        <v>0</v>
      </c>
      <c r="M738" s="277">
        <f>ROUND(H71,0)</f>
        <v>0</v>
      </c>
      <c r="N738" s="277">
        <f>ROUND(H76,0)</f>
        <v>0</v>
      </c>
      <c r="O738" s="277">
        <f>ROUND(H74,0)</f>
        <v>0</v>
      </c>
      <c r="P738" s="277">
        <f>IF(H77&gt;0,ROUND(H77,0),0)</f>
        <v>0</v>
      </c>
      <c r="Q738" s="277">
        <f>IF(H78&gt;0,ROUND(H78,0),0)</f>
        <v>0</v>
      </c>
      <c r="R738" s="277">
        <f>IF(H79&gt;0,ROUND(H79,0),0)</f>
        <v>0</v>
      </c>
      <c r="S738" s="277">
        <f>IF(H80&gt;0,ROUND(H80,0),0)</f>
        <v>0</v>
      </c>
      <c r="T738" s="280">
        <f>IF(H81&gt;0,ROUND(H81,2),0)</f>
        <v>0</v>
      </c>
      <c r="U738" s="277"/>
      <c r="X738" s="277"/>
      <c r="Y738" s="277"/>
      <c r="Z738" s="277">
        <f t="shared" si="21"/>
        <v>0</v>
      </c>
    </row>
    <row r="739" spans="1:26" ht="12.65" customHeight="1" x14ac:dyDescent="0.35">
      <c r="A739" s="209" t="str">
        <f>RIGHT($C$84,3)&amp;"*"&amp;RIGHT($C$83,4)&amp;"*"&amp;I$55&amp;"*"&amp;"A"</f>
        <v># 3*137*6150*A</v>
      </c>
      <c r="B739" s="277">
        <f>ROUND(I59,0)</f>
        <v>0</v>
      </c>
      <c r="C739" s="280">
        <f>ROUND(I60,2)</f>
        <v>0</v>
      </c>
      <c r="D739" s="277">
        <f>ROUND(I61,0)</f>
        <v>0</v>
      </c>
      <c r="E739" s="277">
        <f>ROUND(I62,0)</f>
        <v>0</v>
      </c>
      <c r="F739" s="277">
        <f>ROUND(I63,0)</f>
        <v>0</v>
      </c>
      <c r="G739" s="277">
        <f>ROUND(I64,0)</f>
        <v>0</v>
      </c>
      <c r="H739" s="277">
        <f>ROUND(I65,0)</f>
        <v>0</v>
      </c>
      <c r="I739" s="277">
        <f>ROUND(I66,0)</f>
        <v>0</v>
      </c>
      <c r="J739" s="277">
        <f>ROUND(I67,0)</f>
        <v>0</v>
      </c>
      <c r="K739" s="277">
        <f>ROUND(I68,0)</f>
        <v>0</v>
      </c>
      <c r="L739" s="277">
        <f>ROUND(I70,0)</f>
        <v>0</v>
      </c>
      <c r="M739" s="277">
        <f>ROUND(I71,0)</f>
        <v>0</v>
      </c>
      <c r="N739" s="277">
        <f>ROUND(I76,0)</f>
        <v>0</v>
      </c>
      <c r="O739" s="277">
        <f>ROUND(I74,0)</f>
        <v>0</v>
      </c>
      <c r="P739" s="277">
        <f>IF(I77&gt;0,ROUND(I77,0),0)</f>
        <v>0</v>
      </c>
      <c r="Q739" s="277">
        <f>IF(I78&gt;0,ROUND(I78,0),0)</f>
        <v>0</v>
      </c>
      <c r="R739" s="277">
        <f>IF(I79&gt;0,ROUND(I79,0),0)</f>
        <v>0</v>
      </c>
      <c r="S739" s="277">
        <f>IF(I80&gt;0,ROUND(I80,0),0)</f>
        <v>0</v>
      </c>
      <c r="T739" s="280">
        <f>IF(I81&gt;0,ROUND(I81,2),0)</f>
        <v>0</v>
      </c>
      <c r="U739" s="277"/>
      <c r="X739" s="277"/>
      <c r="Y739" s="277"/>
      <c r="Z739" s="277">
        <f t="shared" si="21"/>
        <v>0</v>
      </c>
    </row>
    <row r="740" spans="1:26" ht="12.65" customHeight="1" x14ac:dyDescent="0.35">
      <c r="A740" s="209" t="str">
        <f>RIGHT($C$84,3)&amp;"*"&amp;RIGHT($C$83,4)&amp;"*"&amp;J$55&amp;"*"&amp;"A"</f>
        <v># 3*137*6170*A</v>
      </c>
      <c r="B740" s="277">
        <f>ROUND(J59,0)</f>
        <v>0</v>
      </c>
      <c r="C740" s="280">
        <f>ROUND(J60,2)</f>
        <v>0</v>
      </c>
      <c r="D740" s="277">
        <f>ROUND(J61,0)</f>
        <v>0</v>
      </c>
      <c r="E740" s="277">
        <f>ROUND(J62,0)</f>
        <v>0</v>
      </c>
      <c r="F740" s="277">
        <f>ROUND(J63,0)</f>
        <v>0</v>
      </c>
      <c r="G740" s="277">
        <f>ROUND(J64,0)</f>
        <v>0</v>
      </c>
      <c r="H740" s="277">
        <f>ROUND(J65,0)</f>
        <v>0</v>
      </c>
      <c r="I740" s="277">
        <f>ROUND(J66,0)</f>
        <v>0</v>
      </c>
      <c r="J740" s="277">
        <f>ROUND(J67,0)</f>
        <v>0</v>
      </c>
      <c r="K740" s="277">
        <f>ROUND(J68,0)</f>
        <v>0</v>
      </c>
      <c r="L740" s="277">
        <f>ROUND(J70,0)</f>
        <v>0</v>
      </c>
      <c r="M740" s="277">
        <f>ROUND(J71,0)</f>
        <v>0</v>
      </c>
      <c r="N740" s="277">
        <f>ROUND(J76,0)</f>
        <v>0</v>
      </c>
      <c r="O740" s="277">
        <f>ROUND(J74,0)</f>
        <v>0</v>
      </c>
      <c r="P740" s="277">
        <f>IF(J77&gt;0,ROUND(J77,0),0)</f>
        <v>0</v>
      </c>
      <c r="Q740" s="277">
        <f>IF(J78&gt;0,ROUND(J78,0),0)</f>
        <v>0</v>
      </c>
      <c r="R740" s="277">
        <f>IF(J79&gt;0,ROUND(J79,0),0)</f>
        <v>0</v>
      </c>
      <c r="S740" s="277">
        <f>IF(J80&gt;0,ROUND(J80,0),0)</f>
        <v>0</v>
      </c>
      <c r="T740" s="280">
        <f>IF(J81&gt;0,ROUND(J81,2),0)</f>
        <v>0</v>
      </c>
      <c r="U740" s="277"/>
      <c r="X740" s="277"/>
      <c r="Y740" s="277"/>
      <c r="Z740" s="277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# 3*137*6200*A</v>
      </c>
      <c r="B741" s="277">
        <f>ROUND(K59,0)</f>
        <v>0</v>
      </c>
      <c r="C741" s="280">
        <f>ROUND(K60,2)</f>
        <v>0</v>
      </c>
      <c r="D741" s="277">
        <f>ROUND(K61,0)</f>
        <v>0</v>
      </c>
      <c r="E741" s="277">
        <f>ROUND(K62,0)</f>
        <v>0</v>
      </c>
      <c r="F741" s="277">
        <f>ROUND(K63,0)</f>
        <v>0</v>
      </c>
      <c r="G741" s="277">
        <f>ROUND(K64,0)</f>
        <v>0</v>
      </c>
      <c r="H741" s="277">
        <f>ROUND(K65,0)</f>
        <v>0</v>
      </c>
      <c r="I741" s="277">
        <f>ROUND(K66,0)</f>
        <v>0</v>
      </c>
      <c r="J741" s="277">
        <f>ROUND(K67,0)</f>
        <v>0</v>
      </c>
      <c r="K741" s="277">
        <f>ROUND(K68,0)</f>
        <v>0</v>
      </c>
      <c r="L741" s="277">
        <f>ROUND(K70,0)</f>
        <v>0</v>
      </c>
      <c r="M741" s="277">
        <f>ROUND(K71,0)</f>
        <v>0</v>
      </c>
      <c r="N741" s="277">
        <f>ROUND(K76,0)</f>
        <v>0</v>
      </c>
      <c r="O741" s="277">
        <f>ROUND(K74,0)</f>
        <v>0</v>
      </c>
      <c r="P741" s="277">
        <f>IF(K77&gt;0,ROUND(K77,0),0)</f>
        <v>0</v>
      </c>
      <c r="Q741" s="277">
        <f>IF(K78&gt;0,ROUND(K78,0),0)</f>
        <v>0</v>
      </c>
      <c r="R741" s="277">
        <f>IF(K79&gt;0,ROUND(K79,0),0)</f>
        <v>0</v>
      </c>
      <c r="S741" s="277">
        <f>IF(K80&gt;0,ROUND(K80,0),0)</f>
        <v>0</v>
      </c>
      <c r="T741" s="280">
        <f>IF(K81&gt;0,ROUND(K81,2),0)</f>
        <v>0</v>
      </c>
      <c r="U741" s="277"/>
      <c r="X741" s="277"/>
      <c r="Y741" s="277"/>
      <c r="Z741" s="277">
        <f t="shared" si="21"/>
        <v>0</v>
      </c>
    </row>
    <row r="742" spans="1:26" ht="12.65" customHeight="1" x14ac:dyDescent="0.35">
      <c r="A742" s="209" t="str">
        <f>RIGHT($C$84,3)&amp;"*"&amp;RIGHT($C$83,4)&amp;"*"&amp;L$55&amp;"*"&amp;"A"</f>
        <v># 3*137*6210*A</v>
      </c>
      <c r="B742" s="277">
        <f>ROUND(L59,0)</f>
        <v>4542</v>
      </c>
      <c r="C742" s="280">
        <f>ROUND(L60,2)</f>
        <v>17.84</v>
      </c>
      <c r="D742" s="277">
        <f>ROUND(L61,0)</f>
        <v>1032042</v>
      </c>
      <c r="E742" s="277">
        <f>ROUND(L62,0)</f>
        <v>330916</v>
      </c>
      <c r="F742" s="277">
        <f>ROUND(L63,0)</f>
        <v>19507</v>
      </c>
      <c r="G742" s="277">
        <f>ROUND(L64,0)</f>
        <v>235283</v>
      </c>
      <c r="H742" s="277">
        <f>ROUND(L65,0)</f>
        <v>624</v>
      </c>
      <c r="I742" s="277">
        <f>ROUND(L66,0)</f>
        <v>2961</v>
      </c>
      <c r="J742" s="277">
        <f>ROUND(L67,0)</f>
        <v>49291</v>
      </c>
      <c r="K742" s="277">
        <f>ROUND(L68,0)</f>
        <v>11729</v>
      </c>
      <c r="L742" s="277">
        <f>ROUND(L70,0)</f>
        <v>0</v>
      </c>
      <c r="M742" s="277">
        <f>ROUND(L71,0)</f>
        <v>1831694</v>
      </c>
      <c r="N742" s="277">
        <f>ROUND(L76,0)</f>
        <v>6141</v>
      </c>
      <c r="O742" s="277">
        <f>ROUND(L74,0)</f>
        <v>0</v>
      </c>
      <c r="P742" s="277">
        <f>IF(L77&gt;0,ROUND(L77,0),0)</f>
        <v>12588</v>
      </c>
      <c r="Q742" s="277">
        <f>IF(L78&gt;0,ROUND(L78,0),0)</f>
        <v>571</v>
      </c>
      <c r="R742" s="277">
        <f>IF(L79&gt;0,ROUND(L79,0),0)</f>
        <v>7147</v>
      </c>
      <c r="S742" s="277">
        <f>IF(L80&gt;0,ROUND(L80,0),0)</f>
        <v>7</v>
      </c>
      <c r="T742" s="280">
        <f>IF(L81&gt;0,ROUND(L81,2),0)</f>
        <v>0</v>
      </c>
      <c r="U742" s="277"/>
      <c r="X742" s="277"/>
      <c r="Y742" s="277"/>
      <c r="Z742" s="277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# 3*137*6330*A</v>
      </c>
      <c r="B743" s="277">
        <f>ROUND(M59,0)</f>
        <v>0</v>
      </c>
      <c r="C743" s="280">
        <f>ROUND(M60,2)</f>
        <v>0</v>
      </c>
      <c r="D743" s="277">
        <f>ROUND(M61,0)</f>
        <v>0</v>
      </c>
      <c r="E743" s="277">
        <f>ROUND(M62,0)</f>
        <v>0</v>
      </c>
      <c r="F743" s="277">
        <f>ROUND(M63,0)</f>
        <v>0</v>
      </c>
      <c r="G743" s="277">
        <f>ROUND(M64,0)</f>
        <v>0</v>
      </c>
      <c r="H743" s="277">
        <f>ROUND(M65,0)</f>
        <v>0</v>
      </c>
      <c r="I743" s="277">
        <f>ROUND(M66,0)</f>
        <v>0</v>
      </c>
      <c r="J743" s="277">
        <f>ROUND(M67,0)</f>
        <v>0</v>
      </c>
      <c r="K743" s="277">
        <f>ROUND(M68,0)</f>
        <v>0</v>
      </c>
      <c r="L743" s="277">
        <f>ROUND(M70,0)</f>
        <v>0</v>
      </c>
      <c r="M743" s="277">
        <f>ROUND(M71,0)</f>
        <v>0</v>
      </c>
      <c r="N743" s="277">
        <f>ROUND(M76,0)</f>
        <v>0</v>
      </c>
      <c r="O743" s="277">
        <f>ROUND(M74,0)</f>
        <v>0</v>
      </c>
      <c r="P743" s="277">
        <f>IF(M77&gt;0,ROUND(M77,0),0)</f>
        <v>0</v>
      </c>
      <c r="Q743" s="277">
        <f>IF(M78&gt;0,ROUND(M78,0),0)</f>
        <v>0</v>
      </c>
      <c r="R743" s="277">
        <f>IF(M79&gt;0,ROUND(M79,0),0)</f>
        <v>0</v>
      </c>
      <c r="S743" s="277">
        <f>IF(M80&gt;0,ROUND(M80,0),0)</f>
        <v>0</v>
      </c>
      <c r="T743" s="280">
        <f>IF(M81&gt;0,ROUND(M81,2),0)</f>
        <v>0</v>
      </c>
      <c r="U743" s="277"/>
      <c r="X743" s="277"/>
      <c r="Y743" s="277"/>
      <c r="Z743" s="277">
        <f t="shared" si="21"/>
        <v>1295815</v>
      </c>
    </row>
    <row r="744" spans="1:26" ht="12.65" customHeight="1" x14ac:dyDescent="0.35">
      <c r="A744" s="209" t="str">
        <f>RIGHT($C$84,3)&amp;"*"&amp;RIGHT($C$83,4)&amp;"*"&amp;N$55&amp;"*"&amp;"A"</f>
        <v># 3*137*6400*A</v>
      </c>
      <c r="B744" s="277">
        <f>ROUND(N59,0)</f>
        <v>0</v>
      </c>
      <c r="C744" s="280">
        <f>ROUND(N60,2)</f>
        <v>0</v>
      </c>
      <c r="D744" s="277">
        <f>ROUND(N61,0)</f>
        <v>0</v>
      </c>
      <c r="E744" s="277">
        <f>ROUND(N62,0)</f>
        <v>0</v>
      </c>
      <c r="F744" s="277">
        <f>ROUND(N63,0)</f>
        <v>0</v>
      </c>
      <c r="G744" s="277">
        <f>ROUND(N64,0)</f>
        <v>0</v>
      </c>
      <c r="H744" s="277">
        <f>ROUND(N65,0)</f>
        <v>0</v>
      </c>
      <c r="I744" s="277">
        <f>ROUND(N66,0)</f>
        <v>0</v>
      </c>
      <c r="J744" s="277">
        <f>ROUND(N67,0)</f>
        <v>0</v>
      </c>
      <c r="K744" s="277">
        <f>ROUND(N68,0)</f>
        <v>0</v>
      </c>
      <c r="L744" s="277">
        <f>ROUND(N70,0)</f>
        <v>0</v>
      </c>
      <c r="M744" s="277">
        <f>ROUND(N71,0)</f>
        <v>0</v>
      </c>
      <c r="N744" s="277">
        <f>ROUND(N76,0)</f>
        <v>0</v>
      </c>
      <c r="O744" s="277">
        <f>ROUND(N74,0)</f>
        <v>0</v>
      </c>
      <c r="P744" s="277">
        <f>IF(N77&gt;0,ROUND(N77,0),0)</f>
        <v>0</v>
      </c>
      <c r="Q744" s="277">
        <f>IF(N78&gt;0,ROUND(N78,0),0)</f>
        <v>0</v>
      </c>
      <c r="R744" s="277">
        <f>IF(N79&gt;0,ROUND(N79,0),0)</f>
        <v>0</v>
      </c>
      <c r="S744" s="277">
        <f>IF(N80&gt;0,ROUND(N80,0),0)</f>
        <v>0</v>
      </c>
      <c r="T744" s="280">
        <f>IF(N81&gt;0,ROUND(N81,2),0)</f>
        <v>0</v>
      </c>
      <c r="U744" s="277"/>
      <c r="X744" s="277"/>
      <c r="Y744" s="277"/>
      <c r="Z744" s="277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# 3*137*7010*A</v>
      </c>
      <c r="B745" s="277">
        <f>ROUND(O59,0)</f>
        <v>0</v>
      </c>
      <c r="C745" s="280">
        <f>ROUND(O60,2)</f>
        <v>0</v>
      </c>
      <c r="D745" s="277">
        <f>ROUND(O61,0)</f>
        <v>0</v>
      </c>
      <c r="E745" s="277">
        <f>ROUND(O62,0)</f>
        <v>0</v>
      </c>
      <c r="F745" s="277">
        <f>ROUND(O63,0)</f>
        <v>0</v>
      </c>
      <c r="G745" s="277">
        <f>ROUND(O64,0)</f>
        <v>0</v>
      </c>
      <c r="H745" s="277">
        <f>ROUND(O65,0)</f>
        <v>0</v>
      </c>
      <c r="I745" s="277">
        <f>ROUND(O66,0)</f>
        <v>0</v>
      </c>
      <c r="J745" s="277">
        <f>ROUND(O67,0)</f>
        <v>0</v>
      </c>
      <c r="K745" s="277">
        <f>ROUND(O68,0)</f>
        <v>0</v>
      </c>
      <c r="L745" s="277">
        <f>ROUND(O70,0)</f>
        <v>0</v>
      </c>
      <c r="M745" s="277">
        <f>ROUND(O71,0)</f>
        <v>0</v>
      </c>
      <c r="N745" s="277">
        <f>ROUND(O76,0)</f>
        <v>0</v>
      </c>
      <c r="O745" s="277">
        <f>ROUND(O74,0)</f>
        <v>0</v>
      </c>
      <c r="P745" s="277">
        <f>IF(O77&gt;0,ROUND(O77,0),0)</f>
        <v>0</v>
      </c>
      <c r="Q745" s="277">
        <f>IF(O78&gt;0,ROUND(O78,0),0)</f>
        <v>0</v>
      </c>
      <c r="R745" s="277">
        <f>IF(O79&gt;0,ROUND(O79,0),0)</f>
        <v>0</v>
      </c>
      <c r="S745" s="277">
        <f>IF(O80&gt;0,ROUND(O80,0),0)</f>
        <v>0</v>
      </c>
      <c r="T745" s="280">
        <f>IF(O81&gt;0,ROUND(O81,2),0)</f>
        <v>0</v>
      </c>
      <c r="U745" s="277"/>
      <c r="X745" s="277"/>
      <c r="Y745" s="277"/>
      <c r="Z745" s="277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# 3*137*7020*A</v>
      </c>
      <c r="B746" s="277">
        <f>ROUND(P59,0)</f>
        <v>19488</v>
      </c>
      <c r="C746" s="280">
        <f>ROUND(P60,2)</f>
        <v>3.32</v>
      </c>
      <c r="D746" s="277">
        <f>ROUND(P61,0)</f>
        <v>219674</v>
      </c>
      <c r="E746" s="277">
        <f>ROUND(P62,0)</f>
        <v>63649</v>
      </c>
      <c r="F746" s="277">
        <f>ROUND(P63,0)</f>
        <v>230</v>
      </c>
      <c r="G746" s="277">
        <f>ROUND(P64,0)</f>
        <v>290306</v>
      </c>
      <c r="H746" s="277">
        <f>ROUND(P65,0)</f>
        <v>894</v>
      </c>
      <c r="I746" s="277">
        <f>ROUND(P66,0)</f>
        <v>37778</v>
      </c>
      <c r="J746" s="277">
        <f>ROUND(P67,0)</f>
        <v>61771</v>
      </c>
      <c r="K746" s="277">
        <f>ROUND(P68,0)</f>
        <v>3068</v>
      </c>
      <c r="L746" s="277">
        <f>ROUND(P70,0)</f>
        <v>0</v>
      </c>
      <c r="M746" s="277">
        <f>ROUND(P71,0)</f>
        <v>679541</v>
      </c>
      <c r="N746" s="277">
        <f>ROUND(P76,0)</f>
        <v>1403</v>
      </c>
      <c r="O746" s="277">
        <f>ROUND(P74,0)</f>
        <v>1208006</v>
      </c>
      <c r="P746" s="277">
        <f>IF(P77&gt;0,ROUND(P77,0),0)</f>
        <v>0</v>
      </c>
      <c r="Q746" s="277">
        <f>IF(P78&gt;0,ROUND(P78,0),0)</f>
        <v>175</v>
      </c>
      <c r="R746" s="277">
        <f>IF(P79&gt;0,ROUND(P79,0),0)</f>
        <v>1189</v>
      </c>
      <c r="S746" s="277">
        <f>IF(P80&gt;0,ROUND(P80,0),0)</f>
        <v>1</v>
      </c>
      <c r="T746" s="280">
        <f>IF(P81&gt;0,ROUND(P81,2),0)</f>
        <v>0</v>
      </c>
      <c r="U746" s="277"/>
      <c r="X746" s="277"/>
      <c r="Y746" s="277"/>
      <c r="Z746" s="277">
        <f t="shared" si="21"/>
        <v>0</v>
      </c>
    </row>
    <row r="747" spans="1:26" ht="12.65" customHeight="1" x14ac:dyDescent="0.35">
      <c r="A747" s="209" t="str">
        <f>RIGHT($C$84,3)&amp;"*"&amp;RIGHT($C$83,4)&amp;"*"&amp;Q$55&amp;"*"&amp;"A"</f>
        <v># 3*137*7030*A</v>
      </c>
      <c r="B747" s="277">
        <f>ROUND(Q59,0)</f>
        <v>25905</v>
      </c>
      <c r="C747" s="280">
        <f>ROUND(Q60,2)</f>
        <v>2.2999999999999998</v>
      </c>
      <c r="D747" s="277">
        <f>ROUND(Q61,0)</f>
        <v>204057</v>
      </c>
      <c r="E747" s="277">
        <f>ROUND(Q62,0)</f>
        <v>52009</v>
      </c>
      <c r="F747" s="277">
        <f>ROUND(Q63,0)</f>
        <v>0</v>
      </c>
      <c r="G747" s="277">
        <f>ROUND(Q64,0)</f>
        <v>13133</v>
      </c>
      <c r="H747" s="277">
        <f>ROUND(Q65,0)</f>
        <v>12</v>
      </c>
      <c r="I747" s="277">
        <f>ROUND(Q66,0)</f>
        <v>0</v>
      </c>
      <c r="J747" s="277">
        <f>ROUND(Q67,0)</f>
        <v>0</v>
      </c>
      <c r="K747" s="277">
        <f>ROUND(Q68,0)</f>
        <v>0</v>
      </c>
      <c r="L747" s="277">
        <f>ROUND(Q70,0)</f>
        <v>0</v>
      </c>
      <c r="M747" s="277">
        <f>ROUND(Q71,0)</f>
        <v>269211</v>
      </c>
      <c r="N747" s="277">
        <f>ROUND(Q76,0)</f>
        <v>0</v>
      </c>
      <c r="O747" s="277">
        <f>ROUND(Q74,0)</f>
        <v>303570</v>
      </c>
      <c r="P747" s="277">
        <f>IF(Q77&gt;0,ROUND(Q77,0),0)</f>
        <v>0</v>
      </c>
      <c r="Q747" s="277">
        <f>IF(Q78&gt;0,ROUND(Q78,0),0)</f>
        <v>0</v>
      </c>
      <c r="R747" s="277">
        <f>IF(Q79&gt;0,ROUND(Q79,0),0)</f>
        <v>0</v>
      </c>
      <c r="S747" s="277">
        <f>IF(Q80&gt;0,ROUND(Q80,0),0)</f>
        <v>2</v>
      </c>
      <c r="T747" s="280">
        <f>IF(Q81&gt;0,ROUND(Q81,2),0)</f>
        <v>0</v>
      </c>
      <c r="U747" s="277"/>
      <c r="X747" s="277"/>
      <c r="Y747" s="277"/>
      <c r="Z747" s="277">
        <f t="shared" si="21"/>
        <v>272670</v>
      </c>
    </row>
    <row r="748" spans="1:26" ht="12.65" customHeight="1" x14ac:dyDescent="0.35">
      <c r="A748" s="209" t="str">
        <f>RIGHT($C$84,3)&amp;"*"&amp;RIGHT($C$83,4)&amp;"*"&amp;R$55&amp;"*"&amp;"A"</f>
        <v># 3*137*7040*A</v>
      </c>
      <c r="B748" s="277">
        <f>ROUND(R59,0)</f>
        <v>38660</v>
      </c>
      <c r="C748" s="280">
        <f>ROUND(R60,2)</f>
        <v>4.5199999999999996</v>
      </c>
      <c r="D748" s="277">
        <f>ROUND(R61,0)</f>
        <v>675737</v>
      </c>
      <c r="E748" s="277">
        <f>ROUND(R62,0)</f>
        <v>128872</v>
      </c>
      <c r="F748" s="277">
        <f>ROUND(R63,0)</f>
        <v>1600</v>
      </c>
      <c r="G748" s="277">
        <f>ROUND(R64,0)</f>
        <v>102038</v>
      </c>
      <c r="H748" s="277">
        <f>ROUND(R65,0)</f>
        <v>1335</v>
      </c>
      <c r="I748" s="277">
        <f>ROUND(R66,0)</f>
        <v>39833</v>
      </c>
      <c r="J748" s="277">
        <f>ROUND(R67,0)</f>
        <v>11886</v>
      </c>
      <c r="K748" s="277">
        <f>ROUND(R68,0)</f>
        <v>12454</v>
      </c>
      <c r="L748" s="277">
        <f>ROUND(R70,0)</f>
        <v>0</v>
      </c>
      <c r="M748" s="277">
        <f>ROUND(R71,0)</f>
        <v>989014</v>
      </c>
      <c r="N748" s="277">
        <f>ROUND(R76,0)</f>
        <v>225</v>
      </c>
      <c r="O748" s="277">
        <f>ROUND(R74,0)</f>
        <v>1970431</v>
      </c>
      <c r="P748" s="277">
        <f>IF(R77&gt;0,ROUND(R77,0),0)</f>
        <v>0</v>
      </c>
      <c r="Q748" s="277">
        <f>IF(R78&gt;0,ROUND(R78,0),0)</f>
        <v>0</v>
      </c>
      <c r="R748" s="277">
        <f>IF(R79&gt;0,ROUND(R79,0),0)</f>
        <v>0</v>
      </c>
      <c r="S748" s="277">
        <f>IF(R80&gt;0,ROUND(R80,0),0)</f>
        <v>2</v>
      </c>
      <c r="T748" s="280">
        <f>IF(R81&gt;0,ROUND(R81,2),0)</f>
        <v>0</v>
      </c>
      <c r="U748" s="277"/>
      <c r="X748" s="277"/>
      <c r="Y748" s="277"/>
      <c r="Z748" s="277">
        <f t="shared" si="21"/>
        <v>58928</v>
      </c>
    </row>
    <row r="749" spans="1:26" ht="12.65" customHeight="1" x14ac:dyDescent="0.35">
      <c r="A749" s="209" t="str">
        <f>RIGHT($C$84,3)&amp;"*"&amp;RIGHT($C$83,4)&amp;"*"&amp;S$55&amp;"*"&amp;"A"</f>
        <v># 3*137*7050*A</v>
      </c>
      <c r="B749" s="277"/>
      <c r="C749" s="280">
        <f>ROUND(S60,2)</f>
        <v>1.91</v>
      </c>
      <c r="D749" s="277">
        <f>ROUND(S61,0)</f>
        <v>88145</v>
      </c>
      <c r="E749" s="277">
        <f>ROUND(S62,0)</f>
        <v>29549</v>
      </c>
      <c r="F749" s="277">
        <f>ROUND(S63,0)</f>
        <v>0</v>
      </c>
      <c r="G749" s="277">
        <f>ROUND(S64,0)</f>
        <v>27526</v>
      </c>
      <c r="H749" s="277">
        <f>ROUND(S65,0)</f>
        <v>1</v>
      </c>
      <c r="I749" s="277">
        <f>ROUND(S66,0)</f>
        <v>0</v>
      </c>
      <c r="J749" s="277">
        <f>ROUND(S67,0)</f>
        <v>2452</v>
      </c>
      <c r="K749" s="277">
        <f>ROUND(S68,0)</f>
        <v>0</v>
      </c>
      <c r="L749" s="277">
        <f>ROUND(S70,0)</f>
        <v>0</v>
      </c>
      <c r="M749" s="277">
        <f>ROUND(S71,0)</f>
        <v>147659</v>
      </c>
      <c r="N749" s="277">
        <f>ROUND(S76,0)</f>
        <v>670</v>
      </c>
      <c r="O749" s="277">
        <f>ROUND(S74,0)</f>
        <v>509459</v>
      </c>
      <c r="P749" s="277">
        <f>IF(S77&gt;0,ROUND(S77,0),0)</f>
        <v>0</v>
      </c>
      <c r="Q749" s="277">
        <f>IF(S78&gt;0,ROUND(S78,0),0)</f>
        <v>0</v>
      </c>
      <c r="R749" s="277">
        <f>IF(S79&gt;0,ROUND(S79,0),0)</f>
        <v>0</v>
      </c>
      <c r="S749" s="277">
        <f>IF(S80&gt;0,ROUND(S80,0),0)</f>
        <v>0</v>
      </c>
      <c r="T749" s="280">
        <f>IF(S81&gt;0,ROUND(S81,2),0)</f>
        <v>0</v>
      </c>
      <c r="U749" s="277"/>
      <c r="X749" s="277"/>
      <c r="Y749" s="277"/>
      <c r="Z749" s="277">
        <f t="shared" si="21"/>
        <v>280108</v>
      </c>
    </row>
    <row r="750" spans="1:26" ht="12.65" customHeight="1" x14ac:dyDescent="0.35">
      <c r="A750" s="209" t="str">
        <f>RIGHT($C$84,3)&amp;"*"&amp;RIGHT($C$83,4)&amp;"*"&amp;T$55&amp;"*"&amp;"A"</f>
        <v># 3*137*7060*A</v>
      </c>
      <c r="B750" s="277"/>
      <c r="C750" s="280">
        <f>ROUND(T60,2)</f>
        <v>0</v>
      </c>
      <c r="D750" s="277">
        <f>ROUND(T61,0)</f>
        <v>0</v>
      </c>
      <c r="E750" s="277">
        <f>ROUND(T62,0)</f>
        <v>0</v>
      </c>
      <c r="F750" s="277">
        <f>ROUND(T63,0)</f>
        <v>0</v>
      </c>
      <c r="G750" s="277">
        <f>ROUND(T64,0)</f>
        <v>0</v>
      </c>
      <c r="H750" s="277">
        <f>ROUND(T65,0)</f>
        <v>0</v>
      </c>
      <c r="I750" s="277">
        <f>ROUND(T66,0)</f>
        <v>0</v>
      </c>
      <c r="J750" s="277">
        <f>ROUND(T67,0)</f>
        <v>0</v>
      </c>
      <c r="K750" s="277">
        <f>ROUND(T68,0)</f>
        <v>0</v>
      </c>
      <c r="L750" s="277">
        <f>ROUND(T70,0)</f>
        <v>0</v>
      </c>
      <c r="M750" s="277">
        <f>ROUND(T71,0)</f>
        <v>0</v>
      </c>
      <c r="N750" s="277">
        <f>ROUND(T76,0)</f>
        <v>0</v>
      </c>
      <c r="O750" s="277">
        <f>ROUND(T74,0)</f>
        <v>108332</v>
      </c>
      <c r="P750" s="277">
        <f>IF(T77&gt;0,ROUND(T77,0),0)</f>
        <v>0</v>
      </c>
      <c r="Q750" s="277">
        <f>IF(T78&gt;0,ROUND(T78,0),0)</f>
        <v>0</v>
      </c>
      <c r="R750" s="277">
        <f>IF(T79&gt;0,ROUND(T79,0),0)</f>
        <v>0</v>
      </c>
      <c r="S750" s="277">
        <f>IF(T80&gt;0,ROUND(T80,0),0)</f>
        <v>0</v>
      </c>
      <c r="T750" s="280">
        <f>IF(T81&gt;0,ROUND(T81,2),0)</f>
        <v>0</v>
      </c>
      <c r="U750" s="277"/>
      <c r="X750" s="277"/>
      <c r="Y750" s="277"/>
      <c r="Z750" s="277">
        <f t="shared" si="21"/>
        <v>90225</v>
      </c>
    </row>
    <row r="751" spans="1:26" ht="12.65" customHeight="1" x14ac:dyDescent="0.35">
      <c r="A751" s="209" t="str">
        <f>RIGHT($C$84,3)&amp;"*"&amp;RIGHT($C$83,4)&amp;"*"&amp;U$55&amp;"*"&amp;"A"</f>
        <v># 3*137*7070*A</v>
      </c>
      <c r="B751" s="277">
        <f>ROUND(U59,0)</f>
        <v>53660</v>
      </c>
      <c r="C751" s="280">
        <f>ROUND(U60,2)</f>
        <v>7.04</v>
      </c>
      <c r="D751" s="277">
        <f>ROUND(U61,0)</f>
        <v>448317</v>
      </c>
      <c r="E751" s="277">
        <f>ROUND(U62,0)</f>
        <v>119028</v>
      </c>
      <c r="F751" s="277">
        <f>ROUND(U63,0)</f>
        <v>95457</v>
      </c>
      <c r="G751" s="277">
        <f>ROUND(U64,0)</f>
        <v>343828</v>
      </c>
      <c r="H751" s="277">
        <f>ROUND(U65,0)</f>
        <v>730</v>
      </c>
      <c r="I751" s="277">
        <f>ROUND(U66,0)</f>
        <v>27153</v>
      </c>
      <c r="J751" s="277">
        <f>ROUND(U67,0)</f>
        <v>12959</v>
      </c>
      <c r="K751" s="277">
        <f>ROUND(U68,0)</f>
        <v>3840</v>
      </c>
      <c r="L751" s="277">
        <f>ROUND(U70,0)</f>
        <v>0</v>
      </c>
      <c r="M751" s="277">
        <f>ROUND(U71,0)</f>
        <v>1062013</v>
      </c>
      <c r="N751" s="277">
        <f>ROUND(U76,0)</f>
        <v>527</v>
      </c>
      <c r="O751" s="277">
        <f>ROUND(U74,0)</f>
        <v>3687369</v>
      </c>
      <c r="P751" s="277">
        <f>IF(U77&gt;0,ROUND(U77,0),0)</f>
        <v>0</v>
      </c>
      <c r="Q751" s="277">
        <f>IF(U78&gt;0,ROUND(U78,0),0)</f>
        <v>76</v>
      </c>
      <c r="R751" s="277">
        <f>IF(U79&gt;0,ROUND(U79,0),0)</f>
        <v>20</v>
      </c>
      <c r="S751" s="277">
        <f>IF(U80&gt;0,ROUND(U80,0),0)</f>
        <v>0</v>
      </c>
      <c r="T751" s="280">
        <f>IF(U81&gt;0,ROUND(U81,2),0)</f>
        <v>0</v>
      </c>
      <c r="U751" s="277"/>
      <c r="X751" s="277"/>
      <c r="Y751" s="277"/>
      <c r="Z751" s="277">
        <f t="shared" si="21"/>
        <v>19041</v>
      </c>
    </row>
    <row r="752" spans="1:26" ht="12.65" customHeight="1" x14ac:dyDescent="0.35">
      <c r="A752" s="209" t="str">
        <f>RIGHT($C$84,3)&amp;"*"&amp;RIGHT($C$83,4)&amp;"*"&amp;V$55&amp;"*"&amp;"A"</f>
        <v># 3*137*7110*A</v>
      </c>
      <c r="B752" s="277">
        <f>ROUND(V59,0)</f>
        <v>313</v>
      </c>
      <c r="C752" s="280">
        <f>ROUND(V60,2)</f>
        <v>0</v>
      </c>
      <c r="D752" s="277">
        <f>ROUND(V61,0)</f>
        <v>0</v>
      </c>
      <c r="E752" s="277">
        <f>ROUND(V62,0)</f>
        <v>0</v>
      </c>
      <c r="F752" s="277">
        <f>ROUND(V63,0)</f>
        <v>0</v>
      </c>
      <c r="G752" s="277">
        <f>ROUND(V64,0)</f>
        <v>6</v>
      </c>
      <c r="H752" s="277">
        <f>ROUND(V65,0)</f>
        <v>0</v>
      </c>
      <c r="I752" s="277">
        <f>ROUND(V66,0)</f>
        <v>121</v>
      </c>
      <c r="J752" s="277">
        <f>ROUND(V67,0)</f>
        <v>0</v>
      </c>
      <c r="K752" s="277">
        <f>ROUND(V68,0)</f>
        <v>0</v>
      </c>
      <c r="L752" s="277">
        <f>ROUND(V70,0)</f>
        <v>0</v>
      </c>
      <c r="M752" s="277">
        <f>ROUND(V71,0)</f>
        <v>127</v>
      </c>
      <c r="N752" s="277">
        <f>ROUND(V76,0)</f>
        <v>0</v>
      </c>
      <c r="O752" s="277">
        <f>ROUND(V74,0)</f>
        <v>74527</v>
      </c>
      <c r="P752" s="277">
        <f>IF(V77&gt;0,ROUND(V77,0),0)</f>
        <v>0</v>
      </c>
      <c r="Q752" s="277">
        <f>IF(V78&gt;0,ROUND(V78,0),0)</f>
        <v>0</v>
      </c>
      <c r="R752" s="277">
        <f>IF(V79&gt;0,ROUND(V79,0),0)</f>
        <v>0</v>
      </c>
      <c r="S752" s="277">
        <f>IF(V80&gt;0,ROUND(V80,0),0)</f>
        <v>0</v>
      </c>
      <c r="T752" s="280">
        <f>IF(V81&gt;0,ROUND(V81,2),0)</f>
        <v>0</v>
      </c>
      <c r="U752" s="277"/>
      <c r="X752" s="277"/>
      <c r="Y752" s="277"/>
      <c r="Z752" s="277">
        <f t="shared" si="21"/>
        <v>476756</v>
      </c>
    </row>
    <row r="753" spans="1:26" ht="12.65" customHeight="1" x14ac:dyDescent="0.35">
      <c r="A753" s="209" t="str">
        <f>RIGHT($C$84,3)&amp;"*"&amp;RIGHT($C$83,4)&amp;"*"&amp;W$55&amp;"*"&amp;"A"</f>
        <v># 3*137*7120*A</v>
      </c>
      <c r="B753" s="277">
        <f>ROUND(W59,0)</f>
        <v>399</v>
      </c>
      <c r="C753" s="280">
        <f>ROUND(W60,2)</f>
        <v>0</v>
      </c>
      <c r="D753" s="277">
        <f>ROUND(W61,0)</f>
        <v>0</v>
      </c>
      <c r="E753" s="277">
        <f>ROUND(W62,0)</f>
        <v>0</v>
      </c>
      <c r="F753" s="277">
        <f>ROUND(W63,0)</f>
        <v>153290</v>
      </c>
      <c r="G753" s="277">
        <f>ROUND(W64,0)</f>
        <v>110</v>
      </c>
      <c r="H753" s="277">
        <f>ROUND(W65,0)</f>
        <v>0</v>
      </c>
      <c r="I753" s="277">
        <f>ROUND(W66,0)</f>
        <v>0</v>
      </c>
      <c r="J753" s="277">
        <f>ROUND(W67,0)</f>
        <v>0</v>
      </c>
      <c r="K753" s="277">
        <f>ROUND(W68,0)</f>
        <v>0</v>
      </c>
      <c r="L753" s="277">
        <f>ROUND(W70,0)</f>
        <v>0</v>
      </c>
      <c r="M753" s="277">
        <f>ROUND(W71,0)</f>
        <v>153400</v>
      </c>
      <c r="N753" s="277">
        <f>ROUND(W76,0)</f>
        <v>0</v>
      </c>
      <c r="O753" s="277">
        <f>ROUND(W74,0)</f>
        <v>885853</v>
      </c>
      <c r="P753" s="277">
        <f>IF(W77&gt;0,ROUND(W77,0),0)</f>
        <v>0</v>
      </c>
      <c r="Q753" s="277">
        <f>IF(W78&gt;0,ROUND(W78,0),0)</f>
        <v>0</v>
      </c>
      <c r="R753" s="277">
        <f>IF(W79&gt;0,ROUND(W79,0),0)</f>
        <v>0</v>
      </c>
      <c r="S753" s="277">
        <f>IF(W80&gt;0,ROUND(W80,0),0)</f>
        <v>0</v>
      </c>
      <c r="T753" s="280">
        <f>IF(W81&gt;0,ROUND(W81,2),0)</f>
        <v>0</v>
      </c>
      <c r="U753" s="277"/>
      <c r="X753" s="277"/>
      <c r="Y753" s="277"/>
      <c r="Z753" s="277">
        <f t="shared" si="21"/>
        <v>6080</v>
      </c>
    </row>
    <row r="754" spans="1:26" ht="12.65" customHeight="1" x14ac:dyDescent="0.35">
      <c r="A754" s="209" t="str">
        <f>RIGHT($C$84,3)&amp;"*"&amp;RIGHT($C$83,4)&amp;"*"&amp;X$55&amp;"*"&amp;"A"</f>
        <v># 3*137*7130*A</v>
      </c>
      <c r="B754" s="277">
        <f>ROUND(X59,0)</f>
        <v>1493</v>
      </c>
      <c r="C754" s="280">
        <f>ROUND(X60,2)</f>
        <v>0</v>
      </c>
      <c r="D754" s="277">
        <f>ROUND(X61,0)</f>
        <v>0</v>
      </c>
      <c r="E754" s="277">
        <f>ROUND(X62,0)</f>
        <v>0</v>
      </c>
      <c r="F754" s="277">
        <f>ROUND(X63,0)</f>
        <v>18002</v>
      </c>
      <c r="G754" s="277">
        <f>ROUND(X64,0)</f>
        <v>64412</v>
      </c>
      <c r="H754" s="277">
        <f>ROUND(X65,0)</f>
        <v>0</v>
      </c>
      <c r="I754" s="277">
        <f>ROUND(X66,0)</f>
        <v>94119</v>
      </c>
      <c r="J754" s="277">
        <f>ROUND(X67,0)</f>
        <v>95710</v>
      </c>
      <c r="K754" s="277">
        <f>ROUND(X68,0)</f>
        <v>0</v>
      </c>
      <c r="L754" s="277">
        <f>ROUND(X70,0)</f>
        <v>0</v>
      </c>
      <c r="M754" s="277">
        <f>ROUND(X71,0)</f>
        <v>272243</v>
      </c>
      <c r="N754" s="277">
        <f>ROUND(X76,0)</f>
        <v>0</v>
      </c>
      <c r="O754" s="277">
        <f>ROUND(X74,0)</f>
        <v>2108333</v>
      </c>
      <c r="P754" s="277">
        <f>IF(X77&gt;0,ROUND(X77,0),0)</f>
        <v>0</v>
      </c>
      <c r="Q754" s="277">
        <f>IF(X78&gt;0,ROUND(X78,0),0)</f>
        <v>0</v>
      </c>
      <c r="R754" s="277">
        <f>IF(X79&gt;0,ROUND(X79,0),0)</f>
        <v>0</v>
      </c>
      <c r="S754" s="277">
        <f>IF(X80&gt;0,ROUND(X80,0),0)</f>
        <v>0</v>
      </c>
      <c r="T754" s="280">
        <f>IF(X81&gt;0,ROUND(X81,2),0)</f>
        <v>0</v>
      </c>
      <c r="U754" s="277"/>
      <c r="X754" s="277"/>
      <c r="Y754" s="277"/>
      <c r="Z754" s="277">
        <f t="shared" si="21"/>
        <v>83393</v>
      </c>
    </row>
    <row r="755" spans="1:26" ht="12.65" customHeight="1" x14ac:dyDescent="0.35">
      <c r="A755" s="209" t="str">
        <f>RIGHT($C$84,3)&amp;"*"&amp;RIGHT($C$83,4)&amp;"*"&amp;Y$55&amp;"*"&amp;"A"</f>
        <v># 3*137*7140*A</v>
      </c>
      <c r="B755" s="277">
        <f>ROUND(Y59,0)</f>
        <v>7136</v>
      </c>
      <c r="C755" s="280">
        <f>ROUND(Y60,2)</f>
        <v>6.57</v>
      </c>
      <c r="D755" s="277">
        <f>ROUND(Y61,0)</f>
        <v>484753</v>
      </c>
      <c r="E755" s="277">
        <f>ROUND(Y62,0)</f>
        <v>129881</v>
      </c>
      <c r="F755" s="277">
        <f>ROUND(Y63,0)</f>
        <v>71716</v>
      </c>
      <c r="G755" s="277">
        <f>ROUND(Y64,0)</f>
        <v>20521</v>
      </c>
      <c r="H755" s="277">
        <f>ROUND(Y65,0)</f>
        <v>616</v>
      </c>
      <c r="I755" s="277">
        <f>ROUND(Y66,0)</f>
        <v>68146</v>
      </c>
      <c r="J755" s="277">
        <f>ROUND(Y67,0)</f>
        <v>20551</v>
      </c>
      <c r="K755" s="277">
        <f>ROUND(Y68,0)</f>
        <v>0</v>
      </c>
      <c r="L755" s="277">
        <f>ROUND(Y70,0)</f>
        <v>0</v>
      </c>
      <c r="M755" s="277">
        <f>ROUND(Y71,0)</f>
        <v>802959</v>
      </c>
      <c r="N755" s="277">
        <f>ROUND(Y76,0)</f>
        <v>1569</v>
      </c>
      <c r="O755" s="277">
        <f>ROUND(Y74,0)</f>
        <v>1940825</v>
      </c>
      <c r="P755" s="277">
        <f>IF(Y77&gt;0,ROUND(Y77,0),0)</f>
        <v>0</v>
      </c>
      <c r="Q755" s="277">
        <f>IF(Y78&gt;0,ROUND(Y78,0),0)</f>
        <v>53</v>
      </c>
      <c r="R755" s="277">
        <f>IF(Y79&gt;0,ROUND(Y79,0),0)</f>
        <v>1139</v>
      </c>
      <c r="S755" s="277">
        <f>IF(Y80&gt;0,ROUND(Y80,0),0)</f>
        <v>0</v>
      </c>
      <c r="T755" s="280">
        <f>IF(Y81&gt;0,ROUND(Y81,2),0)</f>
        <v>0</v>
      </c>
      <c r="U755" s="277"/>
      <c r="X755" s="277"/>
      <c r="Y755" s="277"/>
      <c r="Z755" s="277">
        <f t="shared" si="21"/>
        <v>195821</v>
      </c>
    </row>
    <row r="756" spans="1:26" ht="12.65" customHeight="1" x14ac:dyDescent="0.35">
      <c r="A756" s="209" t="str">
        <f>RIGHT($C$84,3)&amp;"*"&amp;RIGHT($C$83,4)&amp;"*"&amp;Z$55&amp;"*"&amp;"A"</f>
        <v># 3*137*7150*A</v>
      </c>
      <c r="B756" s="277">
        <f>ROUND(Z59,0)</f>
        <v>0</v>
      </c>
      <c r="C756" s="280">
        <f>ROUND(Z60,2)</f>
        <v>0</v>
      </c>
      <c r="D756" s="277">
        <f>ROUND(Z61,0)</f>
        <v>0</v>
      </c>
      <c r="E756" s="277">
        <f>ROUND(Z62,0)</f>
        <v>0</v>
      </c>
      <c r="F756" s="277">
        <f>ROUND(Z63,0)</f>
        <v>0</v>
      </c>
      <c r="G756" s="277">
        <f>ROUND(Z64,0)</f>
        <v>0</v>
      </c>
      <c r="H756" s="277">
        <f>ROUND(Z65,0)</f>
        <v>0</v>
      </c>
      <c r="I756" s="277">
        <f>ROUND(Z66,0)</f>
        <v>0</v>
      </c>
      <c r="J756" s="277">
        <f>ROUND(Z67,0)</f>
        <v>0</v>
      </c>
      <c r="K756" s="277">
        <f>ROUND(Z68,0)</f>
        <v>0</v>
      </c>
      <c r="L756" s="277">
        <f>ROUND(Z70,0)</f>
        <v>0</v>
      </c>
      <c r="M756" s="277">
        <f>ROUND(Z71,0)</f>
        <v>0</v>
      </c>
      <c r="N756" s="277">
        <f>ROUND(Z76,0)</f>
        <v>0</v>
      </c>
      <c r="O756" s="277">
        <f>ROUND(Z74,0)</f>
        <v>0</v>
      </c>
      <c r="P756" s="277">
        <f>IF(Z77&gt;0,ROUND(Z77,0),0)</f>
        <v>0</v>
      </c>
      <c r="Q756" s="277">
        <f>IF(Z78&gt;0,ROUND(Z78,0),0)</f>
        <v>0</v>
      </c>
      <c r="R756" s="277">
        <f>IF(Z79&gt;0,ROUND(Z79,0),0)</f>
        <v>0</v>
      </c>
      <c r="S756" s="277">
        <f>IF(Z80&gt;0,ROUND(Z80,0),0)</f>
        <v>0</v>
      </c>
      <c r="T756" s="280">
        <f>IF(Z81&gt;0,ROUND(Z81,2),0)</f>
        <v>0</v>
      </c>
      <c r="U756" s="277"/>
      <c r="X756" s="277"/>
      <c r="Y756" s="277"/>
      <c r="Z756" s="277">
        <f t="shared" si="21"/>
        <v>319430</v>
      </c>
    </row>
    <row r="757" spans="1:26" ht="12.65" customHeight="1" x14ac:dyDescent="0.35">
      <c r="A757" s="209" t="str">
        <f>RIGHT($C$84,3)&amp;"*"&amp;RIGHT($C$83,4)&amp;"*"&amp;AA$55&amp;"*"&amp;"A"</f>
        <v># 3*137*7160*A</v>
      </c>
      <c r="B757" s="277">
        <f>ROUND(AA59,0)</f>
        <v>0</v>
      </c>
      <c r="C757" s="280">
        <f>ROUND(AA60,2)</f>
        <v>0</v>
      </c>
      <c r="D757" s="277">
        <f>ROUND(AA61,0)</f>
        <v>0</v>
      </c>
      <c r="E757" s="277">
        <f>ROUND(AA62,0)</f>
        <v>0</v>
      </c>
      <c r="F757" s="277">
        <f>ROUND(AA63,0)</f>
        <v>0</v>
      </c>
      <c r="G757" s="277">
        <f>ROUND(AA64,0)</f>
        <v>0</v>
      </c>
      <c r="H757" s="277">
        <f>ROUND(AA65,0)</f>
        <v>0</v>
      </c>
      <c r="I757" s="277">
        <f>ROUND(AA66,0)</f>
        <v>0</v>
      </c>
      <c r="J757" s="277">
        <f>ROUND(AA67,0)</f>
        <v>0</v>
      </c>
      <c r="K757" s="277">
        <f>ROUND(AA68,0)</f>
        <v>0</v>
      </c>
      <c r="L757" s="277">
        <f>ROUND(AA70,0)</f>
        <v>0</v>
      </c>
      <c r="M757" s="277">
        <f>ROUND(AA71,0)</f>
        <v>0</v>
      </c>
      <c r="N757" s="277">
        <f>ROUND(AA76,0)</f>
        <v>0</v>
      </c>
      <c r="O757" s="277">
        <f>ROUND(AA74,0)</f>
        <v>0</v>
      </c>
      <c r="P757" s="277">
        <f>IF(AA77&gt;0,ROUND(AA77,0),0)</f>
        <v>0</v>
      </c>
      <c r="Q757" s="277">
        <f>IF(AA78&gt;0,ROUND(AA78,0),0)</f>
        <v>0</v>
      </c>
      <c r="R757" s="277">
        <f>IF(AA79&gt;0,ROUND(AA79,0),0)</f>
        <v>0</v>
      </c>
      <c r="S757" s="277">
        <f>IF(AA80&gt;0,ROUND(AA80,0),0)</f>
        <v>0</v>
      </c>
      <c r="T757" s="280">
        <f>IF(AA81&gt;0,ROUND(AA81,2),0)</f>
        <v>0</v>
      </c>
      <c r="U757" s="277"/>
      <c r="X757" s="277"/>
      <c r="Y757" s="277"/>
      <c r="Z757" s="277">
        <f t="shared" si="21"/>
        <v>0</v>
      </c>
    </row>
    <row r="758" spans="1:26" ht="12.65" customHeight="1" x14ac:dyDescent="0.35">
      <c r="A758" s="209" t="str">
        <f>RIGHT($C$84,3)&amp;"*"&amp;RIGHT($C$83,4)&amp;"*"&amp;AB$55&amp;"*"&amp;"A"</f>
        <v># 3*137*7170*A</v>
      </c>
      <c r="B758" s="277"/>
      <c r="C758" s="280">
        <f>ROUND(AB60,2)</f>
        <v>2.0099999999999998</v>
      </c>
      <c r="D758" s="277">
        <f>ROUND(AB61,0)</f>
        <v>207556</v>
      </c>
      <c r="E758" s="277">
        <f>ROUND(AB62,0)</f>
        <v>49740</v>
      </c>
      <c r="F758" s="277">
        <f>ROUND(AB63,0)</f>
        <v>89579</v>
      </c>
      <c r="G758" s="277">
        <f>ROUND(AB64,0)</f>
        <v>511197</v>
      </c>
      <c r="H758" s="277">
        <f>ROUND(AB65,0)</f>
        <v>156</v>
      </c>
      <c r="I758" s="277">
        <f>ROUND(AB66,0)</f>
        <v>10527</v>
      </c>
      <c r="J758" s="277">
        <f>ROUND(AB67,0)</f>
        <v>1391</v>
      </c>
      <c r="K758" s="277">
        <f>ROUND(AB68,0)</f>
        <v>3175</v>
      </c>
      <c r="L758" s="277">
        <f>ROUND(AB70,0)</f>
        <v>519782</v>
      </c>
      <c r="M758" s="277">
        <f>ROUND(AB71,0)</f>
        <v>415667</v>
      </c>
      <c r="N758" s="277">
        <f>ROUND(AB76,0)</f>
        <v>380</v>
      </c>
      <c r="O758" s="277">
        <f>ROUND(AB74,0)</f>
        <v>1066544</v>
      </c>
      <c r="P758" s="277">
        <f>IF(AB77&gt;0,ROUND(AB77,0),0)</f>
        <v>0</v>
      </c>
      <c r="Q758" s="277">
        <f>IF(AB78&gt;0,ROUND(AB78,0),0)</f>
        <v>29</v>
      </c>
      <c r="R758" s="277">
        <f>IF(AB79&gt;0,ROUND(AB79,0),0)</f>
        <v>0</v>
      </c>
      <c r="S758" s="277">
        <f>IF(AB80&gt;0,ROUND(AB80,0),0)</f>
        <v>0</v>
      </c>
      <c r="T758" s="280">
        <f>IF(AB81&gt;0,ROUND(AB81,2),0)</f>
        <v>0</v>
      </c>
      <c r="U758" s="277"/>
      <c r="X758" s="277"/>
      <c r="Y758" s="277"/>
      <c r="Z758" s="277">
        <f t="shared" si="21"/>
        <v>0</v>
      </c>
    </row>
    <row r="759" spans="1:26" ht="12.65" customHeight="1" x14ac:dyDescent="0.35">
      <c r="A759" s="209" t="str">
        <f>RIGHT($C$84,3)&amp;"*"&amp;RIGHT($C$83,4)&amp;"*"&amp;AC$55&amp;"*"&amp;"A"</f>
        <v># 3*137*7180*A</v>
      </c>
      <c r="B759" s="277">
        <f>ROUND(AC59,0)</f>
        <v>5743</v>
      </c>
      <c r="C759" s="280">
        <f>ROUND(AC60,2)</f>
        <v>1.89</v>
      </c>
      <c r="D759" s="277">
        <f>ROUND(AC61,0)</f>
        <v>137925</v>
      </c>
      <c r="E759" s="277">
        <f>ROUND(AC62,0)</f>
        <v>31383</v>
      </c>
      <c r="F759" s="277">
        <f>ROUND(AC63,0)</f>
        <v>0</v>
      </c>
      <c r="G759" s="277">
        <f>ROUND(AC64,0)</f>
        <v>27796</v>
      </c>
      <c r="H759" s="277">
        <f>ROUND(AC65,0)</f>
        <v>16</v>
      </c>
      <c r="I759" s="277">
        <f>ROUND(AC66,0)</f>
        <v>1601</v>
      </c>
      <c r="J759" s="277">
        <f>ROUND(AC67,0)</f>
        <v>5672</v>
      </c>
      <c r="K759" s="277">
        <f>ROUND(AC68,0)</f>
        <v>3897</v>
      </c>
      <c r="L759" s="277">
        <f>ROUND(AC70,0)</f>
        <v>0</v>
      </c>
      <c r="M759" s="277">
        <f>ROUND(AC71,0)</f>
        <v>208665</v>
      </c>
      <c r="N759" s="277">
        <f>ROUND(AC76,0)</f>
        <v>40</v>
      </c>
      <c r="O759" s="277">
        <f>ROUND(AC74,0)</f>
        <v>143860</v>
      </c>
      <c r="P759" s="277">
        <f>IF(AC77&gt;0,ROUND(AC77,0),0)</f>
        <v>0</v>
      </c>
      <c r="Q759" s="277">
        <f>IF(AC78&gt;0,ROUND(AC78,0),0)</f>
        <v>5</v>
      </c>
      <c r="R759" s="277">
        <f>IF(AC79&gt;0,ROUND(AC79,0),0)</f>
        <v>0</v>
      </c>
      <c r="S759" s="277">
        <f>IF(AC80&gt;0,ROUND(AC80,0),0)</f>
        <v>0</v>
      </c>
      <c r="T759" s="280">
        <f>IF(AC81&gt;0,ROUND(AC81,2),0)</f>
        <v>0</v>
      </c>
      <c r="U759" s="277"/>
      <c r="X759" s="277"/>
      <c r="Y759" s="277"/>
      <c r="Z759" s="277">
        <f t="shared" si="21"/>
        <v>188415</v>
      </c>
    </row>
    <row r="760" spans="1:26" ht="12.65" customHeight="1" x14ac:dyDescent="0.35">
      <c r="A760" s="209" t="str">
        <f>RIGHT($C$84,3)&amp;"*"&amp;RIGHT($C$83,4)&amp;"*"&amp;AD$55&amp;"*"&amp;"A"</f>
        <v># 3*137*7190*A</v>
      </c>
      <c r="B760" s="277">
        <f>ROUND(AD59,0)</f>
        <v>0</v>
      </c>
      <c r="C760" s="280">
        <f>ROUND(AD60,2)</f>
        <v>0</v>
      </c>
      <c r="D760" s="277">
        <f>ROUND(AD61,0)</f>
        <v>0</v>
      </c>
      <c r="E760" s="277">
        <f>ROUND(AD62,0)</f>
        <v>0</v>
      </c>
      <c r="F760" s="277">
        <f>ROUND(AD63,0)</f>
        <v>0</v>
      </c>
      <c r="G760" s="277">
        <f>ROUND(AD64,0)</f>
        <v>0</v>
      </c>
      <c r="H760" s="277">
        <f>ROUND(AD65,0)</f>
        <v>0</v>
      </c>
      <c r="I760" s="277">
        <f>ROUND(AD66,0)</f>
        <v>0</v>
      </c>
      <c r="J760" s="277">
        <f>ROUND(AD67,0)</f>
        <v>0</v>
      </c>
      <c r="K760" s="277">
        <f>ROUND(AD68,0)</f>
        <v>0</v>
      </c>
      <c r="L760" s="277">
        <f>ROUND(AD70,0)</f>
        <v>0</v>
      </c>
      <c r="M760" s="277">
        <f>ROUND(AD71,0)</f>
        <v>0</v>
      </c>
      <c r="N760" s="277">
        <f>ROUND(AD76,0)</f>
        <v>0</v>
      </c>
      <c r="O760" s="277">
        <f>ROUND(AD74,0)</f>
        <v>0</v>
      </c>
      <c r="P760" s="277">
        <f>IF(AD77&gt;0,ROUND(AD77,0),0)</f>
        <v>0</v>
      </c>
      <c r="Q760" s="277">
        <f>IF(AD78&gt;0,ROUND(AD78,0),0)</f>
        <v>0</v>
      </c>
      <c r="R760" s="277">
        <f>IF(AD79&gt;0,ROUND(AD79,0),0)</f>
        <v>0</v>
      </c>
      <c r="S760" s="277">
        <f>IF(AD80&gt;0,ROUND(AD80,0),0)</f>
        <v>0</v>
      </c>
      <c r="T760" s="280">
        <f>IF(AD81&gt;0,ROUND(AD81,2),0)</f>
        <v>0</v>
      </c>
      <c r="U760" s="277"/>
      <c r="X760" s="277"/>
      <c r="Y760" s="277"/>
      <c r="Z760" s="277">
        <f t="shared" si="21"/>
        <v>69802</v>
      </c>
    </row>
    <row r="761" spans="1:26" ht="12.65" customHeight="1" x14ac:dyDescent="0.35">
      <c r="A761" s="209" t="str">
        <f>RIGHT($C$84,3)&amp;"*"&amp;RIGHT($C$83,4)&amp;"*"&amp;AE$55&amp;"*"&amp;"A"</f>
        <v># 3*137*7200*A</v>
      </c>
      <c r="B761" s="277">
        <f>ROUND(AE59,0)</f>
        <v>9400</v>
      </c>
      <c r="C761" s="280">
        <f>ROUND(AE60,2)</f>
        <v>6.28</v>
      </c>
      <c r="D761" s="277">
        <f>ROUND(AE61,0)</f>
        <v>570517</v>
      </c>
      <c r="E761" s="277">
        <f>ROUND(AE62,0)</f>
        <v>131263</v>
      </c>
      <c r="F761" s="277">
        <f>ROUND(AE63,0)</f>
        <v>0</v>
      </c>
      <c r="G761" s="277">
        <f>ROUND(AE64,0)</f>
        <v>9260</v>
      </c>
      <c r="H761" s="277">
        <f>ROUND(AE65,0)</f>
        <v>9786</v>
      </c>
      <c r="I761" s="277">
        <f>ROUND(AE66,0)</f>
        <v>26687</v>
      </c>
      <c r="J761" s="277">
        <f>ROUND(AE67,0)</f>
        <v>6638</v>
      </c>
      <c r="K761" s="277">
        <f>ROUND(AE68,0)</f>
        <v>27300</v>
      </c>
      <c r="L761" s="277">
        <f>ROUND(AE70,0)</f>
        <v>-1730</v>
      </c>
      <c r="M761" s="277">
        <f>ROUND(AE71,0)</f>
        <v>785187</v>
      </c>
      <c r="N761" s="277">
        <f>ROUND(AE76,0)</f>
        <v>1465</v>
      </c>
      <c r="O761" s="277">
        <f>ROUND(AE74,0)</f>
        <v>1464460</v>
      </c>
      <c r="P761" s="277">
        <f>IF(AE77&gt;0,ROUND(AE77,0),0)</f>
        <v>0</v>
      </c>
      <c r="Q761" s="277">
        <f>IF(AE78&gt;0,ROUND(AE78,0),0)</f>
        <v>28</v>
      </c>
      <c r="R761" s="277">
        <f>IF(AE79&gt;0,ROUND(AE79,0),0)</f>
        <v>1769</v>
      </c>
      <c r="S761" s="277">
        <f>IF(AE80&gt;0,ROUND(AE80,0),0)</f>
        <v>0</v>
      </c>
      <c r="T761" s="280">
        <f>IF(AE81&gt;0,ROUND(AE81,2),0)</f>
        <v>0</v>
      </c>
      <c r="U761" s="277"/>
      <c r="X761" s="277"/>
      <c r="Y761" s="277"/>
      <c r="Z761" s="277">
        <f t="shared" si="21"/>
        <v>0</v>
      </c>
    </row>
    <row r="762" spans="1:26" ht="12.65" customHeight="1" x14ac:dyDescent="0.35">
      <c r="A762" s="209" t="str">
        <f>RIGHT($C$84,3)&amp;"*"&amp;RIGHT($C$83,4)&amp;"*"&amp;AF$55&amp;"*"&amp;"A"</f>
        <v># 3*137*7220*A</v>
      </c>
      <c r="B762" s="277">
        <f>ROUND(AF59,0)</f>
        <v>0</v>
      </c>
      <c r="C762" s="280">
        <f>ROUND(AF60,2)</f>
        <v>0</v>
      </c>
      <c r="D762" s="277">
        <f>ROUND(AF61,0)</f>
        <v>0</v>
      </c>
      <c r="E762" s="277">
        <f>ROUND(AF62,0)</f>
        <v>0</v>
      </c>
      <c r="F762" s="277">
        <f>ROUND(AF63,0)</f>
        <v>0</v>
      </c>
      <c r="G762" s="277">
        <f>ROUND(AF64,0)</f>
        <v>0</v>
      </c>
      <c r="H762" s="277">
        <f>ROUND(AF65,0)</f>
        <v>0</v>
      </c>
      <c r="I762" s="277">
        <f>ROUND(AF66,0)</f>
        <v>0</v>
      </c>
      <c r="J762" s="277">
        <f>ROUND(AF67,0)</f>
        <v>0</v>
      </c>
      <c r="K762" s="277">
        <f>ROUND(AF68,0)</f>
        <v>0</v>
      </c>
      <c r="L762" s="277">
        <f>ROUND(AF70,0)</f>
        <v>0</v>
      </c>
      <c r="M762" s="277">
        <f>ROUND(AF71,0)</f>
        <v>0</v>
      </c>
      <c r="N762" s="277">
        <f>ROUND(AF76,0)</f>
        <v>0</v>
      </c>
      <c r="O762" s="277">
        <f>ROUND(AF74,0)</f>
        <v>0</v>
      </c>
      <c r="P762" s="277">
        <f>IF(AF77&gt;0,ROUND(AF77,0),0)</f>
        <v>0</v>
      </c>
      <c r="Q762" s="277">
        <f>IF(AF78&gt;0,ROUND(AF78,0),0)</f>
        <v>0</v>
      </c>
      <c r="R762" s="277">
        <f>IF(AF79&gt;0,ROUND(AF79,0),0)</f>
        <v>0</v>
      </c>
      <c r="S762" s="277">
        <f>IF(AF80&gt;0,ROUND(AF80,0),0)</f>
        <v>0</v>
      </c>
      <c r="T762" s="280">
        <f>IF(AF81&gt;0,ROUND(AF81,2),0)</f>
        <v>0</v>
      </c>
      <c r="U762" s="277"/>
      <c r="X762" s="277"/>
      <c r="Y762" s="277"/>
      <c r="Z762" s="277">
        <f t="shared" si="21"/>
        <v>292253</v>
      </c>
    </row>
    <row r="763" spans="1:26" ht="12.65" customHeight="1" x14ac:dyDescent="0.35">
      <c r="A763" s="209" t="str">
        <f>RIGHT($C$84,3)&amp;"*"&amp;RIGHT($C$83,4)&amp;"*"&amp;AG$55&amp;"*"&amp;"A"</f>
        <v># 3*137*7230*A</v>
      </c>
      <c r="B763" s="277">
        <f>ROUND(AG59,0)</f>
        <v>2792</v>
      </c>
      <c r="C763" s="280">
        <f>ROUND(AG60,2)</f>
        <v>5.37</v>
      </c>
      <c r="D763" s="277">
        <f>ROUND(AG61,0)</f>
        <v>557153</v>
      </c>
      <c r="E763" s="277">
        <f>ROUND(AG62,0)</f>
        <v>119835</v>
      </c>
      <c r="F763" s="277">
        <f>ROUND(AG63,0)</f>
        <v>0</v>
      </c>
      <c r="G763" s="277">
        <f>ROUND(AG64,0)</f>
        <v>40673</v>
      </c>
      <c r="H763" s="277">
        <f>ROUND(AG65,0)</f>
        <v>791</v>
      </c>
      <c r="I763" s="277">
        <f>ROUND(AG66,0)</f>
        <v>423961</v>
      </c>
      <c r="J763" s="277">
        <f>ROUND(AG67,0)</f>
        <v>7423</v>
      </c>
      <c r="K763" s="277">
        <f>ROUND(AG68,0)</f>
        <v>6532</v>
      </c>
      <c r="L763" s="277">
        <f>ROUND(AG70,0)</f>
        <v>0</v>
      </c>
      <c r="M763" s="277">
        <f>ROUND(AG71,0)</f>
        <v>1157359</v>
      </c>
      <c r="N763" s="277">
        <f>ROUND(AG76,0)</f>
        <v>581</v>
      </c>
      <c r="O763" s="277">
        <f>ROUND(AG74,0)</f>
        <v>1623113</v>
      </c>
      <c r="P763" s="277">
        <f>IF(AG77&gt;0,ROUND(AG77,0),0)</f>
        <v>0</v>
      </c>
      <c r="Q763" s="277">
        <f>IF(AG78&gt;0,ROUND(AG78,0),0)</f>
        <v>83</v>
      </c>
      <c r="R763" s="277">
        <f>IF(AG79&gt;0,ROUND(AG79,0),0)</f>
        <v>2545</v>
      </c>
      <c r="S763" s="277">
        <f>IF(AG80&gt;0,ROUND(AG80,0),0)</f>
        <v>4</v>
      </c>
      <c r="T763" s="280">
        <f>IF(AG81&gt;0,ROUND(AG81,2),0)</f>
        <v>0</v>
      </c>
      <c r="U763" s="277"/>
      <c r="X763" s="277"/>
      <c r="Y763" s="277"/>
      <c r="Z763" s="277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# 3*137*7240*A</v>
      </c>
      <c r="B764" s="277">
        <f>ROUND(AH59,0)</f>
        <v>396</v>
      </c>
      <c r="C764" s="280">
        <f>ROUND(AH60,2)</f>
        <v>2.33</v>
      </c>
      <c r="D764" s="277">
        <f>ROUND(AH61,0)</f>
        <v>168974</v>
      </c>
      <c r="E764" s="277">
        <f>ROUND(AH62,0)</f>
        <v>40794</v>
      </c>
      <c r="F764" s="277">
        <f>ROUND(AH63,0)</f>
        <v>1732</v>
      </c>
      <c r="G764" s="277">
        <f>ROUND(AH64,0)</f>
        <v>15630</v>
      </c>
      <c r="H764" s="277">
        <f>ROUND(AH65,0)</f>
        <v>6356</v>
      </c>
      <c r="I764" s="277">
        <f>ROUND(AH66,0)</f>
        <v>12004</v>
      </c>
      <c r="J764" s="277">
        <f>ROUND(AH67,0)</f>
        <v>4238</v>
      </c>
      <c r="K764" s="277">
        <f>ROUND(AH68,0)</f>
        <v>0</v>
      </c>
      <c r="L764" s="277">
        <f>ROUND(AH70,0)</f>
        <v>0</v>
      </c>
      <c r="M764" s="277">
        <f>ROUND(AH71,0)</f>
        <v>259803</v>
      </c>
      <c r="N764" s="277">
        <f>ROUND(AH76,0)</f>
        <v>0</v>
      </c>
      <c r="O764" s="277">
        <f>ROUND(AH74,0)</f>
        <v>389931</v>
      </c>
      <c r="P764" s="277">
        <f>IF(AH77&gt;0,ROUND(AH77,0),0)</f>
        <v>0</v>
      </c>
      <c r="Q764" s="277">
        <f>IF(AH78&gt;0,ROUND(AH78,0),0)</f>
        <v>0</v>
      </c>
      <c r="R764" s="277">
        <f>IF(AH79&gt;0,ROUND(AH79,0),0)</f>
        <v>361</v>
      </c>
      <c r="S764" s="277">
        <f>IF(AH80&gt;0,ROUND(AH80,0),0)</f>
        <v>0</v>
      </c>
      <c r="T764" s="280">
        <f>IF(AH81&gt;0,ROUND(AH81,2),0)</f>
        <v>0</v>
      </c>
      <c r="U764" s="277"/>
      <c r="X764" s="277"/>
      <c r="Y764" s="277"/>
      <c r="Z764" s="277">
        <f t="shared" si="21"/>
        <v>309083</v>
      </c>
    </row>
    <row r="765" spans="1:26" ht="12.65" customHeight="1" x14ac:dyDescent="0.35">
      <c r="A765" s="209" t="str">
        <f>RIGHT($C$84,3)&amp;"*"&amp;RIGHT($C$83,4)&amp;"*"&amp;AI$55&amp;"*"&amp;"A"</f>
        <v># 3*137*7250*A</v>
      </c>
      <c r="B765" s="277">
        <f>ROUND(AI59,0)</f>
        <v>0</v>
      </c>
      <c r="C765" s="280">
        <f>ROUND(AI60,2)</f>
        <v>0</v>
      </c>
      <c r="D765" s="277">
        <f>ROUND(AI61,0)</f>
        <v>0</v>
      </c>
      <c r="E765" s="277">
        <f>ROUND(AI62,0)</f>
        <v>0</v>
      </c>
      <c r="F765" s="277">
        <f>ROUND(AI63,0)</f>
        <v>0</v>
      </c>
      <c r="G765" s="277">
        <f>ROUND(AI64,0)</f>
        <v>0</v>
      </c>
      <c r="H765" s="277">
        <f>ROUND(AI65,0)</f>
        <v>0</v>
      </c>
      <c r="I765" s="277">
        <f>ROUND(AI66,0)</f>
        <v>0</v>
      </c>
      <c r="J765" s="277">
        <f>ROUND(AI67,0)</f>
        <v>0</v>
      </c>
      <c r="K765" s="277">
        <f>ROUND(AI68,0)</f>
        <v>0</v>
      </c>
      <c r="L765" s="277">
        <f>ROUND(AI70,0)</f>
        <v>0</v>
      </c>
      <c r="M765" s="277">
        <f>ROUND(AI71,0)</f>
        <v>0</v>
      </c>
      <c r="N765" s="277">
        <f>ROUND(AI76,0)</f>
        <v>0</v>
      </c>
      <c r="O765" s="277">
        <f>ROUND(AI74,0)</f>
        <v>5755</v>
      </c>
      <c r="P765" s="277">
        <f>IF(AI77&gt;0,ROUND(AI77,0),0)</f>
        <v>0</v>
      </c>
      <c r="Q765" s="277">
        <f>IF(AI78&gt;0,ROUND(AI78,0),0)</f>
        <v>0</v>
      </c>
      <c r="R765" s="277">
        <f>IF(AI79&gt;0,ROUND(AI79,0),0)</f>
        <v>0</v>
      </c>
      <c r="S765" s="277">
        <f>IF(AI80&gt;0,ROUND(AI80,0),0)</f>
        <v>0</v>
      </c>
      <c r="T765" s="280">
        <f>IF(AI81&gt;0,ROUND(AI81,2),0)</f>
        <v>0</v>
      </c>
      <c r="U765" s="277"/>
      <c r="X765" s="277"/>
      <c r="Y765" s="277"/>
      <c r="Z765" s="277">
        <f t="shared" si="21"/>
        <v>64933</v>
      </c>
    </row>
    <row r="766" spans="1:26" ht="12.65" customHeight="1" x14ac:dyDescent="0.35">
      <c r="A766" s="209" t="str">
        <f>RIGHT($C$84,3)&amp;"*"&amp;RIGHT($C$83,4)&amp;"*"&amp;AJ$55&amp;"*"&amp;"A"</f>
        <v># 3*137*7260*A</v>
      </c>
      <c r="B766" s="277">
        <f>ROUND(AJ59,0)</f>
        <v>23755</v>
      </c>
      <c r="C766" s="280">
        <f>ROUND(AJ60,2)</f>
        <v>32.57</v>
      </c>
      <c r="D766" s="277">
        <f>ROUND(AJ61,0)</f>
        <v>4203258</v>
      </c>
      <c r="E766" s="277">
        <f>ROUND(AJ62,0)</f>
        <v>837367</v>
      </c>
      <c r="F766" s="277">
        <f>ROUND(AJ63,0)</f>
        <v>2877</v>
      </c>
      <c r="G766" s="277">
        <f>ROUND(AJ64,0)</f>
        <v>317823</v>
      </c>
      <c r="H766" s="277">
        <f>ROUND(AJ65,0)</f>
        <v>60280</v>
      </c>
      <c r="I766" s="277">
        <f>ROUND(AJ66,0)</f>
        <v>81624</v>
      </c>
      <c r="J766" s="277">
        <f>ROUND(AJ67,0)</f>
        <v>43617</v>
      </c>
      <c r="K766" s="277">
        <f>ROUND(AJ68,0)</f>
        <v>172403</v>
      </c>
      <c r="L766" s="277">
        <f>ROUND(AJ70,0)</f>
        <v>0</v>
      </c>
      <c r="M766" s="277">
        <f>ROUND(AJ71,0)</f>
        <v>5789032</v>
      </c>
      <c r="N766" s="277">
        <f>ROUND(AJ76,0)</f>
        <v>6493</v>
      </c>
      <c r="O766" s="277">
        <f>ROUND(AJ74,0)</f>
        <v>7347597</v>
      </c>
      <c r="P766" s="277">
        <f>IF(AJ77&gt;0,ROUND(AJ77,0),0)</f>
        <v>0</v>
      </c>
      <c r="Q766" s="277">
        <f>IF(AJ78&gt;0,ROUND(AJ78,0),0)</f>
        <v>104</v>
      </c>
      <c r="R766" s="277">
        <f>IF(AJ79&gt;0,ROUND(AJ79,0),0)</f>
        <v>360</v>
      </c>
      <c r="S766" s="277">
        <f>IF(AJ80&gt;0,ROUND(AJ80,0),0)</f>
        <v>5</v>
      </c>
      <c r="T766" s="280">
        <f>IF(AJ81&gt;0,ROUND(AJ81,2),0)</f>
        <v>0</v>
      </c>
      <c r="U766" s="277"/>
      <c r="X766" s="277"/>
      <c r="Y766" s="277"/>
      <c r="Z766" s="277">
        <f t="shared" si="21"/>
        <v>413</v>
      </c>
    </row>
    <row r="767" spans="1:26" ht="12.65" customHeight="1" x14ac:dyDescent="0.35">
      <c r="A767" s="209" t="str">
        <f>RIGHT($C$84,3)&amp;"*"&amp;RIGHT($C$83,4)&amp;"*"&amp;AK$55&amp;"*"&amp;"A"</f>
        <v># 3*137*7310*A</v>
      </c>
      <c r="B767" s="277">
        <f>ROUND(AK59,0)</f>
        <v>0</v>
      </c>
      <c r="C767" s="280">
        <f>ROUND(AK60,2)</f>
        <v>0.56000000000000005</v>
      </c>
      <c r="D767" s="277">
        <f>ROUND(AK61,0)</f>
        <v>58497</v>
      </c>
      <c r="E767" s="277">
        <f>ROUND(AK62,0)</f>
        <v>11358</v>
      </c>
      <c r="F767" s="277">
        <f>ROUND(AK63,0)</f>
        <v>0</v>
      </c>
      <c r="G767" s="277">
        <f>ROUND(AK64,0)</f>
        <v>2871</v>
      </c>
      <c r="H767" s="277">
        <f>ROUND(AK65,0)</f>
        <v>6</v>
      </c>
      <c r="I767" s="277">
        <f>ROUND(AK66,0)</f>
        <v>4051</v>
      </c>
      <c r="J767" s="277">
        <f>ROUND(AK67,0)</f>
        <v>1563</v>
      </c>
      <c r="K767" s="277">
        <f>ROUND(AK68,0)</f>
        <v>0</v>
      </c>
      <c r="L767" s="277">
        <f>ROUND(AK70,0)</f>
        <v>0</v>
      </c>
      <c r="M767" s="277">
        <f>ROUND(AK71,0)</f>
        <v>78442</v>
      </c>
      <c r="N767" s="277">
        <f>ROUND(AK76,0)</f>
        <v>427</v>
      </c>
      <c r="O767" s="277">
        <f>ROUND(AK74,0)</f>
        <v>43476</v>
      </c>
      <c r="P767" s="277">
        <f>IF(AK77&gt;0,ROUND(AK77,0),0)</f>
        <v>0</v>
      </c>
      <c r="Q767" s="277">
        <f>IF(AK78&gt;0,ROUND(AK78,0),0)</f>
        <v>10</v>
      </c>
      <c r="R767" s="277">
        <f>IF(AK79&gt;0,ROUND(AK79,0),0)</f>
        <v>0</v>
      </c>
      <c r="S767" s="277">
        <f>IF(AK80&gt;0,ROUND(AK80,0),0)</f>
        <v>0</v>
      </c>
      <c r="T767" s="280">
        <f>IF(AK81&gt;0,ROUND(AK81,2),0)</f>
        <v>0</v>
      </c>
      <c r="U767" s="277"/>
      <c r="X767" s="277"/>
      <c r="Y767" s="277"/>
      <c r="Z767" s="277">
        <f t="shared" si="21"/>
        <v>1458463</v>
      </c>
    </row>
    <row r="768" spans="1:26" ht="12.65" customHeight="1" x14ac:dyDescent="0.35">
      <c r="A768" s="209" t="str">
        <f>RIGHT($C$84,3)&amp;"*"&amp;RIGHT($C$83,4)&amp;"*"&amp;AL$55&amp;"*"&amp;"A"</f>
        <v># 3*137*7320*A</v>
      </c>
      <c r="B768" s="277">
        <f>ROUND(AL59,0)</f>
        <v>0</v>
      </c>
      <c r="C768" s="280">
        <f>ROUND(AL60,2)</f>
        <v>0.44</v>
      </c>
      <c r="D768" s="277">
        <f>ROUND(AL61,0)</f>
        <v>49662</v>
      </c>
      <c r="E768" s="277">
        <f>ROUND(AL62,0)</f>
        <v>7422</v>
      </c>
      <c r="F768" s="277">
        <f>ROUND(AL63,0)</f>
        <v>0</v>
      </c>
      <c r="G768" s="277">
        <f>ROUND(AL64,0)</f>
        <v>572</v>
      </c>
      <c r="H768" s="277">
        <f>ROUND(AL65,0)</f>
        <v>6</v>
      </c>
      <c r="I768" s="277">
        <f>ROUND(AL66,0)</f>
        <v>0</v>
      </c>
      <c r="J768" s="277">
        <f>ROUND(AL67,0)</f>
        <v>0</v>
      </c>
      <c r="K768" s="277">
        <f>ROUND(AL68,0)</f>
        <v>0</v>
      </c>
      <c r="L768" s="277">
        <f>ROUND(AL70,0)</f>
        <v>0</v>
      </c>
      <c r="M768" s="277">
        <f>ROUND(AL71,0)</f>
        <v>57662</v>
      </c>
      <c r="N768" s="277">
        <f>ROUND(AL76,0)</f>
        <v>0</v>
      </c>
      <c r="O768" s="277">
        <f>ROUND(AL74,0)</f>
        <v>33508</v>
      </c>
      <c r="P768" s="277">
        <f>IF(AL77&gt;0,ROUND(AL77,0),0)</f>
        <v>0</v>
      </c>
      <c r="Q768" s="277">
        <f>IF(AL78&gt;0,ROUND(AL78,0),0)</f>
        <v>0</v>
      </c>
      <c r="R768" s="277">
        <f>IF(AL79&gt;0,ROUND(AL79,0),0)</f>
        <v>0</v>
      </c>
      <c r="S768" s="277">
        <f>IF(AL80&gt;0,ROUND(AL80,0),0)</f>
        <v>0</v>
      </c>
      <c r="T768" s="280">
        <f>IF(AL81&gt;0,ROUND(AL81,2),0)</f>
        <v>0</v>
      </c>
      <c r="U768" s="277"/>
      <c r="X768" s="277"/>
      <c r="Y768" s="277"/>
      <c r="Z768" s="277">
        <f t="shared" si="21"/>
        <v>35887</v>
      </c>
    </row>
    <row r="769" spans="1:26" ht="12.65" customHeight="1" x14ac:dyDescent="0.35">
      <c r="A769" s="209" t="str">
        <f>RIGHT($C$84,3)&amp;"*"&amp;RIGHT($C$83,4)&amp;"*"&amp;AM$55&amp;"*"&amp;"A"</f>
        <v># 3*137*7330*A</v>
      </c>
      <c r="B769" s="277">
        <f>ROUND(AM59,0)</f>
        <v>0</v>
      </c>
      <c r="C769" s="280">
        <f>ROUND(AM60,2)</f>
        <v>0.76</v>
      </c>
      <c r="D769" s="277">
        <f>ROUND(AM61,0)</f>
        <v>29356</v>
      </c>
      <c r="E769" s="277">
        <f>ROUND(AM62,0)</f>
        <v>10422</v>
      </c>
      <c r="F769" s="277">
        <f>ROUND(AM63,0)</f>
        <v>0</v>
      </c>
      <c r="G769" s="277">
        <f>ROUND(AM64,0)</f>
        <v>131</v>
      </c>
      <c r="H769" s="277">
        <f>ROUND(AM65,0)</f>
        <v>0</v>
      </c>
      <c r="I769" s="277">
        <f>ROUND(AM66,0)</f>
        <v>0</v>
      </c>
      <c r="J769" s="277">
        <f>ROUND(AM67,0)</f>
        <v>0</v>
      </c>
      <c r="K769" s="277">
        <f>ROUND(AM68,0)</f>
        <v>0</v>
      </c>
      <c r="L769" s="277">
        <f>ROUND(AM70,0)</f>
        <v>0</v>
      </c>
      <c r="M769" s="277">
        <f>ROUND(AM71,0)</f>
        <v>39909</v>
      </c>
      <c r="N769" s="277">
        <f>ROUND(AM76,0)</f>
        <v>0</v>
      </c>
      <c r="O769" s="277">
        <f>ROUND(AM74,0)</f>
        <v>0</v>
      </c>
      <c r="P769" s="277">
        <f>IF(AM77&gt;0,ROUND(AM77,0),0)</f>
        <v>0</v>
      </c>
      <c r="Q769" s="277">
        <f>IF(AM78&gt;0,ROUND(AM78,0),0)</f>
        <v>0</v>
      </c>
      <c r="R769" s="277">
        <f>IF(AM79&gt;0,ROUND(AM79,0),0)</f>
        <v>0</v>
      </c>
      <c r="S769" s="277">
        <f>IF(AM80&gt;0,ROUND(AM80,0),0)</f>
        <v>0</v>
      </c>
      <c r="T769" s="280">
        <f>IF(AM81&gt;0,ROUND(AM81,2),0)</f>
        <v>0</v>
      </c>
      <c r="U769" s="277"/>
      <c r="X769" s="277"/>
      <c r="Y769" s="277"/>
      <c r="Z769" s="277">
        <f t="shared" si="21"/>
        <v>13142</v>
      </c>
    </row>
    <row r="770" spans="1:26" ht="12.65" customHeight="1" x14ac:dyDescent="0.35">
      <c r="A770" s="209" t="str">
        <f>RIGHT($C$84,3)&amp;"*"&amp;RIGHT($C$83,4)&amp;"*"&amp;AN$55&amp;"*"&amp;"A"</f>
        <v># 3*137*7340*A</v>
      </c>
      <c r="B770" s="277">
        <f>ROUND(AN59,0)</f>
        <v>0</v>
      </c>
      <c r="C770" s="280">
        <f>ROUND(AN60,2)</f>
        <v>0</v>
      </c>
      <c r="D770" s="277">
        <f>ROUND(AN61,0)</f>
        <v>0</v>
      </c>
      <c r="E770" s="277">
        <f>ROUND(AN62,0)</f>
        <v>0</v>
      </c>
      <c r="F770" s="277">
        <f>ROUND(AN63,0)</f>
        <v>0</v>
      </c>
      <c r="G770" s="277">
        <f>ROUND(AN64,0)</f>
        <v>0</v>
      </c>
      <c r="H770" s="277">
        <f>ROUND(AN65,0)</f>
        <v>0</v>
      </c>
      <c r="I770" s="277">
        <f>ROUND(AN66,0)</f>
        <v>0</v>
      </c>
      <c r="J770" s="277">
        <f>ROUND(AN67,0)</f>
        <v>0</v>
      </c>
      <c r="K770" s="277">
        <f>ROUND(AN68,0)</f>
        <v>0</v>
      </c>
      <c r="L770" s="277">
        <f>ROUND(AN70,0)</f>
        <v>0</v>
      </c>
      <c r="M770" s="277">
        <f>ROUND(AN71,0)</f>
        <v>0</v>
      </c>
      <c r="N770" s="277">
        <f>ROUND(AN76,0)</f>
        <v>0</v>
      </c>
      <c r="O770" s="277">
        <f>ROUND(AN74,0)</f>
        <v>0</v>
      </c>
      <c r="P770" s="277">
        <f>IF(AN77&gt;0,ROUND(AN77,0),0)</f>
        <v>0</v>
      </c>
      <c r="Q770" s="277">
        <f>IF(AN78&gt;0,ROUND(AN78,0),0)</f>
        <v>0</v>
      </c>
      <c r="R770" s="277">
        <f>IF(AN79&gt;0,ROUND(AN79,0),0)</f>
        <v>0</v>
      </c>
      <c r="S770" s="277">
        <f>IF(AN80&gt;0,ROUND(AN80,0),0)</f>
        <v>0</v>
      </c>
      <c r="T770" s="280">
        <f>IF(AN81&gt;0,ROUND(AN81,2),0)</f>
        <v>0</v>
      </c>
      <c r="U770" s="277"/>
      <c r="X770" s="277"/>
      <c r="Y770" s="277"/>
      <c r="Z770" s="277">
        <f t="shared" si="21"/>
        <v>5879</v>
      </c>
    </row>
    <row r="771" spans="1:26" ht="12.65" customHeight="1" x14ac:dyDescent="0.35">
      <c r="A771" s="209" t="str">
        <f>RIGHT($C$84,3)&amp;"*"&amp;RIGHT($C$83,4)&amp;"*"&amp;AO$55&amp;"*"&amp;"A"</f>
        <v># 3*137*7350*A</v>
      </c>
      <c r="B771" s="277">
        <f>ROUND(AO59,0)</f>
        <v>0</v>
      </c>
      <c r="C771" s="280">
        <f>ROUND(AO60,2)</f>
        <v>0</v>
      </c>
      <c r="D771" s="277">
        <f>ROUND(AO61,0)</f>
        <v>0</v>
      </c>
      <c r="E771" s="277">
        <f>ROUND(AO62,0)</f>
        <v>0</v>
      </c>
      <c r="F771" s="277">
        <f>ROUND(AO63,0)</f>
        <v>0</v>
      </c>
      <c r="G771" s="277">
        <f>ROUND(AO64,0)</f>
        <v>0</v>
      </c>
      <c r="H771" s="277">
        <f>ROUND(AO65,0)</f>
        <v>0</v>
      </c>
      <c r="I771" s="277">
        <f>ROUND(AO66,0)</f>
        <v>0</v>
      </c>
      <c r="J771" s="277">
        <f>ROUND(AO67,0)</f>
        <v>0</v>
      </c>
      <c r="K771" s="277">
        <f>ROUND(AO68,0)</f>
        <v>0</v>
      </c>
      <c r="L771" s="277">
        <f>ROUND(AO70,0)</f>
        <v>0</v>
      </c>
      <c r="M771" s="277">
        <f>ROUND(AO71,0)</f>
        <v>0</v>
      </c>
      <c r="N771" s="277">
        <f>ROUND(AO76,0)</f>
        <v>0</v>
      </c>
      <c r="O771" s="277">
        <f>ROUND(AO74,0)</f>
        <v>467254</v>
      </c>
      <c r="P771" s="277">
        <f>IF(AO77&gt;0,ROUND(AO77,0),0)</f>
        <v>0</v>
      </c>
      <c r="Q771" s="277">
        <f>IF(AO78&gt;0,ROUND(AO78,0),0)</f>
        <v>0</v>
      </c>
      <c r="R771" s="277">
        <f>IF(AO79&gt;0,ROUND(AO79,0),0)</f>
        <v>0</v>
      </c>
      <c r="S771" s="277">
        <f>IF(AO80&gt;0,ROUND(AO80,0),0)</f>
        <v>0</v>
      </c>
      <c r="T771" s="280">
        <f>IF(AO81&gt;0,ROUND(AO81,2),0)</f>
        <v>0</v>
      </c>
      <c r="U771" s="277"/>
      <c r="X771" s="277"/>
      <c r="Y771" s="277"/>
      <c r="Z771" s="277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# 3*137*7380*A</v>
      </c>
      <c r="B772" s="277">
        <f>ROUND(AP59,0)</f>
        <v>0</v>
      </c>
      <c r="C772" s="280">
        <f>ROUND(AP60,2)</f>
        <v>0</v>
      </c>
      <c r="D772" s="277">
        <f>ROUND(AP61,0)</f>
        <v>0</v>
      </c>
      <c r="E772" s="277">
        <f>ROUND(AP62,0)</f>
        <v>0</v>
      </c>
      <c r="F772" s="277">
        <f>ROUND(AP63,0)</f>
        <v>0</v>
      </c>
      <c r="G772" s="277">
        <f>ROUND(AP64,0)</f>
        <v>0</v>
      </c>
      <c r="H772" s="277">
        <f>ROUND(AP65,0)</f>
        <v>0</v>
      </c>
      <c r="I772" s="277">
        <f>ROUND(AP66,0)</f>
        <v>0</v>
      </c>
      <c r="J772" s="277">
        <f>ROUND(AP67,0)</f>
        <v>0</v>
      </c>
      <c r="K772" s="277">
        <f>ROUND(AP68,0)</f>
        <v>0</v>
      </c>
      <c r="L772" s="277">
        <f>ROUND(AP70,0)</f>
        <v>0</v>
      </c>
      <c r="M772" s="277">
        <f>ROUND(AP71,0)</f>
        <v>0</v>
      </c>
      <c r="N772" s="277">
        <f>ROUND(AP76,0)</f>
        <v>0</v>
      </c>
      <c r="O772" s="277">
        <f>ROUND(AP74,0)</f>
        <v>0</v>
      </c>
      <c r="P772" s="277">
        <f>IF(AP77&gt;0,ROUND(AP77,0),0)</f>
        <v>0</v>
      </c>
      <c r="Q772" s="277">
        <f>IF(AP78&gt;0,ROUND(AP78,0),0)</f>
        <v>0</v>
      </c>
      <c r="R772" s="277">
        <f>IF(AP79&gt;0,ROUND(AP79,0),0)</f>
        <v>0</v>
      </c>
      <c r="S772" s="277">
        <f>IF(AP80&gt;0,ROUND(AP80,0),0)</f>
        <v>0</v>
      </c>
      <c r="T772" s="280">
        <f>IF(AP81&gt;0,ROUND(AP81,2),0)</f>
        <v>0</v>
      </c>
      <c r="U772" s="277"/>
      <c r="X772" s="277"/>
      <c r="Y772" s="277"/>
      <c r="Z772" s="277">
        <f t="shared" si="21"/>
        <v>33551</v>
      </c>
    </row>
    <row r="773" spans="1:26" ht="12.65" customHeight="1" x14ac:dyDescent="0.35">
      <c r="A773" s="209" t="str">
        <f>RIGHT($C$84,3)&amp;"*"&amp;RIGHT($C$83,4)&amp;"*"&amp;AQ$55&amp;"*"&amp;"A"</f>
        <v># 3*137*7390*A</v>
      </c>
      <c r="B773" s="277">
        <f>ROUND(AQ59,0)</f>
        <v>0</v>
      </c>
      <c r="C773" s="280">
        <f>ROUND(AQ60,2)</f>
        <v>0</v>
      </c>
      <c r="D773" s="277">
        <f>ROUND(AQ61,0)</f>
        <v>0</v>
      </c>
      <c r="E773" s="277">
        <f>ROUND(AQ62,0)</f>
        <v>0</v>
      </c>
      <c r="F773" s="277">
        <f>ROUND(AQ63,0)</f>
        <v>0</v>
      </c>
      <c r="G773" s="277">
        <f>ROUND(AQ64,0)</f>
        <v>0</v>
      </c>
      <c r="H773" s="277">
        <f>ROUND(AQ65,0)</f>
        <v>0</v>
      </c>
      <c r="I773" s="277">
        <f>ROUND(AQ66,0)</f>
        <v>0</v>
      </c>
      <c r="J773" s="277">
        <f>ROUND(AQ67,0)</f>
        <v>0</v>
      </c>
      <c r="K773" s="277">
        <f>ROUND(AQ68,0)</f>
        <v>0</v>
      </c>
      <c r="L773" s="277">
        <f>ROUND(AQ70,0)</f>
        <v>0</v>
      </c>
      <c r="M773" s="277">
        <f>ROUND(AQ71,0)</f>
        <v>0</v>
      </c>
      <c r="N773" s="277">
        <f>ROUND(AQ76,0)</f>
        <v>0</v>
      </c>
      <c r="O773" s="277">
        <f>ROUND(AQ74,0)</f>
        <v>0</v>
      </c>
      <c r="P773" s="277">
        <f>IF(AQ77&gt;0,ROUND(AQ77,0),0)</f>
        <v>0</v>
      </c>
      <c r="Q773" s="277">
        <f>IF(AQ78&gt;0,ROUND(AQ78,0),0)</f>
        <v>0</v>
      </c>
      <c r="R773" s="277">
        <f>IF(AQ79&gt;0,ROUND(AQ79,0),0)</f>
        <v>0</v>
      </c>
      <c r="S773" s="277">
        <f>IF(AQ80&gt;0,ROUND(AQ80,0),0)</f>
        <v>0</v>
      </c>
      <c r="T773" s="280">
        <f>IF(AQ81&gt;0,ROUND(AQ81,2),0)</f>
        <v>0</v>
      </c>
      <c r="U773" s="277"/>
      <c r="X773" s="277"/>
      <c r="Y773" s="277"/>
      <c r="Z773" s="277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# 3*137*7400*A</v>
      </c>
      <c r="B774" s="277">
        <f>ROUND(AR59,0)</f>
        <v>0</v>
      </c>
      <c r="C774" s="280">
        <f>ROUND(AR60,2)</f>
        <v>0</v>
      </c>
      <c r="D774" s="277">
        <f>ROUND(AR61,0)</f>
        <v>0</v>
      </c>
      <c r="E774" s="277">
        <f>ROUND(AR62,0)</f>
        <v>0</v>
      </c>
      <c r="F774" s="277">
        <f>ROUND(AR63,0)</f>
        <v>0</v>
      </c>
      <c r="G774" s="277">
        <f>ROUND(AR64,0)</f>
        <v>0</v>
      </c>
      <c r="H774" s="277">
        <f>ROUND(AR65,0)</f>
        <v>0</v>
      </c>
      <c r="I774" s="277">
        <f>ROUND(AR66,0)</f>
        <v>0</v>
      </c>
      <c r="J774" s="277">
        <f>ROUND(AR67,0)</f>
        <v>0</v>
      </c>
      <c r="K774" s="277">
        <f>ROUND(AR68,0)</f>
        <v>0</v>
      </c>
      <c r="L774" s="277">
        <f>ROUND(AR70,0)</f>
        <v>0</v>
      </c>
      <c r="M774" s="277">
        <f>ROUND(AR71,0)</f>
        <v>0</v>
      </c>
      <c r="N774" s="277">
        <f>ROUND(AR76,0)</f>
        <v>0</v>
      </c>
      <c r="O774" s="277">
        <f>ROUND(AR74,0)</f>
        <v>0</v>
      </c>
      <c r="P774" s="277">
        <f>IF(AR77&gt;0,ROUND(AR77,0),0)</f>
        <v>0</v>
      </c>
      <c r="Q774" s="277">
        <f>IF(AR78&gt;0,ROUND(AR78,0),0)</f>
        <v>0</v>
      </c>
      <c r="R774" s="277">
        <f>IF(AR79&gt;0,ROUND(AR79,0),0)</f>
        <v>0</v>
      </c>
      <c r="S774" s="277">
        <f>IF(AR80&gt;0,ROUND(AR80,0),0)</f>
        <v>0</v>
      </c>
      <c r="T774" s="280">
        <f>IF(AR81&gt;0,ROUND(AR81,2),0)</f>
        <v>0</v>
      </c>
      <c r="U774" s="277"/>
      <c r="X774" s="277"/>
      <c r="Y774" s="277"/>
      <c r="Z774" s="277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# 3*137*7410*A</v>
      </c>
      <c r="B775" s="277">
        <f>ROUND(AS59,0)</f>
        <v>0</v>
      </c>
      <c r="C775" s="280">
        <f>ROUND(AS60,2)</f>
        <v>0</v>
      </c>
      <c r="D775" s="277">
        <f>ROUND(AS61,0)</f>
        <v>0</v>
      </c>
      <c r="E775" s="277">
        <f>ROUND(AS62,0)</f>
        <v>0</v>
      </c>
      <c r="F775" s="277">
        <f>ROUND(AS63,0)</f>
        <v>0</v>
      </c>
      <c r="G775" s="277">
        <f>ROUND(AS64,0)</f>
        <v>0</v>
      </c>
      <c r="H775" s="277">
        <f>ROUND(AS65,0)</f>
        <v>0</v>
      </c>
      <c r="I775" s="277">
        <f>ROUND(AS66,0)</f>
        <v>0</v>
      </c>
      <c r="J775" s="277">
        <f>ROUND(AS67,0)</f>
        <v>0</v>
      </c>
      <c r="K775" s="277">
        <f>ROUND(AS68,0)</f>
        <v>0</v>
      </c>
      <c r="L775" s="277">
        <f>ROUND(AS70,0)</f>
        <v>0</v>
      </c>
      <c r="M775" s="277">
        <f>ROUND(AS71,0)</f>
        <v>0</v>
      </c>
      <c r="N775" s="277">
        <f>ROUND(AS76,0)</f>
        <v>0</v>
      </c>
      <c r="O775" s="277">
        <f>ROUND(AS74,0)</f>
        <v>0</v>
      </c>
      <c r="P775" s="277">
        <f>IF(AS77&gt;0,ROUND(AS77,0),0)</f>
        <v>0</v>
      </c>
      <c r="Q775" s="277">
        <f>IF(AS78&gt;0,ROUND(AS78,0),0)</f>
        <v>0</v>
      </c>
      <c r="R775" s="277">
        <f>IF(AS79&gt;0,ROUND(AS79,0),0)</f>
        <v>0</v>
      </c>
      <c r="S775" s="277">
        <f>IF(AS80&gt;0,ROUND(AS80,0),0)</f>
        <v>0</v>
      </c>
      <c r="T775" s="280">
        <f>IF(AS81&gt;0,ROUND(AS81,2),0)</f>
        <v>0</v>
      </c>
      <c r="U775" s="277"/>
      <c r="X775" s="277"/>
      <c r="Y775" s="277"/>
      <c r="Z775" s="277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# 3*137*7420*A</v>
      </c>
      <c r="B776" s="277">
        <f>ROUND(AT59,0)</f>
        <v>0</v>
      </c>
      <c r="C776" s="280">
        <f>ROUND(AT60,2)</f>
        <v>0</v>
      </c>
      <c r="D776" s="277">
        <f>ROUND(AT61,0)</f>
        <v>0</v>
      </c>
      <c r="E776" s="277">
        <f>ROUND(AT62,0)</f>
        <v>0</v>
      </c>
      <c r="F776" s="277">
        <f>ROUND(AT63,0)</f>
        <v>0</v>
      </c>
      <c r="G776" s="277">
        <f>ROUND(AT64,0)</f>
        <v>0</v>
      </c>
      <c r="H776" s="277">
        <f>ROUND(AT65,0)</f>
        <v>0</v>
      </c>
      <c r="I776" s="277">
        <f>ROUND(AT66,0)</f>
        <v>0</v>
      </c>
      <c r="J776" s="277">
        <f>ROUND(AT67,0)</f>
        <v>0</v>
      </c>
      <c r="K776" s="277">
        <f>ROUND(AT68,0)</f>
        <v>0</v>
      </c>
      <c r="L776" s="277">
        <f>ROUND(AT70,0)</f>
        <v>0</v>
      </c>
      <c r="M776" s="277">
        <f>ROUND(AT71,0)</f>
        <v>0</v>
      </c>
      <c r="N776" s="277">
        <f>ROUND(AT76,0)</f>
        <v>0</v>
      </c>
      <c r="O776" s="277">
        <f>ROUND(AT74,0)</f>
        <v>0</v>
      </c>
      <c r="P776" s="277">
        <f>IF(AT77&gt;0,ROUND(AT77,0),0)</f>
        <v>0</v>
      </c>
      <c r="Q776" s="277">
        <f>IF(AT78&gt;0,ROUND(AT78,0),0)</f>
        <v>0</v>
      </c>
      <c r="R776" s="277">
        <f>IF(AT79&gt;0,ROUND(AT79,0),0)</f>
        <v>0</v>
      </c>
      <c r="S776" s="277">
        <f>IF(AT80&gt;0,ROUND(AT80,0),0)</f>
        <v>0</v>
      </c>
      <c r="T776" s="280">
        <f>IF(AT81&gt;0,ROUND(AT81,2),0)</f>
        <v>0</v>
      </c>
      <c r="U776" s="277"/>
      <c r="X776" s="277"/>
      <c r="Y776" s="277"/>
      <c r="Z776" s="277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# 3*137*7430*A</v>
      </c>
      <c r="B777" s="277">
        <f>ROUND(AU59,0)</f>
        <v>0</v>
      </c>
      <c r="C777" s="280">
        <f>ROUND(AU60,2)</f>
        <v>0</v>
      </c>
      <c r="D777" s="277">
        <f>ROUND(AU61,0)</f>
        <v>0</v>
      </c>
      <c r="E777" s="277">
        <f>ROUND(AU62,0)</f>
        <v>0</v>
      </c>
      <c r="F777" s="277">
        <f>ROUND(AU63,0)</f>
        <v>0</v>
      </c>
      <c r="G777" s="277">
        <f>ROUND(AU64,0)</f>
        <v>0</v>
      </c>
      <c r="H777" s="277">
        <f>ROUND(AU65,0)</f>
        <v>0</v>
      </c>
      <c r="I777" s="277">
        <f>ROUND(AU66,0)</f>
        <v>0</v>
      </c>
      <c r="J777" s="277">
        <f>ROUND(AU67,0)</f>
        <v>0</v>
      </c>
      <c r="K777" s="277">
        <f>ROUND(AU68,0)</f>
        <v>0</v>
      </c>
      <c r="L777" s="277">
        <f>ROUND(AU70,0)</f>
        <v>0</v>
      </c>
      <c r="M777" s="277">
        <f>ROUND(AU71,0)</f>
        <v>0</v>
      </c>
      <c r="N777" s="277">
        <f>ROUND(AU76,0)</f>
        <v>0</v>
      </c>
      <c r="O777" s="277">
        <f>ROUND(AU74,0)</f>
        <v>0</v>
      </c>
      <c r="P777" s="277">
        <f>IF(AU77&gt;0,ROUND(AU77,0),0)</f>
        <v>0</v>
      </c>
      <c r="Q777" s="277">
        <f>IF(AU78&gt;0,ROUND(AU78,0),0)</f>
        <v>0</v>
      </c>
      <c r="R777" s="277">
        <f>IF(AU79&gt;0,ROUND(AU79,0),0)</f>
        <v>0</v>
      </c>
      <c r="S777" s="277">
        <f>IF(AU80&gt;0,ROUND(AU80,0),0)</f>
        <v>0</v>
      </c>
      <c r="T777" s="280">
        <f>IF(AU81&gt;0,ROUND(AU81,2),0)</f>
        <v>0</v>
      </c>
      <c r="U777" s="277"/>
      <c r="X777" s="277"/>
      <c r="Y777" s="277"/>
      <c r="Z777" s="277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# 3*137*7490*A</v>
      </c>
      <c r="B778" s="277"/>
      <c r="C778" s="280">
        <f>ROUND(AV60,2)</f>
        <v>2.17</v>
      </c>
      <c r="D778" s="277">
        <f>ROUND(AV61,0)</f>
        <v>146122</v>
      </c>
      <c r="E778" s="277">
        <f>ROUND(AV62,0)</f>
        <v>37391</v>
      </c>
      <c r="F778" s="277">
        <f>ROUND(AV63,0)</f>
        <v>0</v>
      </c>
      <c r="G778" s="277">
        <f>ROUND(AV64,0)</f>
        <v>10757</v>
      </c>
      <c r="H778" s="277">
        <f>ROUND(AV65,0)</f>
        <v>0</v>
      </c>
      <c r="I778" s="277">
        <f>ROUND(AV66,0)</f>
        <v>0</v>
      </c>
      <c r="J778" s="277">
        <f>ROUND(AV67,0)</f>
        <v>0</v>
      </c>
      <c r="K778" s="277">
        <f>ROUND(AV68,0)</f>
        <v>0</v>
      </c>
      <c r="L778" s="277">
        <f>ROUND(AV70,0)</f>
        <v>0</v>
      </c>
      <c r="M778" s="277">
        <f>ROUND(AV71,0)</f>
        <v>195304</v>
      </c>
      <c r="N778" s="277">
        <f>ROUND(AV76,0)</f>
        <v>0</v>
      </c>
      <c r="O778" s="277">
        <f>ROUND(AV74,0)</f>
        <v>548400</v>
      </c>
      <c r="P778" s="277">
        <f>IF(AV77&gt;0,ROUND(AV77,0),0)</f>
        <v>0</v>
      </c>
      <c r="Q778" s="277">
        <f>IF(AV78&gt;0,ROUND(AV78,0),0)</f>
        <v>17</v>
      </c>
      <c r="R778" s="277">
        <f>IF(AV79&gt;0,ROUND(AV79,0),0)</f>
        <v>0</v>
      </c>
      <c r="S778" s="277">
        <f>IF(AV80&gt;0,ROUND(AV80,0),0)</f>
        <v>1</v>
      </c>
      <c r="T778" s="280">
        <f>IF(AV81&gt;0,ROUND(AV81,2),0)</f>
        <v>0</v>
      </c>
      <c r="U778" s="277"/>
      <c r="X778" s="277"/>
      <c r="Y778" s="277"/>
      <c r="Z778" s="277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# 3*137*8200*A</v>
      </c>
      <c r="B779" s="277"/>
      <c r="C779" s="280">
        <f>ROUND(AW60,2)</f>
        <v>0</v>
      </c>
      <c r="D779" s="277">
        <f>ROUND(AW61,0)</f>
        <v>0</v>
      </c>
      <c r="E779" s="277">
        <f>ROUND(AW62,0)</f>
        <v>0</v>
      </c>
      <c r="F779" s="277">
        <f>ROUND(AW63,0)</f>
        <v>0</v>
      </c>
      <c r="G779" s="277">
        <f>ROUND(AW64,0)</f>
        <v>0</v>
      </c>
      <c r="H779" s="277">
        <f>ROUND(AW65,0)</f>
        <v>0</v>
      </c>
      <c r="I779" s="277">
        <f>ROUND(AW66,0)</f>
        <v>0</v>
      </c>
      <c r="J779" s="277">
        <f>ROUND(AW67,0)</f>
        <v>0</v>
      </c>
      <c r="K779" s="277">
        <f>ROUND(AW68,0)</f>
        <v>0</v>
      </c>
      <c r="L779" s="277">
        <f>ROUND(AW70,0)</f>
        <v>0</v>
      </c>
      <c r="M779" s="277">
        <f>ROUND(AW71,0)</f>
        <v>0</v>
      </c>
      <c r="N779" s="277"/>
      <c r="O779" s="277"/>
      <c r="P779" s="277">
        <f>IF(AW77&gt;0,ROUND(AW77,0),0)</f>
        <v>0</v>
      </c>
      <c r="Q779" s="277">
        <f>IF(AW78&gt;0,ROUND(AW78,0),0)</f>
        <v>0</v>
      </c>
      <c r="R779" s="277">
        <f>IF(AW79&gt;0,ROUND(AW79,0),0)</f>
        <v>0</v>
      </c>
      <c r="S779" s="277">
        <f>IF(AW80&gt;0,ROUND(AW80,0),0)</f>
        <v>0</v>
      </c>
      <c r="T779" s="280">
        <f>IF(AW81&gt;0,ROUND(AW81,2),0)</f>
        <v>0</v>
      </c>
      <c r="U779" s="277"/>
      <c r="X779" s="277"/>
      <c r="Y779" s="277"/>
      <c r="Z779" s="277"/>
    </row>
    <row r="780" spans="1:26" ht="12.65" customHeight="1" x14ac:dyDescent="0.35">
      <c r="A780" s="209" t="str">
        <f>RIGHT($C$84,3)&amp;"*"&amp;RIGHT($C$83,4)&amp;"*"&amp;AX$55&amp;"*"&amp;"A"</f>
        <v># 3*137*8310*A</v>
      </c>
      <c r="B780" s="277"/>
      <c r="C780" s="280">
        <f>ROUND(AX60,2)</f>
        <v>0</v>
      </c>
      <c r="D780" s="277">
        <f>ROUND(AX61,0)</f>
        <v>0</v>
      </c>
      <c r="E780" s="277">
        <f>ROUND(AX62,0)</f>
        <v>0</v>
      </c>
      <c r="F780" s="277">
        <f>ROUND(AX63,0)</f>
        <v>0</v>
      </c>
      <c r="G780" s="277">
        <f>ROUND(AX64,0)</f>
        <v>0</v>
      </c>
      <c r="H780" s="277">
        <f>ROUND(AX65,0)</f>
        <v>0</v>
      </c>
      <c r="I780" s="277">
        <f>ROUND(AX66,0)</f>
        <v>0</v>
      </c>
      <c r="J780" s="277">
        <f>ROUND(AX67,0)</f>
        <v>0</v>
      </c>
      <c r="K780" s="277">
        <f>ROUND(AX68,0)</f>
        <v>0</v>
      </c>
      <c r="L780" s="277">
        <f>ROUND(AX70,0)</f>
        <v>0</v>
      </c>
      <c r="M780" s="277">
        <f>ROUND(AX71,0)</f>
        <v>0</v>
      </c>
      <c r="N780" s="277"/>
      <c r="O780" s="277"/>
      <c r="P780" s="277">
        <f>IF(AX77&gt;0,ROUND(AX77,0),0)</f>
        <v>0</v>
      </c>
      <c r="Q780" s="277">
        <f>IF(AX78&gt;0,ROUND(AX78,0),0)</f>
        <v>0</v>
      </c>
      <c r="R780" s="277">
        <f>IF(AX79&gt;0,ROUND(AX79,0),0)</f>
        <v>0</v>
      </c>
      <c r="S780" s="277">
        <f>IF(AX80&gt;0,ROUND(AX80,0),0)</f>
        <v>0</v>
      </c>
      <c r="T780" s="280">
        <f>IF(AX81&gt;0,ROUND(AX81,2),0)</f>
        <v>0</v>
      </c>
      <c r="U780" s="277"/>
      <c r="X780" s="277"/>
      <c r="Y780" s="277"/>
      <c r="Z780" s="277"/>
    </row>
    <row r="781" spans="1:26" ht="12.65" customHeight="1" x14ac:dyDescent="0.35">
      <c r="A781" s="209" t="str">
        <f>RIGHT($C$84,3)&amp;"*"&amp;RIGHT($C$83,4)&amp;"*"&amp;AY$55&amp;"*"&amp;"A"</f>
        <v># 3*137*8320*A</v>
      </c>
      <c r="B781" s="277">
        <f>ROUND(AY59,0)</f>
        <v>17045</v>
      </c>
      <c r="C781" s="280">
        <f>ROUND(AY60,2)</f>
        <v>9.58</v>
      </c>
      <c r="D781" s="277">
        <f>ROUND(AY61,0)</f>
        <v>346777</v>
      </c>
      <c r="E781" s="277">
        <f>ROUND(AY62,0)</f>
        <v>121390</v>
      </c>
      <c r="F781" s="277">
        <f>ROUND(AY63,0)</f>
        <v>0</v>
      </c>
      <c r="G781" s="277">
        <f>ROUND(AY64,0)</f>
        <v>212667</v>
      </c>
      <c r="H781" s="277">
        <f>ROUND(AY65,0)</f>
        <v>13</v>
      </c>
      <c r="I781" s="277">
        <f>ROUND(AY66,0)</f>
        <v>2221</v>
      </c>
      <c r="J781" s="277">
        <f>ROUND(AY67,0)</f>
        <v>15017</v>
      </c>
      <c r="K781" s="277">
        <f>ROUND(AY68,0)</f>
        <v>0</v>
      </c>
      <c r="L781" s="277">
        <f>ROUND(AY70,0)</f>
        <v>110196</v>
      </c>
      <c r="M781" s="277">
        <f>ROUND(AY71,0)</f>
        <v>588607</v>
      </c>
      <c r="N781" s="277"/>
      <c r="O781" s="277"/>
      <c r="P781" s="277">
        <f>IF(AY77&gt;0,ROUND(AY77,0),0)</f>
        <v>0</v>
      </c>
      <c r="Q781" s="277">
        <f>IF(AY78&gt;0,ROUND(AY78,0),0)</f>
        <v>0</v>
      </c>
      <c r="R781" s="277">
        <f>IF(AY79&gt;0,ROUND(AY79,0),0)</f>
        <v>0</v>
      </c>
      <c r="S781" s="277">
        <f>IF(AY80&gt;0,ROUND(AY80,0),0)</f>
        <v>0</v>
      </c>
      <c r="T781" s="280">
        <f>IF(AY81&gt;0,ROUND(AY81,2),0)</f>
        <v>0</v>
      </c>
      <c r="U781" s="277"/>
      <c r="X781" s="277"/>
      <c r="Y781" s="277"/>
      <c r="Z781" s="277"/>
    </row>
    <row r="782" spans="1:26" ht="12.65" customHeight="1" x14ac:dyDescent="0.35">
      <c r="A782" s="209" t="str">
        <f>RIGHT($C$84,3)&amp;"*"&amp;RIGHT($C$83,4)&amp;"*"&amp;AZ$55&amp;"*"&amp;"A"</f>
        <v># 3*137*8330*A</v>
      </c>
      <c r="B782" s="277">
        <f>ROUND(AZ59,0)</f>
        <v>0</v>
      </c>
      <c r="C782" s="280">
        <f>ROUND(AZ60,2)</f>
        <v>0</v>
      </c>
      <c r="D782" s="277">
        <f>ROUND(AZ61,0)</f>
        <v>0</v>
      </c>
      <c r="E782" s="277">
        <f>ROUND(AZ62,0)</f>
        <v>0</v>
      </c>
      <c r="F782" s="277">
        <f>ROUND(AZ63,0)</f>
        <v>0</v>
      </c>
      <c r="G782" s="277">
        <f>ROUND(AZ64,0)</f>
        <v>0</v>
      </c>
      <c r="H782" s="277">
        <f>ROUND(AZ65,0)</f>
        <v>0</v>
      </c>
      <c r="I782" s="277">
        <f>ROUND(AZ66,0)</f>
        <v>0</v>
      </c>
      <c r="J782" s="277">
        <f>ROUND(AZ67,0)</f>
        <v>0</v>
      </c>
      <c r="K782" s="277">
        <f>ROUND(AZ68,0)</f>
        <v>0</v>
      </c>
      <c r="L782" s="277">
        <f>ROUND(AZ70,0)</f>
        <v>0</v>
      </c>
      <c r="M782" s="277">
        <f>ROUND(AZ71,0)</f>
        <v>0</v>
      </c>
      <c r="N782" s="277"/>
      <c r="O782" s="277"/>
      <c r="P782" s="277">
        <f>IF(AZ77&gt;0,ROUND(AZ77,0),0)</f>
        <v>0</v>
      </c>
      <c r="Q782" s="277">
        <f>IF(AZ78&gt;0,ROUND(AZ78,0),0)</f>
        <v>0</v>
      </c>
      <c r="R782" s="277">
        <f>IF(AZ79&gt;0,ROUND(AZ79,0),0)</f>
        <v>0</v>
      </c>
      <c r="S782" s="277">
        <f>IF(AZ80&gt;0,ROUND(AZ80,0),0)</f>
        <v>0</v>
      </c>
      <c r="T782" s="280">
        <f>IF(AZ81&gt;0,ROUND(AZ81,2),0)</f>
        <v>0</v>
      </c>
      <c r="U782" s="277"/>
      <c r="X782" s="277"/>
      <c r="Y782" s="277"/>
      <c r="Z782" s="277"/>
    </row>
    <row r="783" spans="1:26" ht="12.65" customHeight="1" x14ac:dyDescent="0.35">
      <c r="A783" s="209" t="str">
        <f>RIGHT($C$84,3)&amp;"*"&amp;RIGHT($C$83,4)&amp;"*"&amp;BA$55&amp;"*"&amp;"A"</f>
        <v># 3*137*8350*A</v>
      </c>
      <c r="B783" s="277">
        <f>ROUND(BA59,0)</f>
        <v>0</v>
      </c>
      <c r="C783" s="280">
        <f>ROUND(BA60,2)</f>
        <v>1.1299999999999999</v>
      </c>
      <c r="D783" s="277">
        <f>ROUND(BA61,0)</f>
        <v>41187</v>
      </c>
      <c r="E783" s="277">
        <f>ROUND(BA62,0)</f>
        <v>15042</v>
      </c>
      <c r="F783" s="277">
        <f>ROUND(BA63,0)</f>
        <v>0</v>
      </c>
      <c r="G783" s="277">
        <f>ROUND(BA64,0)</f>
        <v>1096</v>
      </c>
      <c r="H783" s="277">
        <f>ROUND(BA65,0)</f>
        <v>7</v>
      </c>
      <c r="I783" s="277">
        <f>ROUND(BA66,0)</f>
        <v>0</v>
      </c>
      <c r="J783" s="277">
        <f>ROUND(BA67,0)</f>
        <v>3959</v>
      </c>
      <c r="K783" s="277">
        <f>ROUND(BA68,0)</f>
        <v>0</v>
      </c>
      <c r="L783" s="277">
        <f>ROUND(BA70,0)</f>
        <v>0</v>
      </c>
      <c r="M783" s="277">
        <f>ROUND(BA71,0)</f>
        <v>61291</v>
      </c>
      <c r="N783" s="277"/>
      <c r="O783" s="277"/>
      <c r="P783" s="277">
        <f>IF(BA77&gt;0,ROUND(BA77,0),0)</f>
        <v>0</v>
      </c>
      <c r="Q783" s="277">
        <f>IF(BA78&gt;0,ROUND(BA78,0),0)</f>
        <v>0</v>
      </c>
      <c r="R783" s="277">
        <f>IF(BA79&gt;0,ROUND(BA79,0),0)</f>
        <v>0</v>
      </c>
      <c r="S783" s="277">
        <f>IF(BA80&gt;0,ROUND(BA80,0),0)</f>
        <v>0</v>
      </c>
      <c r="T783" s="280">
        <f>IF(BA81&gt;0,ROUND(BA81,2),0)</f>
        <v>0</v>
      </c>
      <c r="U783" s="277"/>
      <c r="X783" s="277"/>
      <c r="Y783" s="277"/>
      <c r="Z783" s="277"/>
    </row>
    <row r="784" spans="1:26" ht="12.65" customHeight="1" x14ac:dyDescent="0.35">
      <c r="A784" s="209" t="str">
        <f>RIGHT($C$84,3)&amp;"*"&amp;RIGHT($C$83,4)&amp;"*"&amp;BB$55&amp;"*"&amp;"A"</f>
        <v># 3*137*8360*A</v>
      </c>
      <c r="B784" s="277"/>
      <c r="C784" s="280">
        <f>ROUND(BB60,2)</f>
        <v>1</v>
      </c>
      <c r="D784" s="277">
        <f>ROUND(BB61,0)</f>
        <v>78515</v>
      </c>
      <c r="E784" s="277">
        <f>ROUND(BB62,0)</f>
        <v>19804</v>
      </c>
      <c r="F784" s="277">
        <f>ROUND(BB63,0)</f>
        <v>0</v>
      </c>
      <c r="G784" s="277">
        <f>ROUND(BB64,0)</f>
        <v>218</v>
      </c>
      <c r="H784" s="277">
        <f>ROUND(BB65,0)</f>
        <v>86</v>
      </c>
      <c r="I784" s="277">
        <f>ROUND(BB66,0)</f>
        <v>0</v>
      </c>
      <c r="J784" s="277">
        <f>ROUND(BB67,0)</f>
        <v>468</v>
      </c>
      <c r="K784" s="277">
        <f>ROUND(BB68,0)</f>
        <v>0</v>
      </c>
      <c r="L784" s="277">
        <f>ROUND(BB70,0)</f>
        <v>0</v>
      </c>
      <c r="M784" s="277">
        <f>ROUND(BB71,0)</f>
        <v>99164</v>
      </c>
      <c r="N784" s="277"/>
      <c r="O784" s="277"/>
      <c r="P784" s="277">
        <f>IF(BB77&gt;0,ROUND(BB77,0),0)</f>
        <v>0</v>
      </c>
      <c r="Q784" s="277">
        <f>IF(BB78&gt;0,ROUND(BB78,0),0)</f>
        <v>7</v>
      </c>
      <c r="R784" s="277">
        <f>IF(BB79&gt;0,ROUND(BB79,0),0)</f>
        <v>0</v>
      </c>
      <c r="S784" s="277">
        <f>IF(BB80&gt;0,ROUND(BB80,0),0)</f>
        <v>0</v>
      </c>
      <c r="T784" s="280">
        <f>IF(BB81&gt;0,ROUND(BB81,2),0)</f>
        <v>0</v>
      </c>
      <c r="U784" s="277"/>
      <c r="X784" s="277"/>
      <c r="Y784" s="277"/>
      <c r="Z784" s="277"/>
    </row>
    <row r="785" spans="1:26" ht="12.65" customHeight="1" x14ac:dyDescent="0.35">
      <c r="A785" s="209" t="str">
        <f>RIGHT($C$84,3)&amp;"*"&amp;RIGHT($C$83,4)&amp;"*"&amp;BC$55&amp;"*"&amp;"A"</f>
        <v># 3*137*8370*A</v>
      </c>
      <c r="B785" s="277"/>
      <c r="C785" s="280">
        <f>ROUND(BC60,2)</f>
        <v>0</v>
      </c>
      <c r="D785" s="277">
        <f>ROUND(BC61,0)</f>
        <v>0</v>
      </c>
      <c r="E785" s="277">
        <f>ROUND(BC62,0)</f>
        <v>0</v>
      </c>
      <c r="F785" s="277">
        <f>ROUND(BC63,0)</f>
        <v>0</v>
      </c>
      <c r="G785" s="277">
        <f>ROUND(BC64,0)</f>
        <v>0</v>
      </c>
      <c r="H785" s="277">
        <f>ROUND(BC65,0)</f>
        <v>0</v>
      </c>
      <c r="I785" s="277">
        <f>ROUND(BC66,0)</f>
        <v>0</v>
      </c>
      <c r="J785" s="277">
        <f>ROUND(BC67,0)</f>
        <v>0</v>
      </c>
      <c r="K785" s="277">
        <f>ROUND(BC68,0)</f>
        <v>0</v>
      </c>
      <c r="L785" s="277">
        <f>ROUND(BC70,0)</f>
        <v>0</v>
      </c>
      <c r="M785" s="277">
        <f>ROUND(BC71,0)</f>
        <v>0</v>
      </c>
      <c r="N785" s="277"/>
      <c r="O785" s="277"/>
      <c r="P785" s="277">
        <f>IF(BC77&gt;0,ROUND(BC77,0),0)</f>
        <v>0</v>
      </c>
      <c r="Q785" s="277">
        <f>IF(BC78&gt;0,ROUND(BC78,0),0)</f>
        <v>0</v>
      </c>
      <c r="R785" s="277">
        <f>IF(BC79&gt;0,ROUND(BC79,0),0)</f>
        <v>0</v>
      </c>
      <c r="S785" s="277">
        <f>IF(BC80&gt;0,ROUND(BC80,0),0)</f>
        <v>0</v>
      </c>
      <c r="T785" s="280">
        <f>IF(BC81&gt;0,ROUND(BC81,2),0)</f>
        <v>0</v>
      </c>
      <c r="U785" s="277"/>
      <c r="X785" s="277"/>
      <c r="Y785" s="277"/>
      <c r="Z785" s="277"/>
    </row>
    <row r="786" spans="1:26" ht="12.65" customHeight="1" x14ac:dyDescent="0.35">
      <c r="A786" s="209" t="str">
        <f>RIGHT($C$84,3)&amp;"*"&amp;RIGHT($C$83,4)&amp;"*"&amp;BD$55&amp;"*"&amp;"A"</f>
        <v># 3*137*8420*A</v>
      </c>
      <c r="B786" s="277"/>
      <c r="C786" s="280">
        <f>ROUND(BD60,2)</f>
        <v>0</v>
      </c>
      <c r="D786" s="277">
        <f>ROUND(BD61,0)</f>
        <v>0</v>
      </c>
      <c r="E786" s="277">
        <f>ROUND(BD62,0)</f>
        <v>0</v>
      </c>
      <c r="F786" s="277">
        <f>ROUND(BD63,0)</f>
        <v>0</v>
      </c>
      <c r="G786" s="277">
        <f>ROUND(BD64,0)</f>
        <v>0</v>
      </c>
      <c r="H786" s="277">
        <f>ROUND(BD65,0)</f>
        <v>0</v>
      </c>
      <c r="I786" s="277">
        <f>ROUND(BD66,0)</f>
        <v>0</v>
      </c>
      <c r="J786" s="277">
        <f>ROUND(BD67,0)</f>
        <v>0</v>
      </c>
      <c r="K786" s="277">
        <f>ROUND(BD68,0)</f>
        <v>0</v>
      </c>
      <c r="L786" s="277">
        <f>ROUND(BD70,0)</f>
        <v>0</v>
      </c>
      <c r="M786" s="277">
        <f>ROUND(BD71,0)</f>
        <v>0</v>
      </c>
      <c r="N786" s="277"/>
      <c r="O786" s="277"/>
      <c r="P786" s="277">
        <f>IF(BD77&gt;0,ROUND(BD77,0),0)</f>
        <v>0</v>
      </c>
      <c r="Q786" s="277">
        <f>IF(BD78&gt;0,ROUND(BD78,0),0)</f>
        <v>0</v>
      </c>
      <c r="R786" s="277">
        <f>IF(BD79&gt;0,ROUND(BD79,0),0)</f>
        <v>0</v>
      </c>
      <c r="S786" s="277">
        <f>IF(BD80&gt;0,ROUND(BD80,0),0)</f>
        <v>0</v>
      </c>
      <c r="T786" s="280">
        <f>IF(BD81&gt;0,ROUND(BD81,2),0)</f>
        <v>0</v>
      </c>
      <c r="U786" s="277"/>
      <c r="X786" s="277"/>
      <c r="Y786" s="277"/>
      <c r="Z786" s="277"/>
    </row>
    <row r="787" spans="1:26" ht="12.65" customHeight="1" x14ac:dyDescent="0.35">
      <c r="A787" s="209" t="str">
        <f>RIGHT($C$84,3)&amp;"*"&amp;RIGHT($C$83,4)&amp;"*"&amp;BE$55&amp;"*"&amp;"A"</f>
        <v># 3*137*8430*A</v>
      </c>
      <c r="B787" s="277">
        <f>ROUND(BE59,0)</f>
        <v>41043</v>
      </c>
      <c r="C787" s="280">
        <f>ROUND(BE60,2)</f>
        <v>4.74</v>
      </c>
      <c r="D787" s="277">
        <f>ROUND(BE61,0)</f>
        <v>234899</v>
      </c>
      <c r="E787" s="277">
        <f>ROUND(BE62,0)</f>
        <v>80875</v>
      </c>
      <c r="F787" s="277">
        <f>ROUND(BE63,0)</f>
        <v>0</v>
      </c>
      <c r="G787" s="277">
        <f>ROUND(BE64,0)</f>
        <v>63515</v>
      </c>
      <c r="H787" s="277">
        <f>ROUND(BE65,0)</f>
        <v>233291</v>
      </c>
      <c r="I787" s="277">
        <f>ROUND(BE66,0)</f>
        <v>73140</v>
      </c>
      <c r="J787" s="277">
        <f>ROUND(BE67,0)</f>
        <v>24435</v>
      </c>
      <c r="K787" s="277">
        <f>ROUND(BE68,0)</f>
        <v>1001</v>
      </c>
      <c r="L787" s="277">
        <f>ROUND(BE70,0)</f>
        <v>0</v>
      </c>
      <c r="M787" s="277">
        <f>ROUND(BE71,0)</f>
        <v>714152</v>
      </c>
      <c r="N787" s="277"/>
      <c r="O787" s="277"/>
      <c r="P787" s="277">
        <f>IF(BE77&gt;0,ROUND(BE77,0),0)</f>
        <v>0</v>
      </c>
      <c r="Q787" s="277">
        <f>IF(BE78&gt;0,ROUND(BE78,0),0)</f>
        <v>0</v>
      </c>
      <c r="R787" s="277">
        <f>IF(BE79&gt;0,ROUND(BE79,0),0)</f>
        <v>0</v>
      </c>
      <c r="S787" s="277">
        <f>IF(BE80&gt;0,ROUND(BE80,0),0)</f>
        <v>0</v>
      </c>
      <c r="T787" s="280">
        <f>IF(BE81&gt;0,ROUND(BE81,2),0)</f>
        <v>0</v>
      </c>
      <c r="U787" s="277"/>
      <c r="X787" s="277"/>
      <c r="Y787" s="277"/>
      <c r="Z787" s="277"/>
    </row>
    <row r="788" spans="1:26" ht="12.65" customHeight="1" x14ac:dyDescent="0.35">
      <c r="A788" s="209" t="str">
        <f>RIGHT($C$84,3)&amp;"*"&amp;RIGHT($C$83,4)&amp;"*"&amp;BF$55&amp;"*"&amp;"A"</f>
        <v># 3*137*8460*A</v>
      </c>
      <c r="B788" s="277"/>
      <c r="C788" s="280">
        <f>ROUND(BF60,2)</f>
        <v>8.36</v>
      </c>
      <c r="D788" s="277">
        <f>ROUND(BF61,0)</f>
        <v>268877</v>
      </c>
      <c r="E788" s="277">
        <f>ROUND(BF62,0)</f>
        <v>99824</v>
      </c>
      <c r="F788" s="277">
        <f>ROUND(BF63,0)</f>
        <v>0</v>
      </c>
      <c r="G788" s="277">
        <f>ROUND(BF64,0)</f>
        <v>32498</v>
      </c>
      <c r="H788" s="277">
        <f>ROUND(BF65,0)</f>
        <v>63</v>
      </c>
      <c r="I788" s="277">
        <f>ROUND(BF66,0)</f>
        <v>1402</v>
      </c>
      <c r="J788" s="277">
        <f>ROUND(BF67,0)</f>
        <v>3846</v>
      </c>
      <c r="K788" s="277">
        <f>ROUND(BF68,0)</f>
        <v>410</v>
      </c>
      <c r="L788" s="277">
        <f>ROUND(BF70,0)</f>
        <v>0</v>
      </c>
      <c r="M788" s="277">
        <f>ROUND(BF71,0)</f>
        <v>407131</v>
      </c>
      <c r="N788" s="277"/>
      <c r="O788" s="277"/>
      <c r="P788" s="277">
        <f>IF(BF77&gt;0,ROUND(BF77,0),0)</f>
        <v>0</v>
      </c>
      <c r="Q788" s="277">
        <f>IF(BF78&gt;0,ROUND(BF78,0),0)</f>
        <v>0</v>
      </c>
      <c r="R788" s="277">
        <f>IF(BF79&gt;0,ROUND(BF79,0),0)</f>
        <v>0</v>
      </c>
      <c r="S788" s="277">
        <f>IF(BF80&gt;0,ROUND(BF80,0),0)</f>
        <v>0</v>
      </c>
      <c r="T788" s="280">
        <f>IF(BF81&gt;0,ROUND(BF81,2),0)</f>
        <v>0</v>
      </c>
      <c r="U788" s="277"/>
      <c r="X788" s="277"/>
      <c r="Y788" s="277"/>
      <c r="Z788" s="277"/>
    </row>
    <row r="789" spans="1:26" ht="12.65" customHeight="1" x14ac:dyDescent="0.35">
      <c r="A789" s="209" t="str">
        <f>RIGHT($C$84,3)&amp;"*"&amp;RIGHT($C$83,4)&amp;"*"&amp;BG$55&amp;"*"&amp;"A"</f>
        <v># 3*137*8470*A</v>
      </c>
      <c r="B789" s="277"/>
      <c r="C789" s="280">
        <f>ROUND(BG60,2)</f>
        <v>0</v>
      </c>
      <c r="D789" s="277">
        <f>ROUND(BG61,0)</f>
        <v>0</v>
      </c>
      <c r="E789" s="277">
        <f>ROUND(BG62,0)</f>
        <v>0</v>
      </c>
      <c r="F789" s="277">
        <f>ROUND(BG63,0)</f>
        <v>0</v>
      </c>
      <c r="G789" s="277">
        <f>ROUND(BG64,0)</f>
        <v>0</v>
      </c>
      <c r="H789" s="277">
        <f>ROUND(BG65,0)</f>
        <v>0</v>
      </c>
      <c r="I789" s="277">
        <f>ROUND(BG66,0)</f>
        <v>0</v>
      </c>
      <c r="J789" s="277">
        <f>ROUND(BG67,0)</f>
        <v>0</v>
      </c>
      <c r="K789" s="277">
        <f>ROUND(BG68,0)</f>
        <v>0</v>
      </c>
      <c r="L789" s="277">
        <f>ROUND(BG70,0)</f>
        <v>0</v>
      </c>
      <c r="M789" s="277">
        <f>ROUND(BG71,0)</f>
        <v>0</v>
      </c>
      <c r="N789" s="277"/>
      <c r="O789" s="277"/>
      <c r="P789" s="277">
        <f>IF(BG77&gt;0,ROUND(BG77,0),0)</f>
        <v>0</v>
      </c>
      <c r="Q789" s="277">
        <f>IF(BG78&gt;0,ROUND(BG78,0),0)</f>
        <v>0</v>
      </c>
      <c r="R789" s="277">
        <f>IF(BG79&gt;0,ROUND(BG79,0),0)</f>
        <v>0</v>
      </c>
      <c r="S789" s="277">
        <f>IF(BG80&gt;0,ROUND(BG80,0),0)</f>
        <v>0</v>
      </c>
      <c r="T789" s="280">
        <f>IF(BG81&gt;0,ROUND(BG81,2),0)</f>
        <v>0</v>
      </c>
      <c r="U789" s="277"/>
      <c r="X789" s="277"/>
      <c r="Y789" s="277"/>
      <c r="Z789" s="277"/>
    </row>
    <row r="790" spans="1:26" ht="12.65" customHeight="1" x14ac:dyDescent="0.35">
      <c r="A790" s="209" t="str">
        <f>RIGHT($C$84,3)&amp;"*"&amp;RIGHT($C$83,4)&amp;"*"&amp;BH$55&amp;"*"&amp;"A"</f>
        <v># 3*137*8480*A</v>
      </c>
      <c r="B790" s="277"/>
      <c r="C790" s="280">
        <f>ROUND(BH60,2)</f>
        <v>0</v>
      </c>
      <c r="D790" s="277">
        <f>ROUND(BH61,0)</f>
        <v>0</v>
      </c>
      <c r="E790" s="277">
        <f>ROUND(BH62,0)</f>
        <v>0</v>
      </c>
      <c r="F790" s="277">
        <f>ROUND(BH63,0)</f>
        <v>0</v>
      </c>
      <c r="G790" s="277">
        <f>ROUND(BH64,0)</f>
        <v>0</v>
      </c>
      <c r="H790" s="277">
        <f>ROUND(BH65,0)</f>
        <v>0</v>
      </c>
      <c r="I790" s="277">
        <f>ROUND(BH66,0)</f>
        <v>0</v>
      </c>
      <c r="J790" s="277">
        <f>ROUND(BH67,0)</f>
        <v>0</v>
      </c>
      <c r="K790" s="277">
        <f>ROUND(BH68,0)</f>
        <v>0</v>
      </c>
      <c r="L790" s="277">
        <f>ROUND(BH70,0)</f>
        <v>0</v>
      </c>
      <c r="M790" s="277">
        <f>ROUND(BH71,0)</f>
        <v>0</v>
      </c>
      <c r="N790" s="277"/>
      <c r="O790" s="277"/>
      <c r="P790" s="277">
        <f>IF(BH77&gt;0,ROUND(BH77,0),0)</f>
        <v>0</v>
      </c>
      <c r="Q790" s="277">
        <f>IF(BH78&gt;0,ROUND(BH78,0),0)</f>
        <v>0</v>
      </c>
      <c r="R790" s="277">
        <f>IF(BH79&gt;0,ROUND(BH79,0),0)</f>
        <v>0</v>
      </c>
      <c r="S790" s="277">
        <f>IF(BH80&gt;0,ROUND(BH80,0),0)</f>
        <v>0</v>
      </c>
      <c r="T790" s="280">
        <f>IF(BH81&gt;0,ROUND(BH81,2),0)</f>
        <v>0</v>
      </c>
      <c r="U790" s="277"/>
      <c r="X790" s="277"/>
      <c r="Y790" s="277"/>
      <c r="Z790" s="277"/>
    </row>
    <row r="791" spans="1:26" ht="12.65" customHeight="1" x14ac:dyDescent="0.35">
      <c r="A791" s="209" t="str">
        <f>RIGHT($C$84,3)&amp;"*"&amp;RIGHT($C$83,4)&amp;"*"&amp;BI$55&amp;"*"&amp;"A"</f>
        <v># 3*137*8490*A</v>
      </c>
      <c r="B791" s="277"/>
      <c r="C791" s="280">
        <f>ROUND(BI60,2)</f>
        <v>0</v>
      </c>
      <c r="D791" s="277">
        <f>ROUND(BI61,0)</f>
        <v>0</v>
      </c>
      <c r="E791" s="277">
        <f>ROUND(BI62,0)</f>
        <v>0</v>
      </c>
      <c r="F791" s="277">
        <f>ROUND(BI63,0)</f>
        <v>0</v>
      </c>
      <c r="G791" s="277">
        <f>ROUND(BI64,0)</f>
        <v>0</v>
      </c>
      <c r="H791" s="277">
        <f>ROUND(BI65,0)</f>
        <v>0</v>
      </c>
      <c r="I791" s="277">
        <f>ROUND(BI66,0)</f>
        <v>0</v>
      </c>
      <c r="J791" s="277">
        <f>ROUND(BI67,0)</f>
        <v>0</v>
      </c>
      <c r="K791" s="277">
        <f>ROUND(BI68,0)</f>
        <v>0</v>
      </c>
      <c r="L791" s="277">
        <f>ROUND(BI70,0)</f>
        <v>0</v>
      </c>
      <c r="M791" s="277">
        <f>ROUND(BI71,0)</f>
        <v>0</v>
      </c>
      <c r="N791" s="277"/>
      <c r="O791" s="277"/>
      <c r="P791" s="277">
        <f>IF(BI77&gt;0,ROUND(BI77,0),0)</f>
        <v>0</v>
      </c>
      <c r="Q791" s="277">
        <f>IF(BI78&gt;0,ROUND(BI78,0),0)</f>
        <v>0</v>
      </c>
      <c r="R791" s="277">
        <f>IF(BI79&gt;0,ROUND(BI79,0),0)</f>
        <v>0</v>
      </c>
      <c r="S791" s="277">
        <f>IF(BI80&gt;0,ROUND(BI80,0),0)</f>
        <v>0</v>
      </c>
      <c r="T791" s="280">
        <f>IF(BI81&gt;0,ROUND(BI81,2),0)</f>
        <v>0</v>
      </c>
      <c r="U791" s="277"/>
      <c r="X791" s="277"/>
      <c r="Y791" s="277"/>
      <c r="Z791" s="277"/>
    </row>
    <row r="792" spans="1:26" ht="12.65" customHeight="1" x14ac:dyDescent="0.35">
      <c r="A792" s="209" t="str">
        <f>RIGHT($C$84,3)&amp;"*"&amp;RIGHT($C$83,4)&amp;"*"&amp;BJ$55&amp;"*"&amp;"A"</f>
        <v># 3*137*8510*A</v>
      </c>
      <c r="B792" s="277"/>
      <c r="C792" s="280">
        <f>ROUND(BJ60,2)</f>
        <v>3.05</v>
      </c>
      <c r="D792" s="277">
        <f>ROUND(BJ61,0)</f>
        <v>273997</v>
      </c>
      <c r="E792" s="277">
        <f>ROUND(BJ62,0)</f>
        <v>75496</v>
      </c>
      <c r="F792" s="277">
        <f>ROUND(BJ63,0)</f>
        <v>60548</v>
      </c>
      <c r="G792" s="277">
        <f>ROUND(BJ64,0)</f>
        <v>3166</v>
      </c>
      <c r="H792" s="277">
        <f>ROUND(BJ65,0)</f>
        <v>120</v>
      </c>
      <c r="I792" s="277">
        <f>ROUND(BJ66,0)</f>
        <v>70</v>
      </c>
      <c r="J792" s="277">
        <f>ROUND(BJ67,0)</f>
        <v>0</v>
      </c>
      <c r="K792" s="277">
        <f>ROUND(BJ68,0)</f>
        <v>0</v>
      </c>
      <c r="L792" s="277">
        <f>ROUND(BJ70,0)</f>
        <v>0</v>
      </c>
      <c r="M792" s="277">
        <f>ROUND(BJ71,0)</f>
        <v>413708</v>
      </c>
      <c r="N792" s="277"/>
      <c r="O792" s="277"/>
      <c r="P792" s="277">
        <f>IF(BJ77&gt;0,ROUND(BJ77,0),0)</f>
        <v>0</v>
      </c>
      <c r="Q792" s="277">
        <f>IF(BJ78&gt;0,ROUND(BJ78,0),0)</f>
        <v>0</v>
      </c>
      <c r="R792" s="277">
        <f>IF(BJ79&gt;0,ROUND(BJ79,0),0)</f>
        <v>0</v>
      </c>
      <c r="S792" s="277">
        <f>IF(BJ80&gt;0,ROUND(BJ80,0),0)</f>
        <v>0</v>
      </c>
      <c r="T792" s="280">
        <f>IF(BJ81&gt;0,ROUND(BJ81,2),0)</f>
        <v>0</v>
      </c>
      <c r="U792" s="277"/>
      <c r="X792" s="277"/>
      <c r="Y792" s="277"/>
      <c r="Z792" s="277"/>
    </row>
    <row r="793" spans="1:26" ht="12.65" customHeight="1" x14ac:dyDescent="0.35">
      <c r="A793" s="209" t="str">
        <f>RIGHT($C$84,3)&amp;"*"&amp;RIGHT($C$83,4)&amp;"*"&amp;BK$55&amp;"*"&amp;"A"</f>
        <v># 3*137*8530*A</v>
      </c>
      <c r="B793" s="277"/>
      <c r="C793" s="280">
        <f>ROUND(BK60,2)</f>
        <v>4.96</v>
      </c>
      <c r="D793" s="277">
        <f>ROUND(BK61,0)</f>
        <v>260495</v>
      </c>
      <c r="E793" s="277">
        <f>ROUND(BK62,0)</f>
        <v>84486</v>
      </c>
      <c r="F793" s="277">
        <f>ROUND(BK63,0)</f>
        <v>-1444</v>
      </c>
      <c r="G793" s="277">
        <f>ROUND(BK64,0)</f>
        <v>7194</v>
      </c>
      <c r="H793" s="277">
        <f>ROUND(BK65,0)</f>
        <v>951</v>
      </c>
      <c r="I793" s="277">
        <f>ROUND(BK66,0)</f>
        <v>315186</v>
      </c>
      <c r="J793" s="277">
        <f>ROUND(BK67,0)</f>
        <v>3157</v>
      </c>
      <c r="K793" s="277">
        <f>ROUND(BK68,0)</f>
        <v>8728</v>
      </c>
      <c r="L793" s="277">
        <f>ROUND(BK70,0)</f>
        <v>500</v>
      </c>
      <c r="M793" s="277">
        <f>ROUND(BK71,0)</f>
        <v>680656</v>
      </c>
      <c r="N793" s="277"/>
      <c r="O793" s="277"/>
      <c r="P793" s="277">
        <f>IF(BK77&gt;0,ROUND(BK77,0),0)</f>
        <v>0</v>
      </c>
      <c r="Q793" s="277">
        <f>IF(BK78&gt;0,ROUND(BK78,0),0)</f>
        <v>52</v>
      </c>
      <c r="R793" s="277">
        <f>IF(BK79&gt;0,ROUND(BK79,0),0)</f>
        <v>0</v>
      </c>
      <c r="S793" s="277">
        <f>IF(BK80&gt;0,ROUND(BK80,0),0)</f>
        <v>0</v>
      </c>
      <c r="T793" s="280">
        <f>IF(BK81&gt;0,ROUND(BK81,2),0)</f>
        <v>0</v>
      </c>
      <c r="U793" s="277"/>
      <c r="X793" s="277"/>
      <c r="Y793" s="277"/>
      <c r="Z793" s="277"/>
    </row>
    <row r="794" spans="1:26" ht="12.65" customHeight="1" x14ac:dyDescent="0.35">
      <c r="A794" s="209" t="str">
        <f>RIGHT($C$84,3)&amp;"*"&amp;RIGHT($C$83,4)&amp;"*"&amp;BL$55&amp;"*"&amp;"A"</f>
        <v># 3*137*8560*A</v>
      </c>
      <c r="B794" s="277"/>
      <c r="C794" s="280">
        <f>ROUND(BL60,2)</f>
        <v>14.35</v>
      </c>
      <c r="D794" s="277">
        <f>ROUND(BL61,0)</f>
        <v>504614</v>
      </c>
      <c r="E794" s="277">
        <f>ROUND(BL62,0)</f>
        <v>176280</v>
      </c>
      <c r="F794" s="277">
        <f>ROUND(BL63,0)</f>
        <v>0</v>
      </c>
      <c r="G794" s="277">
        <f>ROUND(BL64,0)</f>
        <v>20264</v>
      </c>
      <c r="H794" s="277">
        <f>ROUND(BL65,0)</f>
        <v>287</v>
      </c>
      <c r="I794" s="277">
        <f>ROUND(BL66,0)</f>
        <v>0</v>
      </c>
      <c r="J794" s="277">
        <f>ROUND(BL67,0)</f>
        <v>1321</v>
      </c>
      <c r="K794" s="277">
        <f>ROUND(BL68,0)</f>
        <v>0</v>
      </c>
      <c r="L794" s="277">
        <f>ROUND(BL70,0)</f>
        <v>0</v>
      </c>
      <c r="M794" s="277">
        <f>ROUND(BL71,0)</f>
        <v>702819</v>
      </c>
      <c r="N794" s="277"/>
      <c r="O794" s="277"/>
      <c r="P794" s="277">
        <f>IF(BL77&gt;0,ROUND(BL77,0),0)</f>
        <v>0</v>
      </c>
      <c r="Q794" s="277">
        <f>IF(BL78&gt;0,ROUND(BL78,0),0)</f>
        <v>36</v>
      </c>
      <c r="R794" s="277">
        <f>IF(BL79&gt;0,ROUND(BL79,0),0)</f>
        <v>0</v>
      </c>
      <c r="S794" s="277">
        <f>IF(BL80&gt;0,ROUND(BL80,0),0)</f>
        <v>0</v>
      </c>
      <c r="T794" s="280">
        <f>IF(BL81&gt;0,ROUND(BL81,2),0)</f>
        <v>0</v>
      </c>
      <c r="U794" s="277"/>
      <c r="X794" s="277"/>
      <c r="Y794" s="277"/>
      <c r="Z794" s="277"/>
    </row>
    <row r="795" spans="1:26" ht="12.65" customHeight="1" x14ac:dyDescent="0.35">
      <c r="A795" s="209" t="str">
        <f>RIGHT($C$84,3)&amp;"*"&amp;RIGHT($C$83,4)&amp;"*"&amp;BM$55&amp;"*"&amp;"A"</f>
        <v># 3*137*8590*A</v>
      </c>
      <c r="B795" s="277"/>
      <c r="C795" s="280">
        <f>ROUND(BM60,2)</f>
        <v>4.07</v>
      </c>
      <c r="D795" s="277">
        <f>ROUND(BM61,0)</f>
        <v>160755</v>
      </c>
      <c r="E795" s="277">
        <f>ROUND(BM62,0)</f>
        <v>46704</v>
      </c>
      <c r="F795" s="277">
        <f>ROUND(BM63,0)</f>
        <v>0</v>
      </c>
      <c r="G795" s="277">
        <f>ROUND(BM64,0)</f>
        <v>2209</v>
      </c>
      <c r="H795" s="277">
        <f>ROUND(BM65,0)</f>
        <v>66</v>
      </c>
      <c r="I795" s="277">
        <f>ROUND(BM66,0)</f>
        <v>0</v>
      </c>
      <c r="J795" s="277">
        <f>ROUND(BM67,0)</f>
        <v>0</v>
      </c>
      <c r="K795" s="277">
        <f>ROUND(BM68,0)</f>
        <v>0</v>
      </c>
      <c r="L795" s="277">
        <f>ROUND(BM70,0)</f>
        <v>0</v>
      </c>
      <c r="M795" s="277">
        <f>ROUND(BM71,0)</f>
        <v>210785</v>
      </c>
      <c r="N795" s="277"/>
      <c r="O795" s="277"/>
      <c r="P795" s="277">
        <f>IF(BM77&gt;0,ROUND(BM77,0),0)</f>
        <v>0</v>
      </c>
      <c r="Q795" s="277">
        <f>IF(BM78&gt;0,ROUND(BM78,0),0)</f>
        <v>0</v>
      </c>
      <c r="R795" s="277">
        <f>IF(BM79&gt;0,ROUND(BM79,0),0)</f>
        <v>0</v>
      </c>
      <c r="S795" s="277">
        <f>IF(BM80&gt;0,ROUND(BM80,0),0)</f>
        <v>0</v>
      </c>
      <c r="T795" s="280">
        <f>IF(BM81&gt;0,ROUND(BM81,2),0)</f>
        <v>0</v>
      </c>
      <c r="U795" s="277"/>
      <c r="X795" s="277"/>
      <c r="Y795" s="277"/>
      <c r="Z795" s="277"/>
    </row>
    <row r="796" spans="1:26" ht="12.65" customHeight="1" x14ac:dyDescent="0.35">
      <c r="A796" s="209" t="str">
        <f>RIGHT($C$84,3)&amp;"*"&amp;RIGHT($C$83,4)&amp;"*"&amp;BN$55&amp;"*"&amp;"A"</f>
        <v># 3*137*8610*A</v>
      </c>
      <c r="B796" s="277"/>
      <c r="C796" s="280">
        <f>ROUND(BN60,2)</f>
        <v>9.89</v>
      </c>
      <c r="D796" s="277">
        <f>ROUND(BN61,0)</f>
        <v>822292</v>
      </c>
      <c r="E796" s="277">
        <f>ROUND(BN62,0)</f>
        <v>313680</v>
      </c>
      <c r="F796" s="277">
        <f>ROUND(BN63,0)</f>
        <v>50664</v>
      </c>
      <c r="G796" s="277">
        <f>ROUND(BN64,0)</f>
        <v>40334</v>
      </c>
      <c r="H796" s="277">
        <f>ROUND(BN65,0)</f>
        <v>83522</v>
      </c>
      <c r="I796" s="277">
        <f>ROUND(BN66,0)</f>
        <v>770608</v>
      </c>
      <c r="J796" s="277">
        <f>ROUND(BN67,0)</f>
        <v>40442</v>
      </c>
      <c r="K796" s="277">
        <f>ROUND(BN68,0)</f>
        <v>0</v>
      </c>
      <c r="L796" s="277">
        <f>ROUND(BN70,0)</f>
        <v>17</v>
      </c>
      <c r="M796" s="277">
        <f>ROUND(BN71,0)</f>
        <v>2121525</v>
      </c>
      <c r="N796" s="277"/>
      <c r="O796" s="277"/>
      <c r="P796" s="277">
        <f>IF(BN77&gt;0,ROUND(BN77,0),0)</f>
        <v>0</v>
      </c>
      <c r="Q796" s="277">
        <f>IF(BN78&gt;0,ROUND(BN78,0),0)</f>
        <v>0</v>
      </c>
      <c r="R796" s="277">
        <f>IF(BN79&gt;0,ROUND(BN79,0),0)</f>
        <v>0</v>
      </c>
      <c r="S796" s="277">
        <f>IF(BN80&gt;0,ROUND(BN80,0),0)</f>
        <v>0</v>
      </c>
      <c r="T796" s="280">
        <f>IF(BN81&gt;0,ROUND(BN81,2),0)</f>
        <v>0</v>
      </c>
      <c r="U796" s="277"/>
      <c r="X796" s="277"/>
      <c r="Y796" s="277"/>
      <c r="Z796" s="277"/>
    </row>
    <row r="797" spans="1:26" ht="12.65" customHeight="1" x14ac:dyDescent="0.35">
      <c r="A797" s="209" t="str">
        <f>RIGHT($C$84,3)&amp;"*"&amp;RIGHT($C$83,4)&amp;"*"&amp;BO$55&amp;"*"&amp;"A"</f>
        <v># 3*137*8620*A</v>
      </c>
      <c r="B797" s="277"/>
      <c r="C797" s="280">
        <f>ROUND(BO60,2)</f>
        <v>0</v>
      </c>
      <c r="D797" s="277">
        <f>ROUND(BO61,0)</f>
        <v>0</v>
      </c>
      <c r="E797" s="277">
        <f>ROUND(BO62,0)</f>
        <v>0</v>
      </c>
      <c r="F797" s="277">
        <f>ROUND(BO63,0)</f>
        <v>0</v>
      </c>
      <c r="G797" s="277">
        <f>ROUND(BO64,0)</f>
        <v>0</v>
      </c>
      <c r="H797" s="277">
        <f>ROUND(BO65,0)</f>
        <v>0</v>
      </c>
      <c r="I797" s="277">
        <f>ROUND(BO66,0)</f>
        <v>0</v>
      </c>
      <c r="J797" s="277">
        <f>ROUND(BO67,0)</f>
        <v>0</v>
      </c>
      <c r="K797" s="277">
        <f>ROUND(BO68,0)</f>
        <v>0</v>
      </c>
      <c r="L797" s="277">
        <f>ROUND(BO70,0)</f>
        <v>0</v>
      </c>
      <c r="M797" s="277">
        <f>ROUND(BO71,0)</f>
        <v>0</v>
      </c>
      <c r="N797" s="277"/>
      <c r="O797" s="277"/>
      <c r="P797" s="277">
        <f>IF(BO77&gt;0,ROUND(BO77,0),0)</f>
        <v>0</v>
      </c>
      <c r="Q797" s="277">
        <f>IF(BO78&gt;0,ROUND(BO78,0),0)</f>
        <v>0</v>
      </c>
      <c r="R797" s="277">
        <f>IF(BO79&gt;0,ROUND(BO79,0),0)</f>
        <v>0</v>
      </c>
      <c r="S797" s="277">
        <f>IF(BO80&gt;0,ROUND(BO80,0),0)</f>
        <v>0</v>
      </c>
      <c r="T797" s="280">
        <f>IF(BO81&gt;0,ROUND(BO81,2),0)</f>
        <v>0</v>
      </c>
      <c r="U797" s="277"/>
      <c r="X797" s="277"/>
      <c r="Y797" s="277"/>
      <c r="Z797" s="277"/>
    </row>
    <row r="798" spans="1:26" ht="12.65" customHeight="1" x14ac:dyDescent="0.35">
      <c r="A798" s="209" t="str">
        <f>RIGHT($C$84,3)&amp;"*"&amp;RIGHT($C$83,4)&amp;"*"&amp;BP$55&amp;"*"&amp;"A"</f>
        <v># 3*137*8630*A</v>
      </c>
      <c r="B798" s="277"/>
      <c r="C798" s="280">
        <f>ROUND(BP60,2)</f>
        <v>0</v>
      </c>
      <c r="D798" s="277">
        <f>ROUND(BP61,0)</f>
        <v>0</v>
      </c>
      <c r="E798" s="277">
        <f>ROUND(BP62,0)</f>
        <v>0</v>
      </c>
      <c r="F798" s="277">
        <f>ROUND(BP63,0)</f>
        <v>0</v>
      </c>
      <c r="G798" s="277">
        <f>ROUND(BP64,0)</f>
        <v>0</v>
      </c>
      <c r="H798" s="277">
        <f>ROUND(BP65,0)</f>
        <v>0</v>
      </c>
      <c r="I798" s="277">
        <f>ROUND(BP66,0)</f>
        <v>0</v>
      </c>
      <c r="J798" s="277">
        <f>ROUND(BP67,0)</f>
        <v>0</v>
      </c>
      <c r="K798" s="277">
        <f>ROUND(BP68,0)</f>
        <v>0</v>
      </c>
      <c r="L798" s="277">
        <f>ROUND(BP70,0)</f>
        <v>0</v>
      </c>
      <c r="M798" s="277">
        <f>ROUND(BP71,0)</f>
        <v>0</v>
      </c>
      <c r="N798" s="277"/>
      <c r="O798" s="277"/>
      <c r="P798" s="277">
        <f>IF(BP77&gt;0,ROUND(BP77,0),0)</f>
        <v>0</v>
      </c>
      <c r="Q798" s="277">
        <f>IF(BP78&gt;0,ROUND(BP78,0),0)</f>
        <v>0</v>
      </c>
      <c r="R798" s="277">
        <f>IF(BP79&gt;0,ROUND(BP79,0),0)</f>
        <v>0</v>
      </c>
      <c r="S798" s="277">
        <f>IF(BP80&gt;0,ROUND(BP80,0),0)</f>
        <v>0</v>
      </c>
      <c r="T798" s="280">
        <f>IF(BP81&gt;0,ROUND(BP81,2),0)</f>
        <v>0</v>
      </c>
      <c r="U798" s="277"/>
      <c r="X798" s="277"/>
      <c r="Y798" s="277"/>
      <c r="Z798" s="277"/>
    </row>
    <row r="799" spans="1:26" ht="12.65" customHeight="1" x14ac:dyDescent="0.35">
      <c r="A799" s="209" t="str">
        <f>RIGHT($C$84,3)&amp;"*"&amp;RIGHT($C$83,4)&amp;"*"&amp;BQ$55&amp;"*"&amp;"A"</f>
        <v># 3*137*8640*A</v>
      </c>
      <c r="B799" s="277"/>
      <c r="C799" s="280">
        <f>ROUND(BQ60,2)</f>
        <v>0</v>
      </c>
      <c r="D799" s="277">
        <f>ROUND(BQ61,0)</f>
        <v>0</v>
      </c>
      <c r="E799" s="277">
        <f>ROUND(BQ62,0)</f>
        <v>0</v>
      </c>
      <c r="F799" s="277">
        <f>ROUND(BQ63,0)</f>
        <v>0</v>
      </c>
      <c r="G799" s="277">
        <f>ROUND(BQ64,0)</f>
        <v>0</v>
      </c>
      <c r="H799" s="277">
        <f>ROUND(BQ65,0)</f>
        <v>0</v>
      </c>
      <c r="I799" s="277">
        <f>ROUND(BQ66,0)</f>
        <v>0</v>
      </c>
      <c r="J799" s="277">
        <f>ROUND(BQ67,0)</f>
        <v>0</v>
      </c>
      <c r="K799" s="277">
        <f>ROUND(BQ68,0)</f>
        <v>0</v>
      </c>
      <c r="L799" s="277">
        <f>ROUND(BQ70,0)</f>
        <v>0</v>
      </c>
      <c r="M799" s="277">
        <f>ROUND(BQ71,0)</f>
        <v>0</v>
      </c>
      <c r="N799" s="277"/>
      <c r="O799" s="277"/>
      <c r="P799" s="277">
        <f>IF(BQ77&gt;0,ROUND(BQ77,0),0)</f>
        <v>0</v>
      </c>
      <c r="Q799" s="277">
        <f>IF(BQ78&gt;0,ROUND(BQ78,0),0)</f>
        <v>0</v>
      </c>
      <c r="R799" s="277">
        <f>IF(BQ79&gt;0,ROUND(BQ79,0),0)</f>
        <v>0</v>
      </c>
      <c r="S799" s="277">
        <f>IF(BQ80&gt;0,ROUND(BQ80,0),0)</f>
        <v>0</v>
      </c>
      <c r="T799" s="280">
        <f>IF(BQ81&gt;0,ROUND(BQ81,2),0)</f>
        <v>0</v>
      </c>
      <c r="U799" s="277"/>
      <c r="X799" s="277"/>
      <c r="Y799" s="277"/>
      <c r="Z799" s="277"/>
    </row>
    <row r="800" spans="1:26" ht="12.65" customHeight="1" x14ac:dyDescent="0.35">
      <c r="A800" s="209" t="str">
        <f>RIGHT($C$84,3)&amp;"*"&amp;RIGHT($C$83,4)&amp;"*"&amp;BR$55&amp;"*"&amp;"A"</f>
        <v># 3*137*8650*A</v>
      </c>
      <c r="B800" s="277"/>
      <c r="C800" s="280">
        <f>ROUND(BR60,2)</f>
        <v>2.04</v>
      </c>
      <c r="D800" s="277">
        <f>ROUND(BR61,0)</f>
        <v>135906</v>
      </c>
      <c r="E800" s="277">
        <f>ROUND(BR62,0)</f>
        <v>41532</v>
      </c>
      <c r="F800" s="277">
        <f>ROUND(BR63,0)</f>
        <v>8279</v>
      </c>
      <c r="G800" s="277">
        <f>ROUND(BR64,0)</f>
        <v>2711</v>
      </c>
      <c r="H800" s="277">
        <f>ROUND(BR65,0)</f>
        <v>457</v>
      </c>
      <c r="I800" s="277">
        <f>ROUND(BR66,0)</f>
        <v>93807</v>
      </c>
      <c r="J800" s="277">
        <f>ROUND(BR67,0)</f>
        <v>0</v>
      </c>
      <c r="K800" s="277">
        <f>ROUND(BR68,0)</f>
        <v>175</v>
      </c>
      <c r="L800" s="277">
        <f>ROUND(BR70,0)</f>
        <v>1100</v>
      </c>
      <c r="M800" s="277">
        <f>ROUND(BR71,0)</f>
        <v>287222</v>
      </c>
      <c r="N800" s="277"/>
      <c r="O800" s="277"/>
      <c r="P800" s="277">
        <f>IF(BR77&gt;0,ROUND(BR77,0),0)</f>
        <v>0</v>
      </c>
      <c r="Q800" s="277">
        <f>IF(BR78&gt;0,ROUND(BR78,0),0)</f>
        <v>0</v>
      </c>
      <c r="R800" s="277">
        <f>IF(BR79&gt;0,ROUND(BR79,0),0)</f>
        <v>0</v>
      </c>
      <c r="S800" s="277">
        <f>IF(BR80&gt;0,ROUND(BR80,0),0)</f>
        <v>0</v>
      </c>
      <c r="T800" s="280">
        <f>IF(BR81&gt;0,ROUND(BR81,2),0)</f>
        <v>0</v>
      </c>
      <c r="U800" s="277"/>
      <c r="X800" s="277"/>
      <c r="Y800" s="277"/>
      <c r="Z800" s="277"/>
    </row>
    <row r="801" spans="1:26" ht="12.65" customHeight="1" x14ac:dyDescent="0.35">
      <c r="A801" s="209" t="str">
        <f>RIGHT($C$84,3)&amp;"*"&amp;RIGHT($C$83,4)&amp;"*"&amp;BS$55&amp;"*"&amp;"A"</f>
        <v># 3*137*8660*A</v>
      </c>
      <c r="B801" s="277"/>
      <c r="C801" s="280">
        <f>ROUND(BS60,2)</f>
        <v>0</v>
      </c>
      <c r="D801" s="277">
        <f>ROUND(BS61,0)</f>
        <v>0</v>
      </c>
      <c r="E801" s="277">
        <f>ROUND(BS62,0)</f>
        <v>0</v>
      </c>
      <c r="F801" s="277">
        <f>ROUND(BS63,0)</f>
        <v>0</v>
      </c>
      <c r="G801" s="277">
        <f>ROUND(BS64,0)</f>
        <v>0</v>
      </c>
      <c r="H801" s="277">
        <f>ROUND(BS65,0)</f>
        <v>0</v>
      </c>
      <c r="I801" s="277">
        <f>ROUND(BS66,0)</f>
        <v>0</v>
      </c>
      <c r="J801" s="277">
        <f>ROUND(BS67,0)</f>
        <v>0</v>
      </c>
      <c r="K801" s="277">
        <f>ROUND(BS68,0)</f>
        <v>0</v>
      </c>
      <c r="L801" s="277">
        <f>ROUND(BS70,0)</f>
        <v>0</v>
      </c>
      <c r="M801" s="277">
        <f>ROUND(BS71,0)</f>
        <v>0</v>
      </c>
      <c r="N801" s="277"/>
      <c r="O801" s="277"/>
      <c r="P801" s="277">
        <f>IF(BS77&gt;0,ROUND(BS77,0),0)</f>
        <v>0</v>
      </c>
      <c r="Q801" s="277">
        <f>IF(BS78&gt;0,ROUND(BS78,0),0)</f>
        <v>0</v>
      </c>
      <c r="R801" s="277">
        <f>IF(BS79&gt;0,ROUND(BS79,0),0)</f>
        <v>0</v>
      </c>
      <c r="S801" s="277">
        <f>IF(BS80&gt;0,ROUND(BS80,0),0)</f>
        <v>0</v>
      </c>
      <c r="T801" s="280">
        <f>IF(BS81&gt;0,ROUND(BS81,2),0)</f>
        <v>0</v>
      </c>
      <c r="U801" s="277"/>
      <c r="X801" s="277"/>
      <c r="Y801" s="277"/>
      <c r="Z801" s="277"/>
    </row>
    <row r="802" spans="1:26" ht="12.65" customHeight="1" x14ac:dyDescent="0.35">
      <c r="A802" s="209" t="str">
        <f>RIGHT($C$84,3)&amp;"*"&amp;RIGHT($C$83,4)&amp;"*"&amp;BT$55&amp;"*"&amp;"A"</f>
        <v># 3*137*8670*A</v>
      </c>
      <c r="B802" s="277"/>
      <c r="C802" s="280">
        <f>ROUND(BT60,2)</f>
        <v>0</v>
      </c>
      <c r="D802" s="277">
        <f>ROUND(BT61,0)</f>
        <v>0</v>
      </c>
      <c r="E802" s="277">
        <f>ROUND(BT62,0)</f>
        <v>0</v>
      </c>
      <c r="F802" s="277">
        <f>ROUND(BT63,0)</f>
        <v>0</v>
      </c>
      <c r="G802" s="277">
        <f>ROUND(BT64,0)</f>
        <v>0</v>
      </c>
      <c r="H802" s="277">
        <f>ROUND(BT65,0)</f>
        <v>0</v>
      </c>
      <c r="I802" s="277">
        <f>ROUND(BT66,0)</f>
        <v>0</v>
      </c>
      <c r="J802" s="277">
        <f>ROUND(BT67,0)</f>
        <v>0</v>
      </c>
      <c r="K802" s="277">
        <f>ROUND(BT68,0)</f>
        <v>0</v>
      </c>
      <c r="L802" s="277">
        <f>ROUND(BT70,0)</f>
        <v>0</v>
      </c>
      <c r="M802" s="277">
        <f>ROUND(BT71,0)</f>
        <v>0</v>
      </c>
      <c r="N802" s="277"/>
      <c r="O802" s="277"/>
      <c r="P802" s="277">
        <f>IF(BT77&gt;0,ROUND(BT77,0),0)</f>
        <v>0</v>
      </c>
      <c r="Q802" s="277">
        <f>IF(BT78&gt;0,ROUND(BT78,0),0)</f>
        <v>0</v>
      </c>
      <c r="R802" s="277">
        <f>IF(BT79&gt;0,ROUND(BT79,0),0)</f>
        <v>0</v>
      </c>
      <c r="S802" s="277">
        <f>IF(BT80&gt;0,ROUND(BT80,0),0)</f>
        <v>0</v>
      </c>
      <c r="T802" s="280">
        <f>IF(BT81&gt;0,ROUND(BT81,2),0)</f>
        <v>0</v>
      </c>
      <c r="U802" s="277"/>
      <c r="X802" s="277"/>
      <c r="Y802" s="277"/>
      <c r="Z802" s="277"/>
    </row>
    <row r="803" spans="1:26" ht="12.65" customHeight="1" x14ac:dyDescent="0.35">
      <c r="A803" s="209" t="str">
        <f>RIGHT($C$84,3)&amp;"*"&amp;RIGHT($C$83,4)&amp;"*"&amp;BU$55&amp;"*"&amp;"A"</f>
        <v># 3*137*8680*A</v>
      </c>
      <c r="B803" s="277"/>
      <c r="C803" s="280">
        <f>ROUND(BU60,2)</f>
        <v>0</v>
      </c>
      <c r="D803" s="277">
        <f>ROUND(BU61,0)</f>
        <v>0</v>
      </c>
      <c r="E803" s="277">
        <f>ROUND(BU62,0)</f>
        <v>0</v>
      </c>
      <c r="F803" s="277">
        <f>ROUND(BU63,0)</f>
        <v>0</v>
      </c>
      <c r="G803" s="277">
        <f>ROUND(BU64,0)</f>
        <v>0</v>
      </c>
      <c r="H803" s="277">
        <f>ROUND(BU65,0)</f>
        <v>0</v>
      </c>
      <c r="I803" s="277">
        <f>ROUND(BU66,0)</f>
        <v>0</v>
      </c>
      <c r="J803" s="277">
        <f>ROUND(BU67,0)</f>
        <v>0</v>
      </c>
      <c r="K803" s="277">
        <f>ROUND(BU68,0)</f>
        <v>0</v>
      </c>
      <c r="L803" s="277">
        <f>ROUND(BU70,0)</f>
        <v>0</v>
      </c>
      <c r="M803" s="277">
        <f>ROUND(BU71,0)</f>
        <v>0</v>
      </c>
      <c r="N803" s="277"/>
      <c r="O803" s="277"/>
      <c r="P803" s="277">
        <f>IF(BU77&gt;0,ROUND(BU77,0),0)</f>
        <v>0</v>
      </c>
      <c r="Q803" s="277">
        <f>IF(BU78&gt;0,ROUND(BU78,0),0)</f>
        <v>0</v>
      </c>
      <c r="R803" s="277">
        <f>IF(BU79&gt;0,ROUND(BU79,0),0)</f>
        <v>0</v>
      </c>
      <c r="S803" s="277">
        <f>IF(BU80&gt;0,ROUND(BU80,0),0)</f>
        <v>0</v>
      </c>
      <c r="T803" s="280">
        <f>IF(BU81&gt;0,ROUND(BU81,2),0)</f>
        <v>0</v>
      </c>
      <c r="U803" s="277"/>
      <c r="X803" s="277"/>
      <c r="Y803" s="277"/>
      <c r="Z803" s="277"/>
    </row>
    <row r="804" spans="1:26" ht="12.65" customHeight="1" x14ac:dyDescent="0.35">
      <c r="A804" s="209" t="str">
        <f>RIGHT($C$84,3)&amp;"*"&amp;RIGHT($C$83,4)&amp;"*"&amp;BV$55&amp;"*"&amp;"A"</f>
        <v># 3*137*8690*A</v>
      </c>
      <c r="B804" s="277"/>
      <c r="C804" s="280">
        <f>ROUND(BV60,2)</f>
        <v>4.1500000000000004</v>
      </c>
      <c r="D804" s="277">
        <f>ROUND(BV61,0)</f>
        <v>199833</v>
      </c>
      <c r="E804" s="277">
        <f>ROUND(BV62,0)</f>
        <v>61918</v>
      </c>
      <c r="F804" s="277">
        <f>ROUND(BV63,0)</f>
        <v>70230</v>
      </c>
      <c r="G804" s="277">
        <f>ROUND(BV64,0)</f>
        <v>4909</v>
      </c>
      <c r="H804" s="277">
        <f>ROUND(BV65,0)</f>
        <v>1093</v>
      </c>
      <c r="I804" s="277">
        <f>ROUND(BV66,0)</f>
        <v>34987</v>
      </c>
      <c r="J804" s="277">
        <f>ROUND(BV67,0)</f>
        <v>1339</v>
      </c>
      <c r="K804" s="277">
        <f>ROUND(BV68,0)</f>
        <v>3300</v>
      </c>
      <c r="L804" s="277">
        <f>ROUND(BV70,0)</f>
        <v>2077</v>
      </c>
      <c r="M804" s="277">
        <f>ROUND(BV71,0)</f>
        <v>377764</v>
      </c>
      <c r="N804" s="277"/>
      <c r="O804" s="277"/>
      <c r="P804" s="277">
        <f>IF(BV77&gt;0,ROUND(BV77,0),0)</f>
        <v>0</v>
      </c>
      <c r="Q804" s="277">
        <f>IF(BV78&gt;0,ROUND(BV78,0),0)</f>
        <v>0</v>
      </c>
      <c r="R804" s="277">
        <f>IF(BV79&gt;0,ROUND(BV79,0),0)</f>
        <v>0</v>
      </c>
      <c r="S804" s="277">
        <f>IF(BV80&gt;0,ROUND(BV80,0),0)</f>
        <v>0</v>
      </c>
      <c r="T804" s="280">
        <f>IF(BV81&gt;0,ROUND(BV81,2),0)</f>
        <v>0</v>
      </c>
      <c r="U804" s="277"/>
      <c r="X804" s="277"/>
      <c r="Y804" s="277"/>
      <c r="Z804" s="277"/>
    </row>
    <row r="805" spans="1:26" ht="12.65" customHeight="1" x14ac:dyDescent="0.35">
      <c r="A805" s="209" t="str">
        <f>RIGHT($C$84,3)&amp;"*"&amp;RIGHT($C$83,4)&amp;"*"&amp;BW$55&amp;"*"&amp;"A"</f>
        <v># 3*137*8700*A</v>
      </c>
      <c r="B805" s="277"/>
      <c r="C805" s="280">
        <f>ROUND(BW60,2)</f>
        <v>0</v>
      </c>
      <c r="D805" s="277">
        <f>ROUND(BW61,0)</f>
        <v>0</v>
      </c>
      <c r="E805" s="277">
        <f>ROUND(BW62,0)</f>
        <v>0</v>
      </c>
      <c r="F805" s="277">
        <f>ROUND(BW63,0)</f>
        <v>0</v>
      </c>
      <c r="G805" s="277">
        <f>ROUND(BW64,0)</f>
        <v>0</v>
      </c>
      <c r="H805" s="277">
        <f>ROUND(BW65,0)</f>
        <v>0</v>
      </c>
      <c r="I805" s="277">
        <f>ROUND(BW66,0)</f>
        <v>0</v>
      </c>
      <c r="J805" s="277">
        <f>ROUND(BW67,0)</f>
        <v>0</v>
      </c>
      <c r="K805" s="277">
        <f>ROUND(BW68,0)</f>
        <v>0</v>
      </c>
      <c r="L805" s="277">
        <f>ROUND(BW70,0)</f>
        <v>0</v>
      </c>
      <c r="M805" s="277">
        <f>ROUND(BW71,0)</f>
        <v>0</v>
      </c>
      <c r="N805" s="277"/>
      <c r="O805" s="277"/>
      <c r="P805" s="277">
        <f>IF(BW77&gt;0,ROUND(BW77,0),0)</f>
        <v>0</v>
      </c>
      <c r="Q805" s="277">
        <f>IF(BW78&gt;0,ROUND(BW78,0),0)</f>
        <v>0</v>
      </c>
      <c r="R805" s="277">
        <f>IF(BW79&gt;0,ROUND(BW79,0),0)</f>
        <v>0</v>
      </c>
      <c r="S805" s="277">
        <f>IF(BW80&gt;0,ROUND(BW80,0),0)</f>
        <v>0</v>
      </c>
      <c r="T805" s="280">
        <f>IF(BW81&gt;0,ROUND(BW81,2),0)</f>
        <v>0</v>
      </c>
      <c r="U805" s="277"/>
      <c r="X805" s="277"/>
      <c r="Y805" s="277"/>
      <c r="Z805" s="277"/>
    </row>
    <row r="806" spans="1:26" ht="12.65" customHeight="1" x14ac:dyDescent="0.35">
      <c r="A806" s="209" t="str">
        <f>RIGHT($C$84,3)&amp;"*"&amp;RIGHT($C$83,4)&amp;"*"&amp;BX$55&amp;"*"&amp;"A"</f>
        <v># 3*137*8710*A</v>
      </c>
      <c r="B806" s="277"/>
      <c r="C806" s="280">
        <f>ROUND(BX60,2)</f>
        <v>0</v>
      </c>
      <c r="D806" s="277">
        <f>ROUND(BX61,0)</f>
        <v>0</v>
      </c>
      <c r="E806" s="277">
        <f>ROUND(BX62,0)</f>
        <v>0</v>
      </c>
      <c r="F806" s="277">
        <f>ROUND(BX63,0)</f>
        <v>0</v>
      </c>
      <c r="G806" s="277">
        <f>ROUND(BX64,0)</f>
        <v>0</v>
      </c>
      <c r="H806" s="277">
        <f>ROUND(BX65,0)</f>
        <v>0</v>
      </c>
      <c r="I806" s="277">
        <f>ROUND(BX66,0)</f>
        <v>0</v>
      </c>
      <c r="J806" s="277">
        <f>ROUND(BX67,0)</f>
        <v>0</v>
      </c>
      <c r="K806" s="277">
        <f>ROUND(BX68,0)</f>
        <v>0</v>
      </c>
      <c r="L806" s="277">
        <f>ROUND(BX70,0)</f>
        <v>0</v>
      </c>
      <c r="M806" s="277">
        <f>ROUND(BX71,0)</f>
        <v>0</v>
      </c>
      <c r="N806" s="277"/>
      <c r="O806" s="277"/>
      <c r="P806" s="277">
        <f>IF(BX77&gt;0,ROUND(BX77,0),0)</f>
        <v>0</v>
      </c>
      <c r="Q806" s="277">
        <f>IF(BX78&gt;0,ROUND(BX78,0),0)</f>
        <v>0</v>
      </c>
      <c r="R806" s="277">
        <f>IF(BX79&gt;0,ROUND(BX79,0),0)</f>
        <v>0</v>
      </c>
      <c r="S806" s="277">
        <f>IF(BX80&gt;0,ROUND(BX80,0),0)</f>
        <v>0</v>
      </c>
      <c r="T806" s="280">
        <f>IF(BX81&gt;0,ROUND(BX81,2),0)</f>
        <v>0</v>
      </c>
      <c r="U806" s="277"/>
      <c r="X806" s="277"/>
      <c r="Y806" s="277"/>
      <c r="Z806" s="277"/>
    </row>
    <row r="807" spans="1:26" ht="12.65" customHeight="1" x14ac:dyDescent="0.35">
      <c r="A807" s="209" t="str">
        <f>RIGHT($C$84,3)&amp;"*"&amp;RIGHT($C$83,4)&amp;"*"&amp;BY$55&amp;"*"&amp;"A"</f>
        <v># 3*137*8720*A</v>
      </c>
      <c r="B807" s="277"/>
      <c r="C807" s="280">
        <f>ROUND(BY60,2)</f>
        <v>0</v>
      </c>
      <c r="D807" s="277">
        <f>ROUND(BY61,0)</f>
        <v>0</v>
      </c>
      <c r="E807" s="277">
        <f>ROUND(BY62,0)</f>
        <v>0</v>
      </c>
      <c r="F807" s="277">
        <f>ROUND(BY63,0)</f>
        <v>0</v>
      </c>
      <c r="G807" s="277">
        <f>ROUND(BY64,0)</f>
        <v>0</v>
      </c>
      <c r="H807" s="277">
        <f>ROUND(BY65,0)</f>
        <v>0</v>
      </c>
      <c r="I807" s="277">
        <f>ROUND(BY66,0)</f>
        <v>0</v>
      </c>
      <c r="J807" s="277">
        <f>ROUND(BY67,0)</f>
        <v>264</v>
      </c>
      <c r="K807" s="277">
        <f>ROUND(BY68,0)</f>
        <v>0</v>
      </c>
      <c r="L807" s="277">
        <f>ROUND(BY70,0)</f>
        <v>0</v>
      </c>
      <c r="M807" s="277">
        <f>ROUND(BY71,0)</f>
        <v>264</v>
      </c>
      <c r="N807" s="277"/>
      <c r="O807" s="277"/>
      <c r="P807" s="277">
        <f>IF(BY77&gt;0,ROUND(BY77,0),0)</f>
        <v>0</v>
      </c>
      <c r="Q807" s="277">
        <f>IF(BY78&gt;0,ROUND(BY78,0),0)</f>
        <v>0</v>
      </c>
      <c r="R807" s="277">
        <f>IF(BY79&gt;0,ROUND(BY79,0),0)</f>
        <v>0</v>
      </c>
      <c r="S807" s="277">
        <f>IF(BY80&gt;0,ROUND(BY80,0),0)</f>
        <v>0</v>
      </c>
      <c r="T807" s="280">
        <f>IF(BY81&gt;0,ROUND(BY81,2),0)</f>
        <v>0</v>
      </c>
      <c r="U807" s="277"/>
      <c r="X807" s="277"/>
      <c r="Y807" s="277"/>
      <c r="Z807" s="277"/>
    </row>
    <row r="808" spans="1:26" ht="12.65" customHeight="1" x14ac:dyDescent="0.35">
      <c r="A808" s="209" t="str">
        <f>RIGHT($C$84,3)&amp;"*"&amp;RIGHT($C$83,4)&amp;"*"&amp;BZ$55&amp;"*"&amp;"A"</f>
        <v># 3*137*8730*A</v>
      </c>
      <c r="B808" s="277"/>
      <c r="C808" s="280">
        <f>ROUND(BZ60,2)</f>
        <v>0</v>
      </c>
      <c r="D808" s="277">
        <f>ROUND(BZ61,0)</f>
        <v>0</v>
      </c>
      <c r="E808" s="277">
        <f>ROUND(BZ62,0)</f>
        <v>0</v>
      </c>
      <c r="F808" s="277">
        <f>ROUND(BZ63,0)</f>
        <v>0</v>
      </c>
      <c r="G808" s="277">
        <f>ROUND(BZ64,0)</f>
        <v>0</v>
      </c>
      <c r="H808" s="277">
        <f>ROUND(BZ65,0)</f>
        <v>0</v>
      </c>
      <c r="I808" s="277">
        <f>ROUND(BZ66,0)</f>
        <v>0</v>
      </c>
      <c r="J808" s="277">
        <f>ROUND(BZ67,0)</f>
        <v>0</v>
      </c>
      <c r="K808" s="277">
        <f>ROUND(BZ68,0)</f>
        <v>0</v>
      </c>
      <c r="L808" s="277">
        <f>ROUND(BZ70,0)</f>
        <v>0</v>
      </c>
      <c r="M808" s="277">
        <f>ROUND(BZ71,0)</f>
        <v>0</v>
      </c>
      <c r="N808" s="277"/>
      <c r="O808" s="277"/>
      <c r="P808" s="277">
        <f>IF(BZ77&gt;0,ROUND(BZ77,0),0)</f>
        <v>0</v>
      </c>
      <c r="Q808" s="277">
        <f>IF(BZ78&gt;0,ROUND(BZ78,0),0)</f>
        <v>0</v>
      </c>
      <c r="R808" s="277">
        <f>IF(BZ79&gt;0,ROUND(BZ79,0),0)</f>
        <v>0</v>
      </c>
      <c r="S808" s="277">
        <f>IF(BZ80&gt;0,ROUND(BZ80,0),0)</f>
        <v>0</v>
      </c>
      <c r="T808" s="280">
        <f>IF(BZ81&gt;0,ROUND(BZ81,2),0)</f>
        <v>0</v>
      </c>
      <c r="U808" s="277"/>
      <c r="X808" s="277"/>
      <c r="Y808" s="277"/>
      <c r="Z808" s="277"/>
    </row>
    <row r="809" spans="1:26" ht="12.65" customHeight="1" x14ac:dyDescent="0.35">
      <c r="A809" s="209" t="str">
        <f>RIGHT($C$84,3)&amp;"*"&amp;RIGHT($C$83,4)&amp;"*"&amp;CA$55&amp;"*"&amp;"A"</f>
        <v># 3*137*8740*A</v>
      </c>
      <c r="B809" s="277"/>
      <c r="C809" s="280">
        <f>ROUND(CA60,2)</f>
        <v>0</v>
      </c>
      <c r="D809" s="277">
        <f>ROUND(CA61,0)</f>
        <v>0</v>
      </c>
      <c r="E809" s="277">
        <f>ROUND(CA62,0)</f>
        <v>0</v>
      </c>
      <c r="F809" s="277">
        <f>ROUND(CA63,0)</f>
        <v>0</v>
      </c>
      <c r="G809" s="277">
        <f>ROUND(CA64,0)</f>
        <v>595</v>
      </c>
      <c r="H809" s="277">
        <f>ROUND(CA65,0)</f>
        <v>0</v>
      </c>
      <c r="I809" s="277">
        <f>ROUND(CA66,0)</f>
        <v>0</v>
      </c>
      <c r="J809" s="277">
        <f>ROUND(CA67,0)</f>
        <v>0</v>
      </c>
      <c r="K809" s="277">
        <f>ROUND(CA68,0)</f>
        <v>0</v>
      </c>
      <c r="L809" s="277">
        <f>ROUND(CA70,0)</f>
        <v>0</v>
      </c>
      <c r="M809" s="277">
        <f>ROUND(CA71,0)</f>
        <v>1022</v>
      </c>
      <c r="N809" s="277"/>
      <c r="O809" s="277"/>
      <c r="P809" s="277">
        <f>IF(CA77&gt;0,ROUND(CA77,0),0)</f>
        <v>0</v>
      </c>
      <c r="Q809" s="277">
        <f>IF(CA78&gt;0,ROUND(CA78,0),0)</f>
        <v>0</v>
      </c>
      <c r="R809" s="277">
        <f>IF(CA79&gt;0,ROUND(CA79,0),0)</f>
        <v>0</v>
      </c>
      <c r="S809" s="277">
        <f>IF(CA80&gt;0,ROUND(CA80,0),0)</f>
        <v>0</v>
      </c>
      <c r="T809" s="280">
        <f>IF(CA81&gt;0,ROUND(CA81,2),0)</f>
        <v>0</v>
      </c>
      <c r="U809" s="277"/>
      <c r="X809" s="277"/>
      <c r="Y809" s="277"/>
      <c r="Z809" s="277"/>
    </row>
    <row r="810" spans="1:26" ht="12.65" customHeight="1" x14ac:dyDescent="0.35">
      <c r="A810" s="209" t="str">
        <f>RIGHT($C$84,3)&amp;"*"&amp;RIGHT($C$83,4)&amp;"*"&amp;CB$55&amp;"*"&amp;"A"</f>
        <v># 3*137*8770*A</v>
      </c>
      <c r="B810" s="277"/>
      <c r="C810" s="280">
        <f>ROUND(CB60,2)</f>
        <v>0</v>
      </c>
      <c r="D810" s="277">
        <f>ROUND(CB61,0)</f>
        <v>0</v>
      </c>
      <c r="E810" s="277">
        <f>ROUND(CB62,0)</f>
        <v>0</v>
      </c>
      <c r="F810" s="277">
        <f>ROUND(CB63,0)</f>
        <v>0</v>
      </c>
      <c r="G810" s="277">
        <f>ROUND(CB64,0)</f>
        <v>198</v>
      </c>
      <c r="H810" s="277">
        <f>ROUND(CB65,0)</f>
        <v>0</v>
      </c>
      <c r="I810" s="277">
        <f>ROUND(CB66,0)</f>
        <v>1466</v>
      </c>
      <c r="J810" s="277">
        <f>ROUND(CB67,0)</f>
        <v>0</v>
      </c>
      <c r="K810" s="277">
        <f>ROUND(CB68,0)</f>
        <v>0</v>
      </c>
      <c r="L810" s="277">
        <f>ROUND(CB70,0)</f>
        <v>0</v>
      </c>
      <c r="M810" s="277">
        <f>ROUND(CB71,0)</f>
        <v>1664</v>
      </c>
      <c r="N810" s="277"/>
      <c r="O810" s="277"/>
      <c r="P810" s="277">
        <f>IF(CB77&gt;0,ROUND(CB77,0),0)</f>
        <v>0</v>
      </c>
      <c r="Q810" s="277">
        <f>IF(CB78&gt;0,ROUND(CB78,0),0)</f>
        <v>0</v>
      </c>
      <c r="R810" s="277">
        <f>IF(CB79&gt;0,ROUND(CB79,0),0)</f>
        <v>0</v>
      </c>
      <c r="S810" s="277">
        <f>IF(CB80&gt;0,ROUND(CB80,0),0)</f>
        <v>0</v>
      </c>
      <c r="T810" s="280">
        <f>IF(CB81&gt;0,ROUND(CB81,2),0)</f>
        <v>0</v>
      </c>
      <c r="U810" s="277"/>
      <c r="X810" s="277"/>
      <c r="Y810" s="277"/>
      <c r="Z810" s="277"/>
    </row>
    <row r="811" spans="1:26" ht="12.65" customHeight="1" x14ac:dyDescent="0.35">
      <c r="A811" s="209" t="str">
        <f>RIGHT($C$84,3)&amp;"*"&amp;RIGHT($C$83,4)&amp;"*"&amp;CC$55&amp;"*"&amp;"A"</f>
        <v># 3*137*8790*A</v>
      </c>
      <c r="B811" s="277"/>
      <c r="C811" s="280">
        <f>ROUND(CC60,2)</f>
        <v>0</v>
      </c>
      <c r="D811" s="277">
        <f>ROUND(CC61,0)</f>
        <v>0</v>
      </c>
      <c r="E811" s="277">
        <f>ROUND(CC62,0)</f>
        <v>0</v>
      </c>
      <c r="F811" s="277">
        <f>ROUND(CC63,0)</f>
        <v>142674</v>
      </c>
      <c r="G811" s="277">
        <f>ROUND(CC64,0)</f>
        <v>363</v>
      </c>
      <c r="H811" s="277">
        <f>ROUND(CC65,0)</f>
        <v>0</v>
      </c>
      <c r="I811" s="277">
        <f>ROUND(CC66,0)</f>
        <v>162390</v>
      </c>
      <c r="J811" s="277">
        <f>ROUND(CC67,0)</f>
        <v>604</v>
      </c>
      <c r="K811" s="277">
        <f>ROUND(CC68,0)</f>
        <v>0</v>
      </c>
      <c r="L811" s="277">
        <f>ROUND(CC70,0)</f>
        <v>527661</v>
      </c>
      <c r="M811" s="277">
        <f>ROUND(CC71,0)</f>
        <v>-299222</v>
      </c>
      <c r="N811" s="277"/>
      <c r="O811" s="277"/>
      <c r="P811" s="277">
        <f>IF(CC77&gt;0,ROUND(CC77,0),0)</f>
        <v>0</v>
      </c>
      <c r="Q811" s="277">
        <f>IF(CC78&gt;0,ROUND(CC78,0),0)</f>
        <v>0</v>
      </c>
      <c r="R811" s="277">
        <f>IF(CC79&gt;0,ROUND(CC79,0),0)</f>
        <v>0</v>
      </c>
      <c r="S811" s="277">
        <f>IF(CC80&gt;0,ROUND(CC80,0),0)</f>
        <v>0</v>
      </c>
      <c r="T811" s="280">
        <f>IF(CC81&gt;0,ROUND(CC81,2),0)</f>
        <v>0</v>
      </c>
      <c r="U811" s="277"/>
      <c r="X811" s="277"/>
      <c r="Y811" s="277"/>
      <c r="Z811" s="277"/>
    </row>
    <row r="812" spans="1:26" ht="12.65" customHeight="1" x14ac:dyDescent="0.35">
      <c r="A812" s="209" t="str">
        <f>RIGHT($C$84,3)&amp;"*"&amp;RIGHT($C$83,4)&amp;"*"&amp;"9000"&amp;"*"&amp;"A"</f>
        <v># 3*137*9000*A</v>
      </c>
      <c r="B812" s="277"/>
      <c r="C812" s="281"/>
      <c r="D812" s="277"/>
      <c r="E812" s="277"/>
      <c r="F812" s="277"/>
      <c r="G812" s="277"/>
      <c r="H812" s="277"/>
      <c r="I812" s="277"/>
      <c r="J812" s="277"/>
      <c r="K812" s="277"/>
      <c r="L812" s="277"/>
      <c r="M812" s="277"/>
      <c r="N812" s="277"/>
      <c r="O812" s="277"/>
      <c r="P812" s="277"/>
      <c r="Q812" s="277"/>
      <c r="R812" s="277"/>
      <c r="S812" s="277"/>
      <c r="T812" s="281"/>
      <c r="U812" s="277">
        <f>ROUND(CD70,0)</f>
        <v>0</v>
      </c>
      <c r="V812" s="180">
        <f>ROUND(CD69,0)</f>
        <v>372975</v>
      </c>
      <c r="W812" s="180">
        <f>ROUND(CD71,0)</f>
        <v>372975</v>
      </c>
      <c r="X812" s="277">
        <f>ROUND(CE73,0)</f>
        <v>7396873</v>
      </c>
      <c r="Y812" s="277">
        <f>ROUND(C132,0)</f>
        <v>0</v>
      </c>
      <c r="Z812" s="277"/>
    </row>
    <row r="814" spans="1:26" ht="12.65" customHeight="1" x14ac:dyDescent="0.35">
      <c r="B814" s="199" t="s">
        <v>1004</v>
      </c>
      <c r="C814" s="260">
        <f t="shared" ref="C814:K814" si="22">SUM(C733:C812)</f>
        <v>188.75</v>
      </c>
      <c r="D814" s="180">
        <f t="shared" si="22"/>
        <v>14321353</v>
      </c>
      <c r="E814" s="180">
        <f t="shared" si="22"/>
        <v>3766339</v>
      </c>
      <c r="F814" s="180">
        <f t="shared" si="22"/>
        <v>800936</v>
      </c>
      <c r="G814" s="180">
        <f t="shared" si="22"/>
        <v>2524671</v>
      </c>
      <c r="H814" s="180">
        <f t="shared" si="22"/>
        <v>404080</v>
      </c>
      <c r="I814" s="180">
        <f t="shared" si="22"/>
        <v>2741912</v>
      </c>
      <c r="J814" s="180">
        <f t="shared" si="22"/>
        <v>459515</v>
      </c>
      <c r="K814" s="180">
        <f t="shared" si="22"/>
        <v>288195</v>
      </c>
      <c r="L814" s="180">
        <f>SUM(L733:L812)+SUM(U733:U812)</f>
        <v>1159603</v>
      </c>
      <c r="M814" s="180">
        <f>SUM(M733:M812)+SUM(W733:W812)</f>
        <v>24802330</v>
      </c>
      <c r="N814" s="180">
        <f t="shared" ref="N814:Z814" si="23">SUM(N733:N812)</f>
        <v>24723</v>
      </c>
      <c r="O814" s="180">
        <f t="shared" si="23"/>
        <v>25930603</v>
      </c>
      <c r="P814" s="180">
        <f t="shared" si="23"/>
        <v>17045</v>
      </c>
      <c r="Q814" s="180">
        <f t="shared" si="23"/>
        <v>2058</v>
      </c>
      <c r="R814" s="180">
        <f t="shared" si="23"/>
        <v>20694</v>
      </c>
      <c r="S814" s="180">
        <f t="shared" si="23"/>
        <v>32</v>
      </c>
      <c r="T814" s="260">
        <f t="shared" si="23"/>
        <v>0</v>
      </c>
      <c r="U814" s="180">
        <f t="shared" si="23"/>
        <v>0</v>
      </c>
      <c r="V814" s="180">
        <f t="shared" si="23"/>
        <v>372975</v>
      </c>
      <c r="W814" s="180">
        <f t="shared" si="23"/>
        <v>372975</v>
      </c>
      <c r="X814" s="180">
        <f t="shared" si="23"/>
        <v>7396873</v>
      </c>
      <c r="Y814" s="180">
        <f t="shared" si="23"/>
        <v>0</v>
      </c>
      <c r="Z814" s="180">
        <f t="shared" si="23"/>
        <v>6671962</v>
      </c>
    </row>
    <row r="815" spans="1:26" ht="12.65" customHeight="1" x14ac:dyDescent="0.35">
      <c r="B815" s="180" t="s">
        <v>1005</v>
      </c>
      <c r="C815" s="260">
        <f>CE60</f>
        <v>188.75</v>
      </c>
      <c r="D815" s="180">
        <f>CE61</f>
        <v>14321353</v>
      </c>
      <c r="E815" s="180">
        <f>CE62</f>
        <v>3766339</v>
      </c>
      <c r="F815" s="180">
        <f>CE63</f>
        <v>800936</v>
      </c>
      <c r="G815" s="180">
        <f>CE64</f>
        <v>2524671</v>
      </c>
      <c r="H815" s="237">
        <f>CE65</f>
        <v>404080</v>
      </c>
      <c r="I815" s="237">
        <f>CE66</f>
        <v>2741912</v>
      </c>
      <c r="J815" s="237">
        <f>CE67</f>
        <v>459515</v>
      </c>
      <c r="K815" s="237">
        <f>CE68</f>
        <v>288195</v>
      </c>
      <c r="L815" s="237">
        <f>CE70</f>
        <v>1159603</v>
      </c>
      <c r="M815" s="237">
        <f>CE71</f>
        <v>24802330</v>
      </c>
      <c r="N815" s="180">
        <f>CE76</f>
        <v>41043</v>
      </c>
      <c r="O815" s="180">
        <f>CE74</f>
        <v>25930603</v>
      </c>
      <c r="P815" s="180">
        <f>CE77</f>
        <v>17045</v>
      </c>
      <c r="Q815" s="180">
        <f>CE78</f>
        <v>2057.4</v>
      </c>
      <c r="R815" s="180">
        <f>CE79</f>
        <v>20694</v>
      </c>
      <c r="S815" s="180">
        <f>CE80</f>
        <v>31.41</v>
      </c>
      <c r="T815" s="260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6741526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14321353</v>
      </c>
      <c r="G816" s="237">
        <f>C379</f>
        <v>3766339</v>
      </c>
      <c r="H816" s="237">
        <f>C380</f>
        <v>800936</v>
      </c>
      <c r="I816" s="237">
        <f>C381</f>
        <v>2524671</v>
      </c>
      <c r="J816" s="237">
        <f>C382</f>
        <v>404080</v>
      </c>
      <c r="K816" s="237">
        <f>C383</f>
        <v>2741912</v>
      </c>
      <c r="L816" s="237">
        <f>C384+C385+C386+C388</f>
        <v>964542</v>
      </c>
      <c r="M816" s="237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M35" sqref="M35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4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LINCOLN COUNTY HOSPITAL DISTRICT # 3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H-137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10 NICHOLS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DAVENPORT, WA 99122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H-137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LINCOLN COUNTY HOSPITAL DISTRICT # 3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LINCOLN COUNTY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TYSON LACY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TIM O'CONNELL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ROXANN SHERWOOD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509-725-7101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509-725-2112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301</v>
      </c>
      <c r="G23" s="21">
        <f>data!D111</f>
        <v>1110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117</v>
      </c>
      <c r="G24" s="21">
        <f>data!D112</f>
        <v>4421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LINCOLN COUNTY HOSPITAL DISTRICT # 3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231</v>
      </c>
      <c r="C7" s="48">
        <f>data!B139</f>
        <v>812</v>
      </c>
      <c r="D7" s="48">
        <f>data!B140</f>
        <v>0</v>
      </c>
      <c r="E7" s="48">
        <f>data!B141</f>
        <v>5262028</v>
      </c>
      <c r="F7" s="48">
        <f>data!B142</f>
        <v>18280382</v>
      </c>
      <c r="G7" s="48">
        <f>data!B141+data!B142</f>
        <v>23542410</v>
      </c>
    </row>
    <row r="8" spans="1:13" ht="20.149999999999999" customHeight="1" x14ac:dyDescent="0.35">
      <c r="A8" s="23" t="s">
        <v>297</v>
      </c>
      <c r="B8" s="48">
        <f>data!C138</f>
        <v>36</v>
      </c>
      <c r="C8" s="48">
        <f>data!C139</f>
        <v>136</v>
      </c>
      <c r="D8" s="48">
        <f>data!C140</f>
        <v>0</v>
      </c>
      <c r="E8" s="48">
        <f>data!C141</f>
        <v>881324</v>
      </c>
      <c r="F8" s="48">
        <f>data!C142</f>
        <v>3061738</v>
      </c>
      <c r="G8" s="48">
        <f>data!C141+data!C142</f>
        <v>3943062</v>
      </c>
    </row>
    <row r="9" spans="1:13" ht="20.149999999999999" customHeight="1" x14ac:dyDescent="0.35">
      <c r="A9" s="23" t="s">
        <v>1058</v>
      </c>
      <c r="B9" s="48">
        <f>data!D138</f>
        <v>34</v>
      </c>
      <c r="C9" s="48">
        <f>data!D139</f>
        <v>162</v>
      </c>
      <c r="D9" s="48">
        <f>data!D140</f>
        <v>0</v>
      </c>
      <c r="E9" s="48">
        <f>data!D141</f>
        <v>1049814</v>
      </c>
      <c r="F9" s="48">
        <f>data!D142</f>
        <v>3647072</v>
      </c>
      <c r="G9" s="48">
        <f>data!D141+data!D142</f>
        <v>4696886</v>
      </c>
    </row>
    <row r="10" spans="1:13" ht="20.149999999999999" customHeight="1" x14ac:dyDescent="0.35">
      <c r="A10" s="111" t="s">
        <v>203</v>
      </c>
      <c r="B10" s="48">
        <f>data!E138</f>
        <v>301</v>
      </c>
      <c r="C10" s="48">
        <f>data!E139</f>
        <v>1110</v>
      </c>
      <c r="D10" s="48">
        <f>data!E140</f>
        <v>0</v>
      </c>
      <c r="E10" s="48">
        <f>data!E141</f>
        <v>7193166</v>
      </c>
      <c r="F10" s="48">
        <f>data!E142</f>
        <v>24989192</v>
      </c>
      <c r="G10" s="48">
        <f>data!E141+data!E142</f>
        <v>32182358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94</v>
      </c>
      <c r="C16" s="48">
        <f>data!B145</f>
        <v>1230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12</v>
      </c>
      <c r="C17" s="48">
        <f>data!C145</f>
        <v>1610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11</v>
      </c>
      <c r="C18" s="48">
        <f>data!D145</f>
        <v>1581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117</v>
      </c>
      <c r="C19" s="48">
        <f>data!E145</f>
        <v>4421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LINCOLN COUNTY HOSPITAL DISTRICT # 3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947912.92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26509.91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241055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1883774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358003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285378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3742632.83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181258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78405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259663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142869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55358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198227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125655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125655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112205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112205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LINCOLN COUNTY HOSPITAL DISTRICT # 3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619114</v>
      </c>
      <c r="D7" s="21">
        <f>data!C195</f>
        <v>173516</v>
      </c>
      <c r="E7" s="21">
        <f>data!D195</f>
        <v>0</v>
      </c>
      <c r="F7" s="21">
        <f>data!E195</f>
        <v>792630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324429</v>
      </c>
      <c r="D8" s="21">
        <f>data!C196</f>
        <v>0</v>
      </c>
      <c r="E8" s="21">
        <f>data!D196</f>
        <v>0</v>
      </c>
      <c r="F8" s="21">
        <f>data!E196</f>
        <v>324429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4862883</v>
      </c>
      <c r="D9" s="21">
        <f>data!C197</f>
        <v>11970</v>
      </c>
      <c r="E9" s="21">
        <f>data!D197</f>
        <v>0</v>
      </c>
      <c r="F9" s="21">
        <f>data!E197</f>
        <v>4874853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5223676</v>
      </c>
      <c r="D10" s="21">
        <f>data!C198</f>
        <v>0</v>
      </c>
      <c r="E10" s="21">
        <f>data!D198</f>
        <v>0</v>
      </c>
      <c r="F10" s="21">
        <f>data!E198</f>
        <v>5223676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6245256</v>
      </c>
      <c r="D12" s="21">
        <f>data!C200</f>
        <v>933216</v>
      </c>
      <c r="E12" s="21">
        <f>data!D200</f>
        <v>0</v>
      </c>
      <c r="F12" s="21">
        <f>data!E200</f>
        <v>7178472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333484</v>
      </c>
      <c r="D15" s="21">
        <f>data!C203</f>
        <v>4291429</v>
      </c>
      <c r="E15" s="21">
        <f>data!D203</f>
        <v>0</v>
      </c>
      <c r="F15" s="21">
        <f>data!E203</f>
        <v>4624913</v>
      </c>
      <c r="M15" s="266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17608842</v>
      </c>
      <c r="D16" s="21">
        <f>data!C204</f>
        <v>5410131</v>
      </c>
      <c r="E16" s="21">
        <f>data!D204</f>
        <v>0</v>
      </c>
      <c r="F16" s="21">
        <f>data!E204</f>
        <v>23018973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300398</v>
      </c>
      <c r="D24" s="21">
        <f>data!C209</f>
        <v>3649</v>
      </c>
      <c r="E24" s="21">
        <f>data!D209</f>
        <v>0</v>
      </c>
      <c r="F24" s="21">
        <f>data!E209</f>
        <v>304047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3898996</v>
      </c>
      <c r="D25" s="21">
        <f>data!C210</f>
        <v>123214</v>
      </c>
      <c r="E25" s="21">
        <f>data!D210</f>
        <v>0</v>
      </c>
      <c r="F25" s="21">
        <f>data!E210</f>
        <v>4022210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4664776</v>
      </c>
      <c r="D26" s="21">
        <f>data!C211</f>
        <v>108925</v>
      </c>
      <c r="E26" s="21">
        <f>data!D211</f>
        <v>0</v>
      </c>
      <c r="F26" s="21">
        <f>data!E211</f>
        <v>4773701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5589908</v>
      </c>
      <c r="D28" s="21">
        <f>data!C213</f>
        <v>222714</v>
      </c>
      <c r="E28" s="21">
        <f>data!D213</f>
        <v>0</v>
      </c>
      <c r="F28" s="21">
        <f>data!E213</f>
        <v>5812622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14454078</v>
      </c>
      <c r="D32" s="21">
        <f>data!C217</f>
        <v>458502</v>
      </c>
      <c r="E32" s="21">
        <f>data!D217</f>
        <v>0</v>
      </c>
      <c r="F32" s="21">
        <f>data!E217</f>
        <v>14912580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LINCOLN COUNTY HOSPITAL DISTRICT # 3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648981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1886585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2276268.1799999997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1927098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6089951.1799999997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6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134613.15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134613.15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0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6873545.3300000001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LINCOLN COUNTY HOSPITAL DISTRICT # 3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5694955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2626483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886782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119400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621909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83441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6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10032970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14879480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14879480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792630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324429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4874853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5223676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7178472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4624913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23018973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14912580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8106393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1012046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1012046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34030889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LINCOLN COUNTY HOSPITAL DISTRICT # 3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1148520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1800812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16081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4959991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1013951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8939355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1309421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1309421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10356340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3204751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13561091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1013951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12547140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11239024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11239024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34034940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LINCOLN COUNTY HOSPITAL DISTRICT # 3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7193166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24989192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32182358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69" t="s">
        <v>450</v>
      </c>
      <c r="C115" s="48">
        <f>data!C363</f>
        <v>648981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6089951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134613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6873545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25308813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549893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693208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1243101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26551914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14745838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3742633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996381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2471522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443922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2425838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458502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259663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198227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125655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112205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359589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26339975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211939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188295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400234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400234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LINCOLN COUNTY HOSPITAL DISTRICT # 3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1110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1599218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464344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10379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105914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2392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101017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52955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18417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9562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2364198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1925525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1925525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4802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LINCOLN COUNTY HOSPITAL DISTRICT # 3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4421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1141742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208929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337422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59038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9298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946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75797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361340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688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455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2675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44930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38304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66441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10934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2266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84929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931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1701789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745276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1951813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147762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26708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1219044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1978521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1366806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6141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1403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LINCOLN COUNTY HOSPITAL DISTRICT # 3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252757</v>
      </c>
      <c r="D75" s="14">
        <f>data!R61</f>
        <v>755201.23</v>
      </c>
      <c r="E75" s="14">
        <f>data!S61</f>
        <v>105471</v>
      </c>
      <c r="F75" s="14">
        <f>data!T61</f>
        <v>0</v>
      </c>
      <c r="G75" s="14">
        <f>data!U61</f>
        <v>504845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55998</v>
      </c>
      <c r="D76" s="14">
        <f>data!R62</f>
        <v>122858</v>
      </c>
      <c r="E76" s="14">
        <f>data!S62</f>
        <v>35784</v>
      </c>
      <c r="F76" s="14">
        <f>data!T62</f>
        <v>0</v>
      </c>
      <c r="G76" s="14">
        <f>data!U62</f>
        <v>139450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213088</v>
      </c>
      <c r="H77" s="14">
        <f>data!V63</f>
        <v>249916.79999999999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9465</v>
      </c>
      <c r="D78" s="14">
        <f>data!R64</f>
        <v>63171.010000000009</v>
      </c>
      <c r="E78" s="14">
        <f>data!S64</f>
        <v>104428</v>
      </c>
      <c r="F78" s="14">
        <f>data!T64</f>
        <v>0</v>
      </c>
      <c r="G78" s="14">
        <f>data!U64</f>
        <v>364626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34</v>
      </c>
      <c r="D79" s="14">
        <f>data!R65</f>
        <v>2060.75</v>
      </c>
      <c r="E79" s="14">
        <f>data!S65</f>
        <v>181</v>
      </c>
      <c r="F79" s="14">
        <f>data!T65</f>
        <v>0</v>
      </c>
      <c r="G79" s="14">
        <f>data!U65</f>
        <v>964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4860.4400000000005</v>
      </c>
      <c r="E80" s="14">
        <f>data!S66</f>
        <v>11</v>
      </c>
      <c r="F80" s="14">
        <f>data!T66</f>
        <v>0</v>
      </c>
      <c r="G80" s="14">
        <f>data!U66</f>
        <v>34463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11768</v>
      </c>
      <c r="E81" s="14">
        <f>data!S67</f>
        <v>2098</v>
      </c>
      <c r="F81" s="14">
        <f>data!T67</f>
        <v>0</v>
      </c>
      <c r="G81" s="14">
        <f>data!U67</f>
        <v>26337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11416.2</v>
      </c>
      <c r="E82" s="14">
        <f>data!S68</f>
        <v>0</v>
      </c>
      <c r="F82" s="14">
        <f>data!T68</f>
        <v>0</v>
      </c>
      <c r="G82" s="14">
        <f>data!U68</f>
        <v>3840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2765.3399999999997</v>
      </c>
      <c r="E83" s="14">
        <f>data!S69</f>
        <v>0</v>
      </c>
      <c r="F83" s="14">
        <f>data!T69</f>
        <v>0</v>
      </c>
      <c r="G83" s="14">
        <f>data!U69</f>
        <v>2933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385</v>
      </c>
      <c r="D84" s="14">
        <f>-data!R70</f>
        <v>0</v>
      </c>
      <c r="E84" s="14">
        <f>-data!S70</f>
        <v>104</v>
      </c>
      <c r="F84" s="14">
        <f>-data!T70</f>
        <v>0</v>
      </c>
      <c r="G84" s="14">
        <f>-data!U70</f>
        <v>33738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318639</v>
      </c>
      <c r="D85" s="14">
        <f>data!R71</f>
        <v>974100.96999999986</v>
      </c>
      <c r="E85" s="14">
        <f>data!S71</f>
        <v>248077</v>
      </c>
      <c r="F85" s="14">
        <f>data!T71</f>
        <v>0</v>
      </c>
      <c r="G85" s="14">
        <f>data!U71</f>
        <v>1324284</v>
      </c>
      <c r="H85" s="14">
        <f>data!V71</f>
        <v>249916.79999999999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39362</v>
      </c>
      <c r="D88" s="14">
        <f>data!R73</f>
        <v>172668.65</v>
      </c>
      <c r="E88" s="14">
        <f>data!S73</f>
        <v>197211</v>
      </c>
      <c r="F88" s="14">
        <f>data!T73</f>
        <v>0</v>
      </c>
      <c r="G88" s="14">
        <f>data!U73</f>
        <v>628320</v>
      </c>
      <c r="H88" s="14">
        <f>data!V73</f>
        <v>68176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295117</v>
      </c>
      <c r="D89" s="14">
        <f>data!R74</f>
        <v>2049474.49</v>
      </c>
      <c r="E89" s="14">
        <f>data!S74</f>
        <v>530930</v>
      </c>
      <c r="F89" s="14">
        <f>data!T74</f>
        <v>0</v>
      </c>
      <c r="G89" s="14">
        <f>data!U74</f>
        <v>3942818</v>
      </c>
      <c r="H89" s="14">
        <f>data!V74</f>
        <v>1192169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334479</v>
      </c>
      <c r="D90" s="14">
        <f>data!R75</f>
        <v>2222143.14</v>
      </c>
      <c r="E90" s="14">
        <f>data!S75</f>
        <v>728141</v>
      </c>
      <c r="F90" s="14">
        <f>data!T75</f>
        <v>0</v>
      </c>
      <c r="G90" s="14">
        <f>data!U75</f>
        <v>4571138</v>
      </c>
      <c r="H90" s="14">
        <f>data!V75</f>
        <v>1260345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225</v>
      </c>
      <c r="E92" s="14">
        <f>data!S76</f>
        <v>670</v>
      </c>
      <c r="F92" s="14">
        <f>data!T76</f>
        <v>0</v>
      </c>
      <c r="G92" s="14">
        <f>data!U76</f>
        <v>527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LINCOLN COUNTY HOSPITAL DISTRICT # 3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533113</v>
      </c>
      <c r="E107" s="14">
        <f>data!Z61</f>
        <v>0</v>
      </c>
      <c r="F107" s="14">
        <f>data!AA61</f>
        <v>0</v>
      </c>
      <c r="G107" s="14">
        <f>data!AB61</f>
        <v>241080</v>
      </c>
      <c r="H107" s="14">
        <f>data!AC61</f>
        <v>151991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146048</v>
      </c>
      <c r="E108" s="14">
        <f>data!Z62</f>
        <v>0</v>
      </c>
      <c r="F108" s="14">
        <f>data!AA62</f>
        <v>0</v>
      </c>
      <c r="G108" s="14">
        <f>data!AB62</f>
        <v>49136</v>
      </c>
      <c r="H108" s="14">
        <f>data!AC62</f>
        <v>34138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31053</v>
      </c>
      <c r="D109" s="14">
        <f>data!Y63</f>
        <v>120696</v>
      </c>
      <c r="E109" s="14">
        <f>data!Z63</f>
        <v>0</v>
      </c>
      <c r="F109" s="14">
        <f>data!AA63</f>
        <v>0</v>
      </c>
      <c r="G109" s="14">
        <f>data!AB63</f>
        <v>81333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57462</v>
      </c>
      <c r="D110" s="14">
        <f>data!Y64</f>
        <v>20174</v>
      </c>
      <c r="E110" s="14">
        <f>data!Z64</f>
        <v>0</v>
      </c>
      <c r="F110" s="14">
        <f>data!AA64</f>
        <v>0</v>
      </c>
      <c r="G110" s="14">
        <f>data!AB64</f>
        <v>501990</v>
      </c>
      <c r="H110" s="14">
        <f>data!AC64</f>
        <v>26917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677</v>
      </c>
      <c r="E111" s="14">
        <f>data!Z65</f>
        <v>0</v>
      </c>
      <c r="F111" s="14">
        <f>data!AA65</f>
        <v>0</v>
      </c>
      <c r="G111" s="14">
        <f>data!AB65</f>
        <v>176</v>
      </c>
      <c r="H111" s="14">
        <f>data!AC65</f>
        <v>40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80457</v>
      </c>
      <c r="D112" s="14">
        <f>data!Y66</f>
        <v>52563</v>
      </c>
      <c r="E112" s="14">
        <f>data!Z66</f>
        <v>0</v>
      </c>
      <c r="F112" s="14">
        <f>data!AA66</f>
        <v>0</v>
      </c>
      <c r="G112" s="14">
        <f>data!AB66</f>
        <v>11071</v>
      </c>
      <c r="H112" s="14">
        <f>data!AC66</f>
        <v>1844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710</v>
      </c>
      <c r="D113" s="14">
        <f>data!Y67</f>
        <v>119077</v>
      </c>
      <c r="E113" s="14">
        <f>data!Z67</f>
        <v>0</v>
      </c>
      <c r="F113" s="14">
        <f>data!AA67</f>
        <v>0</v>
      </c>
      <c r="G113" s="14">
        <f>data!AB67</f>
        <v>1190</v>
      </c>
      <c r="H113" s="14">
        <f>data!AC67</f>
        <v>125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796</v>
      </c>
      <c r="E114" s="14">
        <f>data!Z68</f>
        <v>0</v>
      </c>
      <c r="F114" s="14">
        <f>data!AA68</f>
        <v>0</v>
      </c>
      <c r="G114" s="14">
        <f>data!AB68</f>
        <v>8423</v>
      </c>
      <c r="H114" s="14">
        <f>data!AC68</f>
        <v>3325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2707</v>
      </c>
      <c r="E115" s="14">
        <f>data!Z69</f>
        <v>0</v>
      </c>
      <c r="F115" s="14">
        <f>data!AA69</f>
        <v>0</v>
      </c>
      <c r="G115" s="14">
        <f>data!AB69</f>
        <v>47199</v>
      </c>
      <c r="H115" s="14">
        <f>data!AC69</f>
        <v>62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169682</v>
      </c>
      <c r="D117" s="14">
        <f>data!Y71</f>
        <v>995851</v>
      </c>
      <c r="E117" s="14">
        <f>data!Z71</f>
        <v>0</v>
      </c>
      <c r="F117" s="14">
        <f>data!AA71</f>
        <v>0</v>
      </c>
      <c r="G117" s="14">
        <f>data!AB71</f>
        <v>941598</v>
      </c>
      <c r="H117" s="14">
        <f>data!AC71</f>
        <v>218442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270702</v>
      </c>
      <c r="D120" s="14">
        <f>data!Y73</f>
        <v>128563</v>
      </c>
      <c r="E120" s="14">
        <f>data!Z73</f>
        <v>0</v>
      </c>
      <c r="F120" s="14">
        <f>data!AA73</f>
        <v>0</v>
      </c>
      <c r="G120" s="14">
        <f>data!AB73</f>
        <v>566559</v>
      </c>
      <c r="H120" s="14">
        <f>data!AC73</f>
        <v>377053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2519956</v>
      </c>
      <c r="D121" s="14">
        <f>data!Y74</f>
        <v>1814434</v>
      </c>
      <c r="E121" s="14">
        <f>data!Z74</f>
        <v>0</v>
      </c>
      <c r="F121" s="14">
        <f>data!AA74</f>
        <v>0</v>
      </c>
      <c r="G121" s="14">
        <f>data!AB74</f>
        <v>1130456</v>
      </c>
      <c r="H121" s="14">
        <f>data!AC74</f>
        <v>152062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2790658</v>
      </c>
      <c r="D122" s="14">
        <f>data!Y75</f>
        <v>1942997</v>
      </c>
      <c r="E122" s="14">
        <f>data!Z75</f>
        <v>0</v>
      </c>
      <c r="F122" s="14">
        <f>data!AA75</f>
        <v>0</v>
      </c>
      <c r="G122" s="14">
        <f>data!AB75</f>
        <v>1697015</v>
      </c>
      <c r="H122" s="14">
        <f>data!AC75</f>
        <v>529115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1569</v>
      </c>
      <c r="E124" s="14">
        <f>data!Z76</f>
        <v>0</v>
      </c>
      <c r="F124" s="14">
        <f>data!AA76</f>
        <v>0</v>
      </c>
      <c r="G124" s="14">
        <f>data!AB76</f>
        <v>380</v>
      </c>
      <c r="H124" s="14">
        <f>data!AC76</f>
        <v>40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LINCOLN COUNTY HOSPITAL DISTRICT # 3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535464</v>
      </c>
      <c r="D139" s="14">
        <f>data!AF61</f>
        <v>0</v>
      </c>
      <c r="E139" s="14">
        <f>data!AG61</f>
        <v>645601</v>
      </c>
      <c r="F139" s="14">
        <f>data!AH61</f>
        <v>152983</v>
      </c>
      <c r="G139" s="14">
        <f>data!AI61</f>
        <v>0</v>
      </c>
      <c r="H139" s="14">
        <f>data!AJ61</f>
        <v>4340126</v>
      </c>
      <c r="I139" s="14">
        <f>data!AK61</f>
        <v>92673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133451</v>
      </c>
      <c r="D140" s="14">
        <f>data!AF62</f>
        <v>0</v>
      </c>
      <c r="E140" s="14">
        <f>data!AG62</f>
        <v>127204</v>
      </c>
      <c r="F140" s="14">
        <f>data!AH62</f>
        <v>25443</v>
      </c>
      <c r="G140" s="14">
        <f>data!AI62</f>
        <v>0</v>
      </c>
      <c r="H140" s="14">
        <f>data!AJ62</f>
        <v>829094</v>
      </c>
      <c r="I140" s="14">
        <f>data!AK62</f>
        <v>17487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10768</v>
      </c>
      <c r="D142" s="14">
        <f>data!AF64</f>
        <v>0</v>
      </c>
      <c r="E142" s="14">
        <f>data!AG64</f>
        <v>43045</v>
      </c>
      <c r="F142" s="14">
        <f>data!AH64</f>
        <v>23148</v>
      </c>
      <c r="G142" s="14">
        <f>data!AI64</f>
        <v>0</v>
      </c>
      <c r="H142" s="14">
        <f>data!AJ64</f>
        <v>280967</v>
      </c>
      <c r="I142" s="14">
        <f>data!AK64</f>
        <v>1836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9914</v>
      </c>
      <c r="D143" s="14">
        <f>data!AF65</f>
        <v>0</v>
      </c>
      <c r="E143" s="14">
        <f>data!AG65</f>
        <v>5</v>
      </c>
      <c r="F143" s="14">
        <f>data!AH65</f>
        <v>5800</v>
      </c>
      <c r="G143" s="14">
        <f>data!AI65</f>
        <v>0</v>
      </c>
      <c r="H143" s="14">
        <f>data!AJ65</f>
        <v>67041</v>
      </c>
      <c r="I143" s="14">
        <f>data!AK65</f>
        <v>61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26353</v>
      </c>
      <c r="D144" s="14">
        <f>data!AF66</f>
        <v>0</v>
      </c>
      <c r="E144" s="14">
        <f>data!AG66</f>
        <v>4348</v>
      </c>
      <c r="F144" s="14">
        <f>data!AH66</f>
        <v>14236</v>
      </c>
      <c r="G144" s="14">
        <f>data!AI66</f>
        <v>0</v>
      </c>
      <c r="H144" s="14">
        <f>data!AJ66</f>
        <v>83111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5864</v>
      </c>
      <c r="D145" s="14">
        <f>data!AF67</f>
        <v>0</v>
      </c>
      <c r="E145" s="14">
        <f>data!AG67</f>
        <v>6643</v>
      </c>
      <c r="F145" s="14">
        <f>data!AH67</f>
        <v>8580</v>
      </c>
      <c r="G145" s="14">
        <f>data!AI67</f>
        <v>0</v>
      </c>
      <c r="H145" s="14">
        <f>data!AJ67</f>
        <v>36943</v>
      </c>
      <c r="I145" s="14">
        <f>data!AK67</f>
        <v>1337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25200</v>
      </c>
      <c r="D146" s="14">
        <f>data!AF68</f>
        <v>0</v>
      </c>
      <c r="E146" s="14">
        <f>data!AG68</f>
        <v>5988</v>
      </c>
      <c r="F146" s="14">
        <f>data!AH68</f>
        <v>0</v>
      </c>
      <c r="G146" s="14">
        <f>data!AI68</f>
        <v>0</v>
      </c>
      <c r="H146" s="14">
        <f>data!AJ68</f>
        <v>157654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759</v>
      </c>
      <c r="D147" s="14">
        <f>data!AF69</f>
        <v>0</v>
      </c>
      <c r="E147" s="14">
        <f>data!AG69</f>
        <v>0</v>
      </c>
      <c r="F147" s="14">
        <f>data!AH69</f>
        <v>1002</v>
      </c>
      <c r="G147" s="14">
        <f>data!AI69</f>
        <v>0</v>
      </c>
      <c r="H147" s="14">
        <f>data!AJ69</f>
        <v>47008</v>
      </c>
      <c r="I147" s="14">
        <f>data!AK69</f>
        <v>541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1355</v>
      </c>
      <c r="D148" s="14">
        <f>-data!AF70</f>
        <v>0</v>
      </c>
      <c r="E148" s="14">
        <f>-data!AG70</f>
        <v>0</v>
      </c>
      <c r="F148" s="14">
        <f>-data!AH70</f>
        <v>11250</v>
      </c>
      <c r="G148" s="14">
        <f>-data!AI70</f>
        <v>0</v>
      </c>
      <c r="H148" s="14">
        <f>-data!AJ70</f>
        <v>41046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749128</v>
      </c>
      <c r="D149" s="14">
        <f>data!AF71</f>
        <v>0</v>
      </c>
      <c r="E149" s="14">
        <f>data!AG71</f>
        <v>832834</v>
      </c>
      <c r="F149" s="14">
        <f>data!AH71</f>
        <v>242442</v>
      </c>
      <c r="G149" s="14">
        <f>data!AI71</f>
        <v>0</v>
      </c>
      <c r="H149" s="14">
        <f>data!AJ71</f>
        <v>5882990</v>
      </c>
      <c r="I149" s="14">
        <f>data!AK71</f>
        <v>113935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349714</v>
      </c>
      <c r="D152" s="14">
        <f>data!AF73</f>
        <v>0</v>
      </c>
      <c r="E152" s="14">
        <f>data!AG73</f>
        <v>77859</v>
      </c>
      <c r="F152" s="14">
        <f>data!AH73</f>
        <v>27081</v>
      </c>
      <c r="G152" s="14">
        <f>data!AI73</f>
        <v>0</v>
      </c>
      <c r="H152" s="14">
        <f>data!AJ73</f>
        <v>0</v>
      </c>
      <c r="I152" s="14">
        <f>data!AK73</f>
        <v>197553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1237775</v>
      </c>
      <c r="D153" s="14">
        <f>data!AF74</f>
        <v>0</v>
      </c>
      <c r="E153" s="14">
        <f>data!AG74</f>
        <v>1496794</v>
      </c>
      <c r="F153" s="14">
        <f>data!AH74</f>
        <v>434322</v>
      </c>
      <c r="G153" s="14">
        <f>data!AI74</f>
        <v>-6876</v>
      </c>
      <c r="H153" s="14">
        <f>data!AJ74</f>
        <v>6451333</v>
      </c>
      <c r="I153" s="14">
        <f>data!AK74</f>
        <v>62681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1587489</v>
      </c>
      <c r="D154" s="14">
        <f>data!AF75</f>
        <v>0</v>
      </c>
      <c r="E154" s="14">
        <f>data!AG75</f>
        <v>1574653</v>
      </c>
      <c r="F154" s="14">
        <f>data!AH75</f>
        <v>461403</v>
      </c>
      <c r="G154" s="14">
        <f>data!AI75</f>
        <v>-6876</v>
      </c>
      <c r="H154" s="14">
        <f>data!AJ75</f>
        <v>6451333</v>
      </c>
      <c r="I154" s="14">
        <f>data!AK75</f>
        <v>260234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1465</v>
      </c>
      <c r="D156" s="14">
        <f>data!AF76</f>
        <v>0</v>
      </c>
      <c r="E156" s="14">
        <f>data!AG76</f>
        <v>581</v>
      </c>
      <c r="F156" s="14">
        <f>data!AH76</f>
        <v>0</v>
      </c>
      <c r="G156" s="14">
        <f>data!AI76</f>
        <v>0</v>
      </c>
      <c r="H156" s="14">
        <f>data!AJ76</f>
        <v>6493</v>
      </c>
      <c r="I156" s="14">
        <f>data!AK76</f>
        <v>427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LINCOLN COUNTY HOSPITAL DISTRICT # 3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57688</v>
      </c>
      <c r="D171" s="14">
        <f>data!AM61</f>
        <v>41535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14590</v>
      </c>
      <c r="D172" s="14">
        <f>data!AM62</f>
        <v>13730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327</v>
      </c>
      <c r="D174" s="14">
        <f>data!AM64</f>
        <v>91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6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72611</v>
      </c>
      <c r="D181" s="14">
        <f>data!AM71</f>
        <v>55356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67244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27509</v>
      </c>
      <c r="D185" s="14">
        <f>data!AM74</f>
        <v>0</v>
      </c>
      <c r="E185" s="14">
        <f>data!AN74</f>
        <v>0</v>
      </c>
      <c r="F185" s="14">
        <f>data!AO74</f>
        <v>412485.85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94753</v>
      </c>
      <c r="D186" s="14">
        <f>data!AM75</f>
        <v>0</v>
      </c>
      <c r="E186" s="14">
        <f>data!AN75</f>
        <v>0</v>
      </c>
      <c r="F186" s="14">
        <f>data!AO75</f>
        <v>412485.85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LINCOLN COUNTY HOSPITAL DISTRICT # 3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366707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123982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182119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150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3935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12279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600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78815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768587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3690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LINCOLN COUNTY HOSPITAL DISTRICT # 3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41043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71563</v>
      </c>
      <c r="E235" s="14">
        <f>data!BB61</f>
        <v>80275</v>
      </c>
      <c r="F235" s="14">
        <f>data!BC61</f>
        <v>0</v>
      </c>
      <c r="G235" s="14">
        <f>data!BD61</f>
        <v>0</v>
      </c>
      <c r="H235" s="14">
        <f>data!BE61</f>
        <v>233505</v>
      </c>
      <c r="I235" s="14">
        <f>data!BF61</f>
        <v>256149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24180</v>
      </c>
      <c r="E236" s="14">
        <f>data!BB62</f>
        <v>20103</v>
      </c>
      <c r="F236" s="14">
        <f>data!BC62</f>
        <v>0</v>
      </c>
      <c r="G236" s="14">
        <f>data!BD62</f>
        <v>0</v>
      </c>
      <c r="H236" s="14">
        <f>data!BE62</f>
        <v>76818</v>
      </c>
      <c r="I236" s="14">
        <f>data!BF62</f>
        <v>87070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725</v>
      </c>
      <c r="E238" s="14">
        <f>data!BB64</f>
        <v>24</v>
      </c>
      <c r="F238" s="14">
        <f>data!BC64</f>
        <v>0</v>
      </c>
      <c r="G238" s="14">
        <f>data!BD64</f>
        <v>0</v>
      </c>
      <c r="H238" s="14">
        <f>data!BE64</f>
        <v>52569</v>
      </c>
      <c r="I238" s="14">
        <f>data!BF64</f>
        <v>43593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24</v>
      </c>
      <c r="E239" s="14">
        <f>data!BB65</f>
        <v>130</v>
      </c>
      <c r="F239" s="14">
        <f>data!BC65</f>
        <v>0</v>
      </c>
      <c r="G239" s="14">
        <f>data!BD65</f>
        <v>0</v>
      </c>
      <c r="H239" s="14">
        <f>data!BE65</f>
        <v>259662</v>
      </c>
      <c r="I239" s="14">
        <f>data!BF65</f>
        <v>72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1343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71917</v>
      </c>
      <c r="I240" s="14">
        <f>data!BF66</f>
        <v>535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3506</v>
      </c>
      <c r="E241" s="14">
        <f>data!BB67</f>
        <v>401</v>
      </c>
      <c r="F241" s="14">
        <f>data!BC67</f>
        <v>0</v>
      </c>
      <c r="G241" s="14">
        <f>data!BD67</f>
        <v>0</v>
      </c>
      <c r="H241" s="14">
        <f>data!BE67</f>
        <v>23918</v>
      </c>
      <c r="I241" s="14">
        <f>data!BF67</f>
        <v>3292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65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4044</v>
      </c>
      <c r="I243" s="14">
        <f>data!BF69</f>
        <v>68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300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101341</v>
      </c>
      <c r="E245" s="14">
        <f>data!BB71</f>
        <v>100933</v>
      </c>
      <c r="F245" s="14">
        <f>data!BC71</f>
        <v>0</v>
      </c>
      <c r="G245" s="14">
        <f>data!BD71</f>
        <v>0</v>
      </c>
      <c r="H245" s="14">
        <f>data!BE71</f>
        <v>722733</v>
      </c>
      <c r="I245" s="14">
        <f>data!BF71</f>
        <v>390844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858</v>
      </c>
      <c r="E252" s="85">
        <f>data!BB76</f>
        <v>128</v>
      </c>
      <c r="F252" s="85">
        <f>data!BC76</f>
        <v>0</v>
      </c>
      <c r="G252" s="85">
        <f>data!BD76</f>
        <v>0</v>
      </c>
      <c r="H252" s="85">
        <f>data!BE76</f>
        <v>2961</v>
      </c>
      <c r="I252" s="85">
        <f>data!BF76</f>
        <v>1051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LINCOLN COUNTY HOSPITAL DISTRICT # 3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153001</v>
      </c>
      <c r="F267" s="14">
        <f>data!BJ61</f>
        <v>260037</v>
      </c>
      <c r="G267" s="14">
        <f>data!BK61</f>
        <v>401377.32</v>
      </c>
      <c r="H267" s="14">
        <f>data!BL61</f>
        <v>495599.88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43372</v>
      </c>
      <c r="F268" s="14">
        <f>data!BJ62</f>
        <v>76787</v>
      </c>
      <c r="G268" s="14">
        <f>data!BK62</f>
        <v>124261</v>
      </c>
      <c r="H268" s="14">
        <f>data!BL62</f>
        <v>163606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58117</v>
      </c>
      <c r="G269" s="14">
        <f>data!BK63</f>
        <v>4651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102904</v>
      </c>
      <c r="F270" s="14">
        <f>data!BJ64</f>
        <v>2958</v>
      </c>
      <c r="G270" s="14">
        <f>data!BK64</f>
        <v>2611.12</v>
      </c>
      <c r="H270" s="14">
        <f>data!BL64</f>
        <v>16343.68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88211</v>
      </c>
      <c r="F271" s="14">
        <f>data!BJ65</f>
        <v>229</v>
      </c>
      <c r="G271" s="14">
        <f>data!BK65</f>
        <v>3085.16</v>
      </c>
      <c r="H271" s="14">
        <f>data!BL65</f>
        <v>376.32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563456</v>
      </c>
      <c r="F272" s="14">
        <f>data!BJ66</f>
        <v>8282</v>
      </c>
      <c r="G272" s="14">
        <f>data!BK66</f>
        <v>335950.39</v>
      </c>
      <c r="H272" s="14">
        <f>data!BL66</f>
        <v>168.08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12833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7418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6051</v>
      </c>
      <c r="F275" s="14">
        <f>data!BJ69</f>
        <v>468</v>
      </c>
      <c r="G275" s="14">
        <f>data!BK69</f>
        <v>850</v>
      </c>
      <c r="H275" s="14">
        <f>data!BL69</f>
        <v>188.32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78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969828</v>
      </c>
      <c r="F277" s="14">
        <f>data!BJ71</f>
        <v>406878</v>
      </c>
      <c r="G277" s="14">
        <f>data!BK71</f>
        <v>880281.99000000011</v>
      </c>
      <c r="H277" s="14">
        <f>data!BL71</f>
        <v>676282.27999999991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LINCOLN COUNTY HOSPITAL DISTRICT # 3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0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728506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148355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282938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45769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8548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15431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6394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3482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403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478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855185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84691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22013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25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151773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5685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2910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-175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2058670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303741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7029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LINCOLN COUNTY HOSPITAL DISTRICT # 3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190346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57770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65109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5694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639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877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38436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1146</v>
      </c>
      <c r="E337" s="86">
        <f>data!BW67</f>
        <v>0</v>
      </c>
      <c r="F337" s="86">
        <f>data!BX67</f>
        <v>0</v>
      </c>
      <c r="G337" s="86">
        <f>data!BY67</f>
        <v>225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3896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1437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164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3972</v>
      </c>
      <c r="E340" s="14">
        <f>-data!BW70</f>
        <v>0</v>
      </c>
      <c r="F340" s="14">
        <f>-data!BX70</f>
        <v>0</v>
      </c>
      <c r="G340" s="14">
        <f>-data!BY70</f>
        <v>500</v>
      </c>
      <c r="H340" s="14">
        <f>-data!BZ70</f>
        <v>0</v>
      </c>
      <c r="I340" s="14">
        <f>-data!CA70</f>
        <v>200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368683</v>
      </c>
      <c r="E341" s="14">
        <f>data!BW71</f>
        <v>0</v>
      </c>
      <c r="F341" s="14">
        <f>data!BX71</f>
        <v>0</v>
      </c>
      <c r="G341" s="14">
        <f>data!BY71</f>
        <v>725</v>
      </c>
      <c r="H341" s="14">
        <f>data!BZ71</f>
        <v>0</v>
      </c>
      <c r="I341" s="14">
        <f>data!CA71</f>
        <v>1003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366</v>
      </c>
      <c r="E348" s="85">
        <f>data!BW76</f>
        <v>0</v>
      </c>
      <c r="F348" s="85">
        <f>data!BX76</f>
        <v>0</v>
      </c>
      <c r="G348" s="85">
        <f>data!BY76</f>
        <v>72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LINCOLN COUNTY HOSPITAL DISTRICT # 3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0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14745838.430000002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10761</v>
      </c>
      <c r="E364" s="218"/>
      <c r="F364" s="219"/>
      <c r="G364" s="219"/>
      <c r="H364" s="219"/>
      <c r="I364" s="86">
        <f>data!CE62</f>
        <v>3742632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127815</v>
      </c>
      <c r="E365" s="218"/>
      <c r="F365" s="219"/>
      <c r="G365" s="219"/>
      <c r="H365" s="219"/>
      <c r="I365" s="86">
        <f>data!CE63</f>
        <v>996380.8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2471521.81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-270</v>
      </c>
      <c r="E367" s="218"/>
      <c r="F367" s="219"/>
      <c r="G367" s="219"/>
      <c r="H367" s="219"/>
      <c r="I367" s="86">
        <f>data!CE65</f>
        <v>443922.23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2425837.91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517</v>
      </c>
      <c r="E369" s="218"/>
      <c r="F369" s="219"/>
      <c r="G369" s="219"/>
      <c r="H369" s="219"/>
      <c r="I369" s="86">
        <f>data!CE67</f>
        <v>458502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259663.2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-12138</v>
      </c>
      <c r="E371" s="86">
        <f>data!CD69</f>
        <v>310432</v>
      </c>
      <c r="F371" s="219"/>
      <c r="G371" s="219"/>
      <c r="H371" s="219"/>
      <c r="I371" s="86">
        <f>data!CE69</f>
        <v>670020.66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-724371</v>
      </c>
      <c r="E372" s="227">
        <f>data!CD70</f>
        <v>0</v>
      </c>
      <c r="F372" s="220"/>
      <c r="G372" s="220"/>
      <c r="H372" s="220"/>
      <c r="I372" s="14">
        <f>-data!CE70</f>
        <v>-549893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-597686</v>
      </c>
      <c r="E373" s="86">
        <f>data!CD71</f>
        <v>310432</v>
      </c>
      <c r="F373" s="219"/>
      <c r="G373" s="219"/>
      <c r="H373" s="219"/>
      <c r="I373" s="14">
        <f>data!CE71</f>
        <v>25664426.039999999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-693208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7193165.6500000004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24989192.340000004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32182357.990000002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165</v>
      </c>
      <c r="E380" s="214"/>
      <c r="F380" s="211"/>
      <c r="G380" s="211"/>
      <c r="H380" s="211"/>
      <c r="I380" s="14">
        <f>data!CE76</f>
        <v>41043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0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carrie.baranowski@DOH.WA.GOV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Dept of Health - HSQA - Community Health Systems</dc:creator>
  <cp:keywords>hospital financial reports</cp:keywords>
  <cp:lastModifiedBy>Baranowski, Carrie (DOH)</cp:lastModifiedBy>
  <cp:lastPrinted>2021-09-30T20:48:37Z</cp:lastPrinted>
  <dcterms:created xsi:type="dcterms:W3CDTF">1999-06-02T22:01:56Z</dcterms:created>
  <dcterms:modified xsi:type="dcterms:W3CDTF">2022-02-03T17:51:43Z</dcterms:modified>
</cp:coreProperties>
</file>