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19\"/>
    </mc:Choice>
  </mc:AlternateContent>
  <xr:revisionPtr revIDLastSave="0" documentId="13_ncr:1_{3CF57918-8102-4B80-9B01-B295A6184549}" xr6:coauthVersionLast="45" xr6:coauthVersionMax="45" xr10:uidLastSave="{00000000-0000-0000-0000-000000000000}"/>
  <workbookProtection workbookAlgorithmName="SHA-512" workbookHashValue="lmhukGGP+kfwJ1biqMvrzzDltrydUckSM8n8MiUookCJ9MQ5LrAoStsFaL/2cELBeUvD5scxAPLtun4UEYolig==" workbookSaltValue="2LzX9vacjcxv58vlFPCC1Q==" workbookSpinCount="100000" lockStructure="1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1" l="1"/>
  <c r="C175" i="1"/>
  <c r="C225" i="1" l="1"/>
  <c r="C185" i="1" l="1"/>
  <c r="C184" i="1"/>
  <c r="C179" i="1"/>
  <c r="C180" i="1"/>
  <c r="C326" i="1"/>
  <c r="C325" i="1"/>
  <c r="C387" i="1"/>
  <c r="C386" i="1"/>
  <c r="C388" i="1"/>
  <c r="C389" i="1"/>
  <c r="C385" i="1"/>
  <c r="C384" i="1"/>
  <c r="C383" i="1"/>
  <c r="C382" i="1"/>
  <c r="C381" i="1"/>
  <c r="C380" i="1"/>
  <c r="C379" i="1"/>
  <c r="C378" i="1"/>
  <c r="C364" i="1"/>
  <c r="C365" i="1"/>
  <c r="C363" i="1"/>
  <c r="AV73" i="1"/>
  <c r="CC69" i="1"/>
  <c r="AJ74" i="1" l="1"/>
  <c r="E74" i="1"/>
  <c r="E73" i="1"/>
  <c r="C276" i="1"/>
  <c r="C274" i="1"/>
  <c r="C272" i="1"/>
  <c r="C270" i="1"/>
  <c r="C269" i="1"/>
  <c r="C268" i="1"/>
  <c r="C267" i="1"/>
  <c r="C214" i="1" l="1"/>
  <c r="C213" i="1"/>
  <c r="B214" i="1"/>
  <c r="B210" i="1"/>
  <c r="C210" i="1"/>
  <c r="C203" i="1"/>
  <c r="C201" i="1"/>
  <c r="C200" i="1"/>
  <c r="C197" i="1"/>
  <c r="B203" i="1"/>
  <c r="B201" i="1"/>
  <c r="B200" i="1"/>
  <c r="B198" i="1"/>
  <c r="B197" i="1"/>
  <c r="C170" i="1" l="1"/>
  <c r="C168" i="1"/>
  <c r="C167" i="1"/>
  <c r="C166" i="1"/>
  <c r="C165" i="1"/>
  <c r="E59" i="1"/>
  <c r="E80" i="1" l="1"/>
  <c r="Q80" i="1"/>
  <c r="P80" i="1"/>
  <c r="O80" i="1"/>
  <c r="C80" i="1"/>
  <c r="AG80" i="1"/>
  <c r="B52" i="1" l="1"/>
  <c r="CC66" i="1"/>
  <c r="AX68" i="1"/>
  <c r="BO66" i="1"/>
  <c r="BO64" i="1"/>
  <c r="BO63" i="1"/>
  <c r="CC47" i="1"/>
  <c r="CA69" i="1"/>
  <c r="CA66" i="1"/>
  <c r="CA64" i="1"/>
  <c r="CA47" i="1"/>
  <c r="CA61" i="1"/>
  <c r="BY69" i="1"/>
  <c r="BY64" i="1"/>
  <c r="BY66" i="1"/>
  <c r="BY47" i="1"/>
  <c r="BY61" i="1"/>
  <c r="BX66" i="1"/>
  <c r="BX47" i="1"/>
  <c r="BX61" i="1"/>
  <c r="BX64" i="1"/>
  <c r="BS66" i="1"/>
  <c r="BR64" i="1"/>
  <c r="BR66" i="1"/>
  <c r="BR47" i="1"/>
  <c r="BR61" i="1"/>
  <c r="BP69" i="1"/>
  <c r="BP66" i="1"/>
  <c r="BP64" i="1"/>
  <c r="BV69" i="1"/>
  <c r="BV68" i="1"/>
  <c r="BV66" i="1"/>
  <c r="BV64" i="1"/>
  <c r="BV47" i="1"/>
  <c r="BV61" i="1"/>
  <c r="BN68" i="1"/>
  <c r="BN69" i="1"/>
  <c r="BN66" i="1"/>
  <c r="BN65" i="1"/>
  <c r="BN64" i="1"/>
  <c r="BN47" i="1"/>
  <c r="BN61" i="1"/>
  <c r="BM66" i="1"/>
  <c r="BM47" i="1"/>
  <c r="BM61" i="1"/>
  <c r="BG66" i="1"/>
  <c r="BG65" i="1"/>
  <c r="BL66" i="1"/>
  <c r="BL65" i="1"/>
  <c r="BL64" i="1"/>
  <c r="BL47" i="1"/>
  <c r="BL61" i="1"/>
  <c r="BK66" i="1"/>
  <c r="BK64" i="1"/>
  <c r="BH68" i="1" l="1"/>
  <c r="BH69" i="1"/>
  <c r="BH66" i="1"/>
  <c r="BH65" i="1"/>
  <c r="BE66" i="1"/>
  <c r="BE68" i="1"/>
  <c r="BE69" i="1"/>
  <c r="BE65" i="1"/>
  <c r="BE64" i="1"/>
  <c r="BE47" i="1"/>
  <c r="BE61" i="1"/>
  <c r="BD68" i="1"/>
  <c r="BD69" i="1"/>
  <c r="BD66" i="1"/>
  <c r="BD64" i="1"/>
  <c r="BD47" i="1"/>
  <c r="BD61" i="1"/>
  <c r="BF69" i="1"/>
  <c r="BF66" i="1"/>
  <c r="BF65" i="1"/>
  <c r="BF64" i="1"/>
  <c r="BF47" i="1"/>
  <c r="BF61" i="1"/>
  <c r="BA66" i="1"/>
  <c r="BA64" i="1"/>
  <c r="AZ69" i="1"/>
  <c r="AZ66" i="1"/>
  <c r="AZ64" i="1"/>
  <c r="AZ47" i="1"/>
  <c r="AZ61" i="1"/>
  <c r="AY69" i="1"/>
  <c r="AY64" i="1"/>
  <c r="AY47" i="1"/>
  <c r="AY61" i="1"/>
  <c r="AJ64" i="1"/>
  <c r="AJ66" i="1"/>
  <c r="AJ47" i="1"/>
  <c r="AJ61" i="1"/>
  <c r="AJ68" i="1"/>
  <c r="AJ69" i="1"/>
  <c r="AJ65" i="1"/>
  <c r="AJ63" i="1"/>
  <c r="AV69" i="1"/>
  <c r="AV74" i="1"/>
  <c r="CC64" i="1"/>
  <c r="CC63" i="1"/>
  <c r="AG68" i="1"/>
  <c r="AG69" i="1"/>
  <c r="AG64" i="1"/>
  <c r="AG63" i="1"/>
  <c r="AG66" i="1"/>
  <c r="AG47" i="1"/>
  <c r="AG61" i="1"/>
  <c r="AG74" i="1"/>
  <c r="AG73" i="1"/>
  <c r="AL69" i="1"/>
  <c r="AL66" i="1"/>
  <c r="AL63" i="1"/>
  <c r="AL47" i="1"/>
  <c r="AL61" i="1"/>
  <c r="AL73" i="1"/>
  <c r="AK74" i="1"/>
  <c r="AK73" i="1"/>
  <c r="AE66" i="1"/>
  <c r="AE74" i="1"/>
  <c r="AE73" i="1"/>
  <c r="AC69" i="1"/>
  <c r="AC68" i="1"/>
  <c r="AC66" i="1"/>
  <c r="AC64" i="1"/>
  <c r="AC47" i="1"/>
  <c r="AC61" i="1"/>
  <c r="AC74" i="1"/>
  <c r="AC73" i="1"/>
  <c r="T64" i="1"/>
  <c r="T74" i="1"/>
  <c r="T73" i="1"/>
  <c r="AB69" i="1"/>
  <c r="AB64" i="1"/>
  <c r="AB66" i="1"/>
  <c r="AB47" i="1"/>
  <c r="AB61" i="1"/>
  <c r="AB74" i="1"/>
  <c r="AB73" i="1"/>
  <c r="AA74" i="1"/>
  <c r="AA73" i="1"/>
  <c r="Y64" i="1"/>
  <c r="Y69" i="1"/>
  <c r="Y66" i="1"/>
  <c r="Y47" i="1"/>
  <c r="Y61" i="1"/>
  <c r="Y74" i="1"/>
  <c r="Y73" i="1"/>
  <c r="W74" i="1"/>
  <c r="W73" i="1"/>
  <c r="W66" i="1"/>
  <c r="W64" i="1"/>
  <c r="W61" i="1"/>
  <c r="W47" i="1"/>
  <c r="X69" i="1"/>
  <c r="X64" i="1"/>
  <c r="X47" i="1"/>
  <c r="X61" i="1"/>
  <c r="X74" i="1"/>
  <c r="X73" i="1"/>
  <c r="V69" i="1"/>
  <c r="V47" i="1"/>
  <c r="V61" i="1"/>
  <c r="V74" i="1"/>
  <c r="V73" i="1"/>
  <c r="U64" i="1"/>
  <c r="U74" i="1"/>
  <c r="U73" i="1"/>
  <c r="U69" i="1"/>
  <c r="U68" i="1"/>
  <c r="U66" i="1"/>
  <c r="U63" i="1"/>
  <c r="U47" i="1"/>
  <c r="U61" i="1"/>
  <c r="S69" i="1"/>
  <c r="S68" i="1"/>
  <c r="S66" i="1"/>
  <c r="S64" i="1"/>
  <c r="S74" i="1"/>
  <c r="S73" i="1"/>
  <c r="P74" i="1"/>
  <c r="P73" i="1"/>
  <c r="R69" i="1"/>
  <c r="R74" i="1"/>
  <c r="R73" i="1"/>
  <c r="Q69" i="1" l="1"/>
  <c r="Q64" i="1"/>
  <c r="Q66" i="1"/>
  <c r="Q47" i="1"/>
  <c r="Q61" i="1"/>
  <c r="Q74" i="1"/>
  <c r="Q73" i="1"/>
  <c r="P68" i="1" l="1"/>
  <c r="P69" i="1"/>
  <c r="P64" i="1"/>
  <c r="P66" i="1"/>
  <c r="P47" i="1"/>
  <c r="P61" i="1"/>
  <c r="H69" i="1"/>
  <c r="H64" i="1"/>
  <c r="H66" i="1"/>
  <c r="H61" i="1"/>
  <c r="AO74" i="1" l="1"/>
  <c r="AO73" i="1"/>
  <c r="E64" i="1"/>
  <c r="J68" i="1"/>
  <c r="J64" i="1"/>
  <c r="J74" i="1"/>
  <c r="J73" i="1"/>
  <c r="O68" i="1"/>
  <c r="O69" i="1"/>
  <c r="O64" i="1"/>
  <c r="O66" i="1"/>
  <c r="O47" i="1"/>
  <c r="O61" i="1"/>
  <c r="O74" i="1"/>
  <c r="O73" i="1"/>
  <c r="E66" i="1"/>
  <c r="E47" i="1"/>
  <c r="E61" i="1"/>
  <c r="E68" i="1"/>
  <c r="E63" i="1"/>
  <c r="E69" i="1"/>
  <c r="C69" i="1"/>
  <c r="C64" i="1"/>
  <c r="C68" i="1"/>
  <c r="C66" i="1"/>
  <c r="C47" i="1"/>
  <c r="C61" i="1"/>
  <c r="O59" i="1" l="1"/>
  <c r="Y60" i="1"/>
  <c r="E60" i="1"/>
  <c r="AL60" i="1"/>
  <c r="AC60" i="1"/>
  <c r="BL60" i="1"/>
  <c r="Q60" i="1"/>
  <c r="BX60" i="1"/>
  <c r="H60" i="1"/>
  <c r="BE60" i="1"/>
  <c r="AB60" i="1"/>
  <c r="BR60" i="1"/>
  <c r="P60" i="1"/>
  <c r="CA60" i="1"/>
  <c r="BY60" i="1"/>
  <c r="W60" i="1"/>
  <c r="BD60" i="1"/>
  <c r="O60" i="1"/>
  <c r="U60" i="1"/>
  <c r="C60" i="1"/>
  <c r="BF60" i="1"/>
  <c r="BV60" i="1"/>
  <c r="AG60" i="1"/>
  <c r="V60" i="1"/>
  <c r="AY60" i="1"/>
  <c r="X60" i="1"/>
  <c r="BG60" i="1"/>
  <c r="AJ60" i="1"/>
  <c r="E64" i="10" l="1"/>
  <c r="E66" i="10"/>
  <c r="M817" i="10" l="1"/>
  <c r="K817" i="10"/>
  <c r="J817" i="10"/>
  <c r="I817" i="10"/>
  <c r="H817" i="10"/>
  <c r="G817" i="10"/>
  <c r="F817" i="10"/>
  <c r="E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K808" i="10"/>
  <c r="I808" i="10"/>
  <c r="H808" i="10"/>
  <c r="G808" i="10"/>
  <c r="F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K801" i="10"/>
  <c r="I801" i="10"/>
  <c r="H801" i="10"/>
  <c r="G801" i="10"/>
  <c r="F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H797" i="10"/>
  <c r="G797" i="10"/>
  <c r="F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C789" i="10"/>
  <c r="A789" i="10"/>
  <c r="T788" i="10"/>
  <c r="S788" i="10"/>
  <c r="R788" i="10"/>
  <c r="Q788" i="10"/>
  <c r="P788" i="10"/>
  <c r="M788" i="10"/>
  <c r="K788" i="10"/>
  <c r="H788" i="10"/>
  <c r="G788" i="10"/>
  <c r="F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H779" i="10"/>
  <c r="F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K764" i="10"/>
  <c r="I764" i="10"/>
  <c r="H764" i="10"/>
  <c r="F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K759" i="10"/>
  <c r="I759" i="10"/>
  <c r="H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H756" i="10"/>
  <c r="F756" i="10"/>
  <c r="D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K752" i="10"/>
  <c r="H752" i="10"/>
  <c r="G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F751" i="10"/>
  <c r="D751" i="10"/>
  <c r="C751" i="10"/>
  <c r="A751" i="10"/>
  <c r="T750" i="10"/>
  <c r="S750" i="10"/>
  <c r="R750" i="10"/>
  <c r="Q750" i="10"/>
  <c r="P750" i="10"/>
  <c r="O750" i="10"/>
  <c r="M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C748" i="10"/>
  <c r="B748" i="10"/>
  <c r="A748" i="10"/>
  <c r="T747" i="10"/>
  <c r="S747" i="10"/>
  <c r="R747" i="10"/>
  <c r="Q747" i="10"/>
  <c r="P747" i="10"/>
  <c r="M747" i="10"/>
  <c r="L747" i="10"/>
  <c r="K747" i="10"/>
  <c r="I747" i="10"/>
  <c r="H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K746" i="10"/>
  <c r="I746" i="10"/>
  <c r="H746" i="10"/>
  <c r="G746" i="10"/>
  <c r="F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Q736" i="10"/>
  <c r="P736" i="10"/>
  <c r="O736" i="10"/>
  <c r="M736" i="10"/>
  <c r="K736" i="10"/>
  <c r="I736" i="10"/>
  <c r="H736" i="10"/>
  <c r="F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M734" i="10"/>
  <c r="L734" i="10"/>
  <c r="K734" i="10"/>
  <c r="I734" i="10"/>
  <c r="H734" i="10"/>
  <c r="G734" i="10"/>
  <c r="F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P730" i="10"/>
  <c r="BO730" i="10"/>
  <c r="BN730" i="10"/>
  <c r="BM730" i="10"/>
  <c r="BK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H730" i="10"/>
  <c r="G730" i="10"/>
  <c r="F730" i="10"/>
  <c r="E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J722" i="10"/>
  <c r="BI722" i="10"/>
  <c r="BH722" i="10"/>
  <c r="BG722" i="10"/>
  <c r="BF722" i="10"/>
  <c r="BE722" i="10"/>
  <c r="BD722" i="10"/>
  <c r="BC722" i="10"/>
  <c r="BB722" i="10"/>
  <c r="BA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W722" i="10"/>
  <c r="V722" i="10"/>
  <c r="U722" i="10"/>
  <c r="T722" i="10"/>
  <c r="S722" i="10"/>
  <c r="R722" i="10"/>
  <c r="Q722" i="10"/>
  <c r="P722" i="10"/>
  <c r="O722" i="10"/>
  <c r="M722" i="10"/>
  <c r="K722" i="10"/>
  <c r="J722" i="10"/>
  <c r="I722" i="10"/>
  <c r="H722" i="10"/>
  <c r="G722" i="10"/>
  <c r="F722" i="10"/>
  <c r="E722" i="10"/>
  <c r="D722" i="10"/>
  <c r="B722" i="10"/>
  <c r="A722" i="10"/>
  <c r="C615" i="10"/>
  <c r="F550" i="10"/>
  <c r="E550" i="10"/>
  <c r="E546" i="10"/>
  <c r="E545" i="10"/>
  <c r="E544" i="10"/>
  <c r="H540" i="10"/>
  <c r="F540" i="10"/>
  <c r="E540" i="10"/>
  <c r="F539" i="10"/>
  <c r="E539" i="10"/>
  <c r="H539" i="10"/>
  <c r="H538" i="10"/>
  <c r="F538" i="10"/>
  <c r="E538" i="10"/>
  <c r="E537" i="10"/>
  <c r="H537" i="10"/>
  <c r="E536" i="10"/>
  <c r="E535" i="10"/>
  <c r="H534" i="10"/>
  <c r="E534" i="10"/>
  <c r="F534" i="10"/>
  <c r="H533" i="10"/>
  <c r="F533" i="10"/>
  <c r="E533" i="10"/>
  <c r="H532" i="10"/>
  <c r="F532" i="10"/>
  <c r="E532" i="10"/>
  <c r="F531" i="10"/>
  <c r="E531" i="10"/>
  <c r="H530" i="10"/>
  <c r="F530" i="10"/>
  <c r="E530" i="10"/>
  <c r="E529" i="10"/>
  <c r="H529" i="10"/>
  <c r="E528" i="10"/>
  <c r="E527" i="10"/>
  <c r="E526" i="10"/>
  <c r="F526" i="10"/>
  <c r="H525" i="10"/>
  <c r="F525" i="10"/>
  <c r="E525" i="10"/>
  <c r="F524" i="10"/>
  <c r="E524" i="10"/>
  <c r="F523" i="10"/>
  <c r="E523" i="10"/>
  <c r="H523" i="10"/>
  <c r="E522" i="10"/>
  <c r="F522" i="10"/>
  <c r="H520" i="10"/>
  <c r="E520" i="10"/>
  <c r="F520" i="10"/>
  <c r="H519" i="10"/>
  <c r="F519" i="10"/>
  <c r="E519" i="10"/>
  <c r="F518" i="10"/>
  <c r="F517" i="10"/>
  <c r="E517" i="10"/>
  <c r="F516" i="10"/>
  <c r="E516" i="10"/>
  <c r="E515" i="10"/>
  <c r="F513" i="10"/>
  <c r="F512" i="10"/>
  <c r="E511" i="10"/>
  <c r="E510" i="10"/>
  <c r="E509" i="10"/>
  <c r="E508" i="10"/>
  <c r="F508" i="10"/>
  <c r="H507" i="10"/>
  <c r="F507" i="10"/>
  <c r="E507" i="10"/>
  <c r="H506" i="10"/>
  <c r="F506" i="10"/>
  <c r="E506" i="10"/>
  <c r="F505" i="10"/>
  <c r="E505" i="10"/>
  <c r="H505" i="10"/>
  <c r="H504" i="10"/>
  <c r="F504" i="10"/>
  <c r="E504" i="10"/>
  <c r="E503" i="10"/>
  <c r="F502" i="10"/>
  <c r="E502" i="10"/>
  <c r="H502" i="10"/>
  <c r="E501" i="10"/>
  <c r="H500" i="10"/>
  <c r="E500" i="10"/>
  <c r="F500" i="10"/>
  <c r="H499" i="10"/>
  <c r="F499" i="10"/>
  <c r="E499" i="10"/>
  <c r="E498" i="10"/>
  <c r="F497" i="10"/>
  <c r="E497" i="10"/>
  <c r="H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C459" i="10"/>
  <c r="B459" i="10"/>
  <c r="B458" i="10"/>
  <c r="B455" i="10"/>
  <c r="B454" i="10"/>
  <c r="B453" i="10"/>
  <c r="C447" i="10"/>
  <c r="C446" i="10"/>
  <c r="C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L817" i="10" s="1"/>
  <c r="C378" i="10"/>
  <c r="B427" i="10" s="1"/>
  <c r="D372" i="10"/>
  <c r="D367" i="10"/>
  <c r="C448" i="10" s="1"/>
  <c r="C364" i="10"/>
  <c r="BL730" i="10" s="1"/>
  <c r="C359" i="10"/>
  <c r="D329" i="10"/>
  <c r="D328" i="10"/>
  <c r="D330" i="10" s="1"/>
  <c r="D319" i="10"/>
  <c r="D314" i="10"/>
  <c r="D290" i="10"/>
  <c r="D283" i="10"/>
  <c r="D275" i="10"/>
  <c r="D277" i="10" s="1"/>
  <c r="D265" i="10"/>
  <c r="C257" i="10"/>
  <c r="I730" i="10" s="1"/>
  <c r="C252" i="10"/>
  <c r="D730" i="10" s="1"/>
  <c r="D240" i="10"/>
  <c r="B447" i="10" s="1"/>
  <c r="D236" i="10"/>
  <c r="B446" i="10" s="1"/>
  <c r="D229" i="10"/>
  <c r="B445" i="10" s="1"/>
  <c r="D221" i="10"/>
  <c r="CD722" i="10" s="1"/>
  <c r="D217" i="10"/>
  <c r="E216" i="10"/>
  <c r="E215" i="10"/>
  <c r="B214" i="10"/>
  <c r="BK722" i="10" s="1"/>
  <c r="E213" i="10"/>
  <c r="E212" i="10"/>
  <c r="E211" i="10"/>
  <c r="C210" i="10"/>
  <c r="AZ722" i="10" s="1"/>
  <c r="B210" i="10"/>
  <c r="AY722" i="10" s="1"/>
  <c r="E209" i="10"/>
  <c r="D204" i="10"/>
  <c r="C204" i="10"/>
  <c r="E203" i="10"/>
  <c r="C475" i="10" s="1"/>
  <c r="E202" i="10"/>
  <c r="C474" i="10" s="1"/>
  <c r="B201" i="10"/>
  <c r="AJ722" i="10" s="1"/>
  <c r="E200" i="10"/>
  <c r="E199" i="10"/>
  <c r="C472" i="10" s="1"/>
  <c r="E198" i="10"/>
  <c r="C471" i="10" s="1"/>
  <c r="B197" i="10"/>
  <c r="X722" i="10" s="1"/>
  <c r="E196" i="10"/>
  <c r="C469" i="10" s="1"/>
  <c r="E195" i="10"/>
  <c r="C468" i="10" s="1"/>
  <c r="D190" i="10"/>
  <c r="D437" i="10" s="1"/>
  <c r="C184" i="10"/>
  <c r="C180" i="10"/>
  <c r="D177" i="10"/>
  <c r="D434" i="10" s="1"/>
  <c r="C166" i="10"/>
  <c r="C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E78" i="10"/>
  <c r="CE77" i="10"/>
  <c r="Q816" i="10" s="1"/>
  <c r="CE76" i="10"/>
  <c r="AU75" i="10"/>
  <c r="N778" i="10" s="1"/>
  <c r="AT75" i="10"/>
  <c r="N777" i="10" s="1"/>
  <c r="AS75" i="10"/>
  <c r="N776" i="10" s="1"/>
  <c r="AR75" i="10"/>
  <c r="N775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AV74" i="10"/>
  <c r="AV75" i="10" s="1"/>
  <c r="N779" i="10" s="1"/>
  <c r="Y74" i="10"/>
  <c r="U74" i="10"/>
  <c r="U75" i="10" s="1"/>
  <c r="N752" i="10" s="1"/>
  <c r="Q74" i="10"/>
  <c r="Q75" i="10" s="1"/>
  <c r="N748" i="10" s="1"/>
  <c r="P74" i="10"/>
  <c r="AQ73" i="10"/>
  <c r="AQ75" i="10" s="1"/>
  <c r="N774" i="10" s="1"/>
  <c r="Y73" i="10"/>
  <c r="O756" i="10" s="1"/>
  <c r="U73" i="10"/>
  <c r="O752" i="10" s="1"/>
  <c r="P73" i="10"/>
  <c r="O747" i="10" s="1"/>
  <c r="C73" i="10"/>
  <c r="O734" i="10" s="1"/>
  <c r="CD71" i="10"/>
  <c r="C575" i="10" s="1"/>
  <c r="CE70" i="10"/>
  <c r="BY69" i="10"/>
  <c r="L808" i="10" s="1"/>
  <c r="BR69" i="10"/>
  <c r="L801" i="10" s="1"/>
  <c r="BH69" i="10"/>
  <c r="L791" i="10" s="1"/>
  <c r="BE69" i="10"/>
  <c r="L788" i="10" s="1"/>
  <c r="AG69" i="10"/>
  <c r="L764" i="10" s="1"/>
  <c r="AB69" i="10"/>
  <c r="L759" i="10" s="1"/>
  <c r="Y69" i="10"/>
  <c r="L756" i="10" s="1"/>
  <c r="U69" i="10"/>
  <c r="L752" i="10" s="1"/>
  <c r="S69" i="10"/>
  <c r="L750" i="10" s="1"/>
  <c r="O69" i="10"/>
  <c r="L746" i="10" s="1"/>
  <c r="E69" i="10"/>
  <c r="L736" i="10" s="1"/>
  <c r="Y68" i="10"/>
  <c r="K756" i="10" s="1"/>
  <c r="BN66" i="10"/>
  <c r="I797" i="10" s="1"/>
  <c r="BK66" i="10"/>
  <c r="I794" i="10" s="1"/>
  <c r="BE66" i="10"/>
  <c r="I788" i="10" s="1"/>
  <c r="AV66" i="10"/>
  <c r="I779" i="10" s="1"/>
  <c r="Y66" i="10"/>
  <c r="I756" i="10" s="1"/>
  <c r="U66" i="10"/>
  <c r="I752" i="10" s="1"/>
  <c r="CE65" i="10"/>
  <c r="BA64" i="10"/>
  <c r="G784" i="10" s="1"/>
  <c r="AY64" i="10"/>
  <c r="G782" i="10" s="1"/>
  <c r="AV64" i="10"/>
  <c r="G779" i="10" s="1"/>
  <c r="AG64" i="10"/>
  <c r="G764" i="10" s="1"/>
  <c r="AC64" i="10"/>
  <c r="G760" i="10" s="1"/>
  <c r="AB64" i="10"/>
  <c r="G759" i="10" s="1"/>
  <c r="Y64" i="10"/>
  <c r="G756" i="10" s="1"/>
  <c r="T64" i="10"/>
  <c r="G751" i="10" s="1"/>
  <c r="R64" i="10"/>
  <c r="G749" i="10" s="1"/>
  <c r="P64" i="10"/>
  <c r="G747" i="10" s="1"/>
  <c r="G736" i="10"/>
  <c r="CE63" i="10"/>
  <c r="F816" i="10" s="1"/>
  <c r="BY61" i="10"/>
  <c r="D808" i="10" s="1"/>
  <c r="BW61" i="10"/>
  <c r="D806" i="10" s="1"/>
  <c r="BV61" i="10"/>
  <c r="BR61" i="10"/>
  <c r="BN61" i="10"/>
  <c r="D797" i="10" s="1"/>
  <c r="BF61" i="10"/>
  <c r="D789" i="10" s="1"/>
  <c r="BE61" i="10"/>
  <c r="BD61" i="10"/>
  <c r="D787" i="10" s="1"/>
  <c r="AV61" i="10"/>
  <c r="AG61" i="10"/>
  <c r="X61" i="10"/>
  <c r="Q61" i="10"/>
  <c r="O61" i="10"/>
  <c r="D746" i="10" s="1"/>
  <c r="E61" i="10"/>
  <c r="D736" i="10" s="1"/>
  <c r="C61" i="10"/>
  <c r="BY60" i="10"/>
  <c r="C808" i="10" s="1"/>
  <c r="BE60" i="10"/>
  <c r="C788" i="10" s="1"/>
  <c r="Y60" i="10"/>
  <c r="Y59" i="10"/>
  <c r="U59" i="10"/>
  <c r="B53" i="10"/>
  <c r="CE51" i="10"/>
  <c r="B49" i="10"/>
  <c r="CE47" i="10"/>
  <c r="D463" i="10" l="1"/>
  <c r="B444" i="10"/>
  <c r="C217" i="10"/>
  <c r="D433" i="10" s="1"/>
  <c r="CE68" i="10"/>
  <c r="E214" i="10"/>
  <c r="D260" i="10"/>
  <c r="D292" i="10" s="1"/>
  <c r="D341" i="10" s="1"/>
  <c r="C481" i="10" s="1"/>
  <c r="E197" i="10"/>
  <c r="D242" i="10"/>
  <c r="B448" i="10" s="1"/>
  <c r="CF77" i="10"/>
  <c r="B204" i="10"/>
  <c r="D464" i="10"/>
  <c r="D465" i="10" s="1"/>
  <c r="E210" i="10"/>
  <c r="E217" i="10" s="1"/>
  <c r="C478" i="10" s="1"/>
  <c r="B217" i="10"/>
  <c r="S815" i="10"/>
  <c r="O817" i="10"/>
  <c r="BJ730" i="10"/>
  <c r="D361" i="10"/>
  <c r="B463" i="10"/>
  <c r="K816" i="10"/>
  <c r="C434" i="10"/>
  <c r="CE74" i="10"/>
  <c r="C464" i="10" s="1"/>
  <c r="N722" i="10"/>
  <c r="D186" i="10"/>
  <c r="D436" i="10" s="1"/>
  <c r="C470" i="10"/>
  <c r="L722" i="10"/>
  <c r="D181" i="10"/>
  <c r="P75" i="10"/>
  <c r="N747" i="10" s="1"/>
  <c r="R736" i="10"/>
  <c r="R815" i="10" s="1"/>
  <c r="CE78" i="10"/>
  <c r="F521" i="10"/>
  <c r="D788" i="10"/>
  <c r="D748" i="10"/>
  <c r="F501" i="10"/>
  <c r="F509" i="10"/>
  <c r="B756" i="10"/>
  <c r="E518" i="10"/>
  <c r="D755" i="10"/>
  <c r="D805" i="10"/>
  <c r="D339" i="10"/>
  <c r="C482" i="10" s="1"/>
  <c r="D779" i="10"/>
  <c r="H816" i="10"/>
  <c r="C431" i="10"/>
  <c r="D734" i="10"/>
  <c r="CE61" i="10"/>
  <c r="D801" i="10"/>
  <c r="S816" i="10"/>
  <c r="J612" i="10"/>
  <c r="C756" i="10"/>
  <c r="C815" i="10" s="1"/>
  <c r="CE60" i="10"/>
  <c r="D764" i="10"/>
  <c r="CE64" i="10"/>
  <c r="CE66" i="10"/>
  <c r="C429" i="10"/>
  <c r="H528" i="10"/>
  <c r="F528" i="10"/>
  <c r="O774" i="10"/>
  <c r="O815" i="10" s="1"/>
  <c r="Y75" i="10"/>
  <c r="N756" i="10" s="1"/>
  <c r="C445" i="10"/>
  <c r="B476" i="10"/>
  <c r="F514" i="10"/>
  <c r="H535" i="10"/>
  <c r="F535" i="10"/>
  <c r="F544" i="10"/>
  <c r="P815" i="10"/>
  <c r="P816" i="10"/>
  <c r="D612" i="10"/>
  <c r="T816" i="10"/>
  <c r="L612" i="10"/>
  <c r="F498" i="10"/>
  <c r="CC730" i="10"/>
  <c r="F815" i="10"/>
  <c r="Q815" i="10"/>
  <c r="C75" i="10"/>
  <c r="CF76" i="10"/>
  <c r="E201" i="10"/>
  <c r="C473" i="10" s="1"/>
  <c r="B439" i="10"/>
  <c r="B440" i="10" s="1"/>
  <c r="H527" i="10"/>
  <c r="F527" i="10"/>
  <c r="B752" i="10"/>
  <c r="E514" i="10"/>
  <c r="CE69" i="10"/>
  <c r="CE73" i="10"/>
  <c r="D173" i="10"/>
  <c r="D428" i="10" s="1"/>
  <c r="D817" i="10"/>
  <c r="BQ730" i="10"/>
  <c r="D390" i="10"/>
  <c r="B441" i="10" s="1"/>
  <c r="C439" i="10"/>
  <c r="F510" i="10"/>
  <c r="G612" i="10"/>
  <c r="M816" i="10"/>
  <c r="C458" i="10"/>
  <c r="H536" i="10"/>
  <c r="F536" i="10"/>
  <c r="H545" i="10"/>
  <c r="F545" i="10"/>
  <c r="F503" i="10"/>
  <c r="F511" i="10"/>
  <c r="F515" i="10"/>
  <c r="F529" i="10"/>
  <c r="F537" i="10"/>
  <c r="F546" i="10"/>
  <c r="I815" i="10"/>
  <c r="K815" i="10"/>
  <c r="M815" i="10"/>
  <c r="G815" i="10"/>
  <c r="H815" i="10"/>
  <c r="T815" i="10"/>
  <c r="L815" i="10"/>
  <c r="E204" i="10" l="1"/>
  <c r="C476" i="10" s="1"/>
  <c r="I816" i="10"/>
  <c r="C432" i="10"/>
  <c r="O816" i="10"/>
  <c r="C463" i="10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Y52" i="10"/>
  <c r="BY67" i="10" s="1"/>
  <c r="J808" i="10" s="1"/>
  <c r="BK52" i="10"/>
  <c r="BK67" i="10" s="1"/>
  <c r="J794" i="10" s="1"/>
  <c r="AX52" i="10"/>
  <c r="AX67" i="10" s="1"/>
  <c r="J781" i="10" s="1"/>
  <c r="AL52" i="10"/>
  <c r="AL67" i="10" s="1"/>
  <c r="J769" i="10" s="1"/>
  <c r="X52" i="10"/>
  <c r="X67" i="10" s="1"/>
  <c r="J755" i="10" s="1"/>
  <c r="M52" i="10"/>
  <c r="M67" i="10" s="1"/>
  <c r="J744" i="10" s="1"/>
  <c r="BT52" i="10"/>
  <c r="BT67" i="10" s="1"/>
  <c r="J803" i="10" s="1"/>
  <c r="AH52" i="10"/>
  <c r="AH67" i="10" s="1"/>
  <c r="J765" i="10" s="1"/>
  <c r="H52" i="10"/>
  <c r="H67" i="10" s="1"/>
  <c r="J739" i="10" s="1"/>
  <c r="P52" i="10"/>
  <c r="P67" i="10" s="1"/>
  <c r="J747" i="10" s="1"/>
  <c r="AM52" i="10"/>
  <c r="AM67" i="10" s="1"/>
  <c r="J770" i="10" s="1"/>
  <c r="BV52" i="10"/>
  <c r="BV67" i="10" s="1"/>
  <c r="J805" i="10" s="1"/>
  <c r="BJ52" i="10"/>
  <c r="BJ67" i="10" s="1"/>
  <c r="J793" i="10" s="1"/>
  <c r="AV52" i="10"/>
  <c r="AV67" i="10" s="1"/>
  <c r="J779" i="10" s="1"/>
  <c r="AK52" i="10"/>
  <c r="AK67" i="10" s="1"/>
  <c r="J768" i="10" s="1"/>
  <c r="W52" i="10"/>
  <c r="W67" i="10" s="1"/>
  <c r="J754" i="10" s="1"/>
  <c r="J52" i="10"/>
  <c r="J67" i="10" s="1"/>
  <c r="J741" i="10" s="1"/>
  <c r="AU52" i="10"/>
  <c r="AU67" i="10" s="1"/>
  <c r="J778" i="10" s="1"/>
  <c r="V52" i="10"/>
  <c r="V67" i="10" s="1"/>
  <c r="J753" i="10" s="1"/>
  <c r="BQ52" i="10"/>
  <c r="BQ67" i="10" s="1"/>
  <c r="J800" i="10" s="1"/>
  <c r="E52" i="10"/>
  <c r="E67" i="10" s="1"/>
  <c r="J736" i="10" s="1"/>
  <c r="CA52" i="10"/>
  <c r="CA67" i="10" s="1"/>
  <c r="J810" i="10" s="1"/>
  <c r="AN52" i="10"/>
  <c r="AN67" i="10" s="1"/>
  <c r="J771" i="10" s="1"/>
  <c r="Z52" i="10"/>
  <c r="Z67" i="10" s="1"/>
  <c r="J757" i="10" s="1"/>
  <c r="BI52" i="10"/>
  <c r="BI67" i="10" s="1"/>
  <c r="J792" i="10" s="1"/>
  <c r="BC52" i="10"/>
  <c r="BC67" i="10" s="1"/>
  <c r="J786" i="10" s="1"/>
  <c r="BL52" i="10"/>
  <c r="BL67" i="10" s="1"/>
  <c r="J795" i="10" s="1"/>
  <c r="BS52" i="10"/>
  <c r="BS67" i="10" s="1"/>
  <c r="J802" i="10" s="1"/>
  <c r="BF52" i="10"/>
  <c r="BF67" i="10" s="1"/>
  <c r="J789" i="10" s="1"/>
  <c r="AT52" i="10"/>
  <c r="AT67" i="10" s="1"/>
  <c r="J777" i="10" s="1"/>
  <c r="AF52" i="10"/>
  <c r="AF67" i="10" s="1"/>
  <c r="J763" i="10" s="1"/>
  <c r="U52" i="10"/>
  <c r="U67" i="10" s="1"/>
  <c r="J752" i="10" s="1"/>
  <c r="G52" i="10"/>
  <c r="G67" i="10" s="1"/>
  <c r="J738" i="10" s="1"/>
  <c r="AP52" i="10"/>
  <c r="AP67" i="10" s="1"/>
  <c r="J773" i="10" s="1"/>
  <c r="BB52" i="10"/>
  <c r="BB67" i="10" s="1"/>
  <c r="J785" i="10" s="1"/>
  <c r="O52" i="10"/>
  <c r="O67" i="10" s="1"/>
  <c r="J746" i="10" s="1"/>
  <c r="BZ52" i="10"/>
  <c r="BZ67" i="10" s="1"/>
  <c r="J809" i="10" s="1"/>
  <c r="BA52" i="10"/>
  <c r="BA67" i="10" s="1"/>
  <c r="J784" i="10" s="1"/>
  <c r="N52" i="10"/>
  <c r="N67" i="10" s="1"/>
  <c r="J745" i="10" s="1"/>
  <c r="BR52" i="10"/>
  <c r="BR67" i="10" s="1"/>
  <c r="J801" i="10" s="1"/>
  <c r="BD52" i="10"/>
  <c r="BD67" i="10" s="1"/>
  <c r="J787" i="10" s="1"/>
  <c r="AS52" i="10"/>
  <c r="AS67" i="10" s="1"/>
  <c r="J776" i="10" s="1"/>
  <c r="AE52" i="10"/>
  <c r="AE67" i="10" s="1"/>
  <c r="J762" i="10" s="1"/>
  <c r="R52" i="10"/>
  <c r="R67" i="10" s="1"/>
  <c r="J749" i="10" s="1"/>
  <c r="F52" i="10"/>
  <c r="F67" i="10" s="1"/>
  <c r="J737" i="10" s="1"/>
  <c r="CB52" i="10"/>
  <c r="CB67" i="10" s="1"/>
  <c r="J811" i="10" s="1"/>
  <c r="AD52" i="10"/>
  <c r="AD67" i="10" s="1"/>
  <c r="J761" i="10" s="1"/>
  <c r="BN52" i="10"/>
  <c r="BN67" i="10" s="1"/>
  <c r="J797" i="10" s="1"/>
  <c r="AC52" i="10"/>
  <c r="AC67" i="10" s="1"/>
  <c r="J760" i="10" s="1"/>
  <c r="D816" i="10"/>
  <c r="C427" i="10"/>
  <c r="BZ48" i="10"/>
  <c r="BZ62" i="10" s="1"/>
  <c r="BY48" i="10"/>
  <c r="BY62" i="10" s="1"/>
  <c r="BQ48" i="10"/>
  <c r="BQ62" i="10" s="1"/>
  <c r="BI48" i="10"/>
  <c r="BI62" i="10" s="1"/>
  <c r="BA48" i="10"/>
  <c r="BA62" i="10" s="1"/>
  <c r="BW48" i="10"/>
  <c r="BW62" i="10" s="1"/>
  <c r="BO48" i="10"/>
  <c r="BO62" i="10" s="1"/>
  <c r="BG48" i="10"/>
  <c r="BG62" i="10" s="1"/>
  <c r="AY48" i="10"/>
  <c r="AY62" i="10" s="1"/>
  <c r="BS48" i="10"/>
  <c r="BS62" i="10" s="1"/>
  <c r="BH48" i="10"/>
  <c r="BH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BP48" i="10"/>
  <c r="BP62" i="10" s="1"/>
  <c r="AU48" i="10"/>
  <c r="AU62" i="10" s="1"/>
  <c r="AE48" i="10"/>
  <c r="AE62" i="10" s="1"/>
  <c r="G48" i="10"/>
  <c r="G62" i="10" s="1"/>
  <c r="AR48" i="10"/>
  <c r="AR62" i="10" s="1"/>
  <c r="L48" i="10"/>
  <c r="L62" i="10" s="1"/>
  <c r="AI48" i="10"/>
  <c r="AI62" i="10" s="1"/>
  <c r="BJ48" i="10"/>
  <c r="BJ62" i="10" s="1"/>
  <c r="J48" i="10"/>
  <c r="J62" i="10" s="1"/>
  <c r="CC48" i="10"/>
  <c r="CC62" i="10" s="1"/>
  <c r="BR48" i="10"/>
  <c r="BR62" i="10" s="1"/>
  <c r="BF48" i="10"/>
  <c r="BF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E48" i="10"/>
  <c r="BE62" i="10" s="1"/>
  <c r="AM48" i="10"/>
  <c r="AM62" i="10" s="1"/>
  <c r="O48" i="10"/>
  <c r="O62" i="10" s="1"/>
  <c r="AJ48" i="10"/>
  <c r="AJ62" i="10" s="1"/>
  <c r="AA48" i="10"/>
  <c r="AA62" i="10" s="1"/>
  <c r="AX48" i="10"/>
  <c r="AX62" i="10" s="1"/>
  <c r="R48" i="10"/>
  <c r="R62" i="10" s="1"/>
  <c r="CB48" i="10"/>
  <c r="CB62" i="10" s="1"/>
  <c r="W48" i="10"/>
  <c r="W62" i="10" s="1"/>
  <c r="BV48" i="10"/>
  <c r="BV62" i="10" s="1"/>
  <c r="T48" i="10"/>
  <c r="T62" i="10" s="1"/>
  <c r="BK48" i="10"/>
  <c r="BK62" i="10" s="1"/>
  <c r="BT48" i="10"/>
  <c r="BT62" i="10" s="1"/>
  <c r="CA48" i="10"/>
  <c r="CA62" i="10" s="1"/>
  <c r="BN48" i="10"/>
  <c r="BN62" i="10" s="1"/>
  <c r="BD48" i="10"/>
  <c r="BD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B48" i="10"/>
  <c r="BB62" i="10" s="1"/>
  <c r="AQ48" i="10"/>
  <c r="AQ62" i="10" s="1"/>
  <c r="K48" i="10"/>
  <c r="K62" i="10" s="1"/>
  <c r="AH48" i="10"/>
  <c r="AH62" i="10" s="1"/>
  <c r="BX48" i="10"/>
  <c r="BX62" i="10" s="1"/>
  <c r="BM48" i="10"/>
  <c r="BM62" i="10" s="1"/>
  <c r="BC48" i="10"/>
  <c r="BC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L48" i="10"/>
  <c r="BL62" i="10" s="1"/>
  <c r="AB48" i="10"/>
  <c r="AB62" i="10" s="1"/>
  <c r="D48" i="10"/>
  <c r="D62" i="10" s="1"/>
  <c r="BU48" i="10"/>
  <c r="BU62" i="10" s="1"/>
  <c r="AZ48" i="10"/>
  <c r="AZ62" i="10" s="1"/>
  <c r="S48" i="10"/>
  <c r="S62" i="10" s="1"/>
  <c r="C48" i="10"/>
  <c r="AP48" i="10"/>
  <c r="AP62" i="10" s="1"/>
  <c r="Z48" i="10"/>
  <c r="Z62" i="10" s="1"/>
  <c r="L816" i="10"/>
  <c r="C440" i="10"/>
  <c r="N734" i="10"/>
  <c r="N815" i="10" s="1"/>
  <c r="CE75" i="10"/>
  <c r="D815" i="10"/>
  <c r="G816" i="10"/>
  <c r="F612" i="10"/>
  <c r="C430" i="10"/>
  <c r="R816" i="10"/>
  <c r="I612" i="10"/>
  <c r="N817" i="10"/>
  <c r="B465" i="10"/>
  <c r="D368" i="10"/>
  <c r="D373" i="10" s="1"/>
  <c r="D391" i="10" s="1"/>
  <c r="D393" i="10" s="1"/>
  <c r="D396" i="10" s="1"/>
  <c r="C816" i="10"/>
  <c r="BI730" i="10"/>
  <c r="H612" i="10"/>
  <c r="D435" i="10"/>
  <c r="D438" i="10"/>
  <c r="E785" i="10" l="1"/>
  <c r="BB71" i="10"/>
  <c r="E791" i="10"/>
  <c r="BH71" i="10"/>
  <c r="E776" i="10"/>
  <c r="AS71" i="10"/>
  <c r="E749" i="10"/>
  <c r="R71" i="10"/>
  <c r="E808" i="10"/>
  <c r="BY71" i="10"/>
  <c r="E745" i="10"/>
  <c r="N71" i="10"/>
  <c r="E793" i="10"/>
  <c r="BJ71" i="10"/>
  <c r="E809" i="10"/>
  <c r="BZ71" i="10"/>
  <c r="E757" i="10"/>
  <c r="Z71" i="10"/>
  <c r="E795" i="10"/>
  <c r="BL71" i="10"/>
  <c r="E796" i="10"/>
  <c r="BM71" i="10"/>
  <c r="E753" i="10"/>
  <c r="V71" i="10"/>
  <c r="E794" i="10"/>
  <c r="BK71" i="10"/>
  <c r="E758" i="10"/>
  <c r="AA71" i="10"/>
  <c r="E763" i="10"/>
  <c r="AF71" i="10"/>
  <c r="E766" i="10"/>
  <c r="AI71" i="10"/>
  <c r="E748" i="10"/>
  <c r="Q71" i="10"/>
  <c r="E790" i="10"/>
  <c r="BG71" i="10"/>
  <c r="E804" i="10"/>
  <c r="BU71" i="10"/>
  <c r="E739" i="10"/>
  <c r="H71" i="10"/>
  <c r="E735" i="10"/>
  <c r="D71" i="10"/>
  <c r="E810" i="10"/>
  <c r="CA71" i="10"/>
  <c r="E799" i="10"/>
  <c r="BP71" i="10"/>
  <c r="E786" i="10"/>
  <c r="BC71" i="10"/>
  <c r="E781" i="10"/>
  <c r="AX71" i="10"/>
  <c r="E740" i="10"/>
  <c r="I71" i="10"/>
  <c r="E736" i="10"/>
  <c r="E71" i="10"/>
  <c r="E751" i="10"/>
  <c r="T71" i="10"/>
  <c r="E743" i="10"/>
  <c r="L71" i="10"/>
  <c r="E744" i="10"/>
  <c r="M71" i="10"/>
  <c r="E769" i="10"/>
  <c r="AL71" i="10"/>
  <c r="E805" i="10"/>
  <c r="BV71" i="10"/>
  <c r="E746" i="10"/>
  <c r="O71" i="10"/>
  <c r="E779" i="10"/>
  <c r="AV71" i="10"/>
  <c r="E775" i="10"/>
  <c r="AR71" i="10"/>
  <c r="E764" i="10"/>
  <c r="AG71" i="10"/>
  <c r="E806" i="10"/>
  <c r="BW71" i="10"/>
  <c r="E797" i="10"/>
  <c r="BN71" i="10"/>
  <c r="E812" i="10"/>
  <c r="CC71" i="10"/>
  <c r="E800" i="10"/>
  <c r="BQ71" i="10"/>
  <c r="C67" i="10"/>
  <c r="CE52" i="10"/>
  <c r="E747" i="10"/>
  <c r="P71" i="10"/>
  <c r="E759" i="10"/>
  <c r="AB71" i="10"/>
  <c r="E755" i="10"/>
  <c r="X71" i="10"/>
  <c r="E807" i="10"/>
  <c r="BX71" i="10"/>
  <c r="E767" i="10"/>
  <c r="AJ71" i="10"/>
  <c r="E771" i="10"/>
  <c r="AN71" i="10"/>
  <c r="E798" i="10"/>
  <c r="BO71" i="10"/>
  <c r="CE48" i="10"/>
  <c r="C62" i="10"/>
  <c r="E752" i="10"/>
  <c r="U71" i="10"/>
  <c r="E742" i="10"/>
  <c r="K71" i="10"/>
  <c r="E777" i="10"/>
  <c r="AT71" i="10"/>
  <c r="E754" i="10"/>
  <c r="W71" i="10"/>
  <c r="E770" i="10"/>
  <c r="AM71" i="10"/>
  <c r="E789" i="10"/>
  <c r="BF71" i="10"/>
  <c r="E738" i="10"/>
  <c r="G71" i="10"/>
  <c r="E772" i="10"/>
  <c r="AO71" i="10"/>
  <c r="E784" i="10"/>
  <c r="BA71" i="10"/>
  <c r="E768" i="10"/>
  <c r="AK71" i="10"/>
  <c r="E778" i="10"/>
  <c r="AU71" i="10"/>
  <c r="E737" i="10"/>
  <c r="F71" i="10"/>
  <c r="E741" i="10"/>
  <c r="J71" i="10"/>
  <c r="E802" i="10"/>
  <c r="BS71" i="10"/>
  <c r="E803" i="10"/>
  <c r="BT71" i="10"/>
  <c r="E782" i="10"/>
  <c r="AY71" i="10"/>
  <c r="E773" i="10"/>
  <c r="AP71" i="10"/>
  <c r="E761" i="10"/>
  <c r="AD71" i="10"/>
  <c r="E756" i="10"/>
  <c r="Y71" i="10"/>
  <c r="E765" i="10"/>
  <c r="AH71" i="10"/>
  <c r="E750" i="10"/>
  <c r="S71" i="10"/>
  <c r="N816" i="10"/>
  <c r="K612" i="10"/>
  <c r="C465" i="10"/>
  <c r="E783" i="10"/>
  <c r="AZ71" i="10"/>
  <c r="E760" i="10"/>
  <c r="AC71" i="10"/>
  <c r="E774" i="10"/>
  <c r="AQ71" i="10"/>
  <c r="E787" i="10"/>
  <c r="BD71" i="10"/>
  <c r="E811" i="10"/>
  <c r="CB71" i="10"/>
  <c r="E788" i="10"/>
  <c r="BE71" i="10"/>
  <c r="E801" i="10"/>
  <c r="BR71" i="10"/>
  <c r="E762" i="10"/>
  <c r="AE71" i="10"/>
  <c r="E780" i="10"/>
  <c r="AW71" i="10"/>
  <c r="E792" i="10"/>
  <c r="BI71" i="10"/>
  <c r="C642" i="10" l="1"/>
  <c r="C567" i="10"/>
  <c r="C673" i="10"/>
  <c r="C501" i="10"/>
  <c r="C646" i="10"/>
  <c r="C571" i="10"/>
  <c r="C683" i="10"/>
  <c r="C511" i="10"/>
  <c r="C639" i="10"/>
  <c r="C564" i="10"/>
  <c r="C551" i="10"/>
  <c r="C629" i="10"/>
  <c r="C705" i="10"/>
  <c r="C533" i="10"/>
  <c r="G533" i="10" s="1"/>
  <c r="C563" i="10"/>
  <c r="C626" i="10"/>
  <c r="C620" i="10"/>
  <c r="C574" i="10"/>
  <c r="C709" i="10"/>
  <c r="C537" i="10"/>
  <c r="G537" i="10" s="1"/>
  <c r="C703" i="10"/>
  <c r="C531" i="10"/>
  <c r="C670" i="10"/>
  <c r="C498" i="10"/>
  <c r="C621" i="10"/>
  <c r="C561" i="10"/>
  <c r="C641" i="10"/>
  <c r="C566" i="10"/>
  <c r="C697" i="10"/>
  <c r="C525" i="10"/>
  <c r="G525" i="10" s="1"/>
  <c r="C638" i="10"/>
  <c r="C558" i="10"/>
  <c r="C555" i="10"/>
  <c r="C617" i="10"/>
  <c r="C710" i="10"/>
  <c r="C538" i="10"/>
  <c r="G538" i="10" s="1"/>
  <c r="C696" i="10"/>
  <c r="C524" i="10"/>
  <c r="C623" i="10"/>
  <c r="C562" i="10"/>
  <c r="C700" i="10"/>
  <c r="C528" i="10"/>
  <c r="G528" i="10" s="1"/>
  <c r="C695" i="10"/>
  <c r="C523" i="10"/>
  <c r="G523" i="10" s="1"/>
  <c r="C530" i="10"/>
  <c r="G530" i="10" s="1"/>
  <c r="C702" i="10"/>
  <c r="C676" i="10"/>
  <c r="C504" i="10"/>
  <c r="G504" i="10" s="1"/>
  <c r="C693" i="10"/>
  <c r="C521" i="10"/>
  <c r="C708" i="10"/>
  <c r="C536" i="10"/>
  <c r="G536" i="10" s="1"/>
  <c r="C684" i="10"/>
  <c r="C512" i="10"/>
  <c r="C707" i="10"/>
  <c r="C535" i="10"/>
  <c r="G535" i="10" s="1"/>
  <c r="C675" i="10"/>
  <c r="C503" i="10"/>
  <c r="C630" i="10"/>
  <c r="C546" i="10"/>
  <c r="C704" i="10"/>
  <c r="C532" i="10"/>
  <c r="G532" i="10" s="1"/>
  <c r="C686" i="10"/>
  <c r="C514" i="10"/>
  <c r="C701" i="10"/>
  <c r="C529" i="10"/>
  <c r="G529" i="10" s="1"/>
  <c r="C681" i="10"/>
  <c r="C509" i="10"/>
  <c r="C515" i="10"/>
  <c r="C687" i="10"/>
  <c r="C713" i="10"/>
  <c r="C541" i="10"/>
  <c r="C706" i="10"/>
  <c r="C534" i="10"/>
  <c r="G534" i="10" s="1"/>
  <c r="C549" i="10"/>
  <c r="C624" i="10"/>
  <c r="C698" i="10"/>
  <c r="C526" i="10"/>
  <c r="C633" i="10"/>
  <c r="C548" i="10"/>
  <c r="C634" i="10"/>
  <c r="C554" i="10"/>
  <c r="C674" i="10"/>
  <c r="C502" i="10"/>
  <c r="G502" i="10" s="1"/>
  <c r="C552" i="10"/>
  <c r="C618" i="10"/>
  <c r="C692" i="10"/>
  <c r="C520" i="10"/>
  <c r="G520" i="10" s="1"/>
  <c r="C636" i="10"/>
  <c r="C553" i="10"/>
  <c r="C625" i="10"/>
  <c r="C544" i="10"/>
  <c r="C688" i="10"/>
  <c r="C516" i="10"/>
  <c r="C644" i="10"/>
  <c r="C569" i="10"/>
  <c r="C631" i="10"/>
  <c r="C542" i="10"/>
  <c r="C622" i="10"/>
  <c r="C573" i="10"/>
  <c r="C628" i="10"/>
  <c r="C545" i="10"/>
  <c r="G545" i="10" s="1"/>
  <c r="C643" i="10"/>
  <c r="C568" i="10"/>
  <c r="C680" i="10"/>
  <c r="C508" i="10"/>
  <c r="C505" i="10"/>
  <c r="G505" i="10" s="1"/>
  <c r="C677" i="10"/>
  <c r="C616" i="10"/>
  <c r="C543" i="10"/>
  <c r="C497" i="10"/>
  <c r="G497" i="10" s="1"/>
  <c r="C669" i="10"/>
  <c r="C682" i="10"/>
  <c r="C510" i="10"/>
  <c r="C635" i="10"/>
  <c r="C556" i="10"/>
  <c r="C691" i="10"/>
  <c r="C519" i="10"/>
  <c r="G519" i="10" s="1"/>
  <c r="C645" i="10"/>
  <c r="C570" i="10"/>
  <c r="C632" i="10"/>
  <c r="C547" i="10"/>
  <c r="C513" i="10"/>
  <c r="C685" i="10"/>
  <c r="C614" i="10"/>
  <c r="C550" i="10"/>
  <c r="C522" i="10"/>
  <c r="C694" i="10"/>
  <c r="C619" i="10"/>
  <c r="C559" i="10"/>
  <c r="C678" i="10"/>
  <c r="C506" i="10"/>
  <c r="G506" i="10" s="1"/>
  <c r="C647" i="10"/>
  <c r="C572" i="10"/>
  <c r="C637" i="10"/>
  <c r="C557" i="10"/>
  <c r="C507" i="10"/>
  <c r="G507" i="10" s="1"/>
  <c r="C679" i="10"/>
  <c r="C699" i="10"/>
  <c r="C527" i="10"/>
  <c r="G527" i="10" s="1"/>
  <c r="C671" i="10"/>
  <c r="C499" i="10"/>
  <c r="G499" i="10" s="1"/>
  <c r="E734" i="10"/>
  <c r="E815" i="10" s="1"/>
  <c r="CE62" i="10"/>
  <c r="C71" i="10"/>
  <c r="C690" i="10"/>
  <c r="C518" i="10"/>
  <c r="C640" i="10"/>
  <c r="C565" i="10"/>
  <c r="C540" i="10"/>
  <c r="G540" i="10" s="1"/>
  <c r="C712" i="10"/>
  <c r="C672" i="10"/>
  <c r="C500" i="10"/>
  <c r="G500" i="10" s="1"/>
  <c r="C711" i="10"/>
  <c r="C539" i="10"/>
  <c r="G539" i="10" s="1"/>
  <c r="C560" i="10"/>
  <c r="C627" i="10"/>
  <c r="C689" i="10"/>
  <c r="C517" i="10"/>
  <c r="J734" i="10"/>
  <c r="J815" i="10" s="1"/>
  <c r="CE67" i="10"/>
  <c r="G511" i="10" l="1"/>
  <c r="H511" i="10" s="1"/>
  <c r="G522" i="10"/>
  <c r="H522" i="10" s="1"/>
  <c r="G550" i="10"/>
  <c r="H550" i="10" s="1"/>
  <c r="H516" i="10"/>
  <c r="G516" i="10"/>
  <c r="H512" i="10"/>
  <c r="G512" i="10"/>
  <c r="G524" i="10"/>
  <c r="H524" i="10" s="1"/>
  <c r="G531" i="10"/>
  <c r="H531" i="10"/>
  <c r="G498" i="10"/>
  <c r="H498" i="10"/>
  <c r="G517" i="10"/>
  <c r="H517" i="10" s="1"/>
  <c r="G526" i="10"/>
  <c r="H526" i="10" s="1"/>
  <c r="C648" i="10"/>
  <c r="M716" i="10" s="1"/>
  <c r="Y816" i="10" s="1"/>
  <c r="D615" i="10"/>
  <c r="G515" i="10"/>
  <c r="H515" i="10"/>
  <c r="G544" i="10"/>
  <c r="H544" i="10"/>
  <c r="G509" i="10"/>
  <c r="H509" i="10" s="1"/>
  <c r="G546" i="10"/>
  <c r="H546" i="10"/>
  <c r="G501" i="10"/>
  <c r="H501" i="10"/>
  <c r="G518" i="10"/>
  <c r="H518" i="10" s="1"/>
  <c r="H513" i="10"/>
  <c r="G513" i="10"/>
  <c r="E816" i="10"/>
  <c r="C428" i="10"/>
  <c r="CE71" i="10"/>
  <c r="C716" i="10" s="1"/>
  <c r="G514" i="10"/>
  <c r="H514" i="10" s="1"/>
  <c r="G510" i="10"/>
  <c r="H510" i="10" s="1"/>
  <c r="G508" i="10"/>
  <c r="H508" i="10"/>
  <c r="G503" i="10"/>
  <c r="H503" i="10"/>
  <c r="G521" i="10"/>
  <c r="H521" i="10"/>
  <c r="J816" i="10"/>
  <c r="C433" i="10"/>
  <c r="C668" i="10"/>
  <c r="C715" i="10" s="1"/>
  <c r="C496" i="10"/>
  <c r="C441" i="10" l="1"/>
  <c r="G496" i="10"/>
  <c r="H496" i="10" s="1"/>
  <c r="D712" i="10"/>
  <c r="D706" i="10"/>
  <c r="D698" i="10"/>
  <c r="D711" i="10"/>
  <c r="D703" i="10"/>
  <c r="D695" i="10"/>
  <c r="D708" i="10"/>
  <c r="D700" i="10"/>
  <c r="D713" i="10"/>
  <c r="D705" i="10"/>
  <c r="D704" i="10"/>
  <c r="D693" i="10"/>
  <c r="D689" i="10"/>
  <c r="D681" i="10"/>
  <c r="D673" i="10"/>
  <c r="D710" i="10"/>
  <c r="D692" i="10"/>
  <c r="D686" i="10"/>
  <c r="D678" i="10"/>
  <c r="D670" i="10"/>
  <c r="D647" i="10"/>
  <c r="D646" i="10"/>
  <c r="D645" i="10"/>
  <c r="D699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707" i="10"/>
  <c r="D691" i="10"/>
  <c r="D688" i="10"/>
  <c r="D680" i="10"/>
  <c r="D672" i="10"/>
  <c r="D685" i="10"/>
  <c r="D677" i="10"/>
  <c r="D669" i="10"/>
  <c r="D682" i="10"/>
  <c r="D634" i="10"/>
  <c r="D630" i="10"/>
  <c r="D625" i="10"/>
  <c r="D697" i="10"/>
  <c r="D694" i="10"/>
  <c r="D684" i="10"/>
  <c r="D674" i="10"/>
  <c r="D628" i="10"/>
  <c r="D622" i="10"/>
  <c r="D618" i="10"/>
  <c r="D676" i="10"/>
  <c r="D631" i="10"/>
  <c r="D709" i="10"/>
  <c r="D702" i="10"/>
  <c r="D668" i="10"/>
  <c r="D626" i="10"/>
  <c r="D621" i="10"/>
  <c r="D617" i="10"/>
  <c r="D696" i="10"/>
  <c r="D687" i="10"/>
  <c r="D632" i="10"/>
  <c r="D624" i="10"/>
  <c r="D716" i="10"/>
  <c r="D627" i="10"/>
  <c r="D620" i="10"/>
  <c r="D690" i="10"/>
  <c r="D679" i="10"/>
  <c r="D619" i="10"/>
  <c r="D616" i="10"/>
  <c r="D701" i="10"/>
  <c r="D633" i="10"/>
  <c r="D629" i="10"/>
  <c r="D671" i="10"/>
  <c r="D623" i="10"/>
  <c r="E612" i="10" l="1"/>
  <c r="D715" i="10"/>
  <c r="E623" i="10"/>
  <c r="E709" i="10" l="1"/>
  <c r="E711" i="10"/>
  <c r="E703" i="10"/>
  <c r="E708" i="10"/>
  <c r="E700" i="10"/>
  <c r="E692" i="10"/>
  <c r="E713" i="10"/>
  <c r="E705" i="10"/>
  <c r="E697" i="10"/>
  <c r="E710" i="10"/>
  <c r="E686" i="10"/>
  <c r="E678" i="10"/>
  <c r="E670" i="10"/>
  <c r="E647" i="10"/>
  <c r="E646" i="10"/>
  <c r="E645" i="10"/>
  <c r="E699" i="10"/>
  <c r="E698" i="10"/>
  <c r="E683" i="10"/>
  <c r="E675" i="10"/>
  <c r="E644" i="10"/>
  <c r="E643" i="10"/>
  <c r="E707" i="10"/>
  <c r="E706" i="10"/>
  <c r="E691" i="10"/>
  <c r="E688" i="10"/>
  <c r="E680" i="10"/>
  <c r="E672" i="10"/>
  <c r="E685" i="10"/>
  <c r="E677" i="10"/>
  <c r="E669" i="10"/>
  <c r="E702" i="10"/>
  <c r="E701" i="10"/>
  <c r="E690" i="10"/>
  <c r="E682" i="10"/>
  <c r="E674" i="10"/>
  <c r="E694" i="10"/>
  <c r="E684" i="10"/>
  <c r="E637" i="10"/>
  <c r="E628" i="10"/>
  <c r="E676" i="10"/>
  <c r="E640" i="10"/>
  <c r="E631" i="10"/>
  <c r="E668" i="10"/>
  <c r="E635" i="10"/>
  <c r="E626" i="10"/>
  <c r="E696" i="10"/>
  <c r="E687" i="10"/>
  <c r="E638" i="10"/>
  <c r="E632" i="10"/>
  <c r="E624" i="10"/>
  <c r="E712" i="10"/>
  <c r="E689" i="10"/>
  <c r="E679" i="10"/>
  <c r="E641" i="10"/>
  <c r="E629" i="10"/>
  <c r="E639" i="10"/>
  <c r="E704" i="10"/>
  <c r="E695" i="10"/>
  <c r="E634" i="10"/>
  <c r="E673" i="10"/>
  <c r="E642" i="10"/>
  <c r="E633" i="10"/>
  <c r="E630" i="10"/>
  <c r="E693" i="10"/>
  <c r="E625" i="10"/>
  <c r="E681" i="10"/>
  <c r="E716" i="10"/>
  <c r="E627" i="10"/>
  <c r="E636" i="10"/>
  <c r="E671" i="10"/>
  <c r="E715" i="10" l="1"/>
  <c r="F624" i="10"/>
  <c r="F708" i="10" l="1"/>
  <c r="F700" i="10"/>
  <c r="F713" i="10"/>
  <c r="F705" i="10"/>
  <c r="F697" i="10"/>
  <c r="F710" i="10"/>
  <c r="F702" i="10"/>
  <c r="F694" i="10"/>
  <c r="F699" i="10"/>
  <c r="F698" i="10"/>
  <c r="F692" i="10"/>
  <c r="F683" i="10"/>
  <c r="F675" i="10"/>
  <c r="F644" i="10"/>
  <c r="F643" i="10"/>
  <c r="F707" i="10"/>
  <c r="F706" i="10"/>
  <c r="F691" i="10"/>
  <c r="F688" i="10"/>
  <c r="F680" i="10"/>
  <c r="F672" i="10"/>
  <c r="F685" i="10"/>
  <c r="F677" i="10"/>
  <c r="F669" i="10"/>
  <c r="F711" i="10"/>
  <c r="F701" i="10"/>
  <c r="F690" i="10"/>
  <c r="F682" i="10"/>
  <c r="F674" i="10"/>
  <c r="F716" i="10"/>
  <c r="F687" i="10"/>
  <c r="F679" i="10"/>
  <c r="F671" i="10"/>
  <c r="F686" i="10"/>
  <c r="F676" i="10"/>
  <c r="F640" i="10"/>
  <c r="F631" i="10"/>
  <c r="F703" i="10"/>
  <c r="F678" i="10"/>
  <c r="F668" i="10"/>
  <c r="F646" i="10"/>
  <c r="F635" i="10"/>
  <c r="F626" i="10"/>
  <c r="F709" i="10"/>
  <c r="F696" i="10"/>
  <c r="F670" i="10"/>
  <c r="F638" i="10"/>
  <c r="F632" i="10"/>
  <c r="F712" i="10"/>
  <c r="F689" i="10"/>
  <c r="F641" i="10"/>
  <c r="F629" i="10"/>
  <c r="F693" i="10"/>
  <c r="F681" i="10"/>
  <c r="F645" i="10"/>
  <c r="F636" i="10"/>
  <c r="F633" i="10"/>
  <c r="F627" i="10"/>
  <c r="F704" i="10"/>
  <c r="F695" i="10"/>
  <c r="F634" i="10"/>
  <c r="F684" i="10"/>
  <c r="F673" i="10"/>
  <c r="F642" i="10"/>
  <c r="F630" i="10"/>
  <c r="F625" i="10"/>
  <c r="F647" i="10"/>
  <c r="F637" i="10"/>
  <c r="F628" i="10"/>
  <c r="F639" i="10"/>
  <c r="F715" i="10" l="1"/>
  <c r="G625" i="10"/>
  <c r="G711" i="10" l="1"/>
  <c r="G713" i="10"/>
  <c r="G705" i="10"/>
  <c r="G697" i="10"/>
  <c r="G710" i="10"/>
  <c r="G702" i="10"/>
  <c r="G694" i="10"/>
  <c r="G716" i="10"/>
  <c r="G707" i="10"/>
  <c r="G699" i="10"/>
  <c r="G706" i="10"/>
  <c r="G691" i="10"/>
  <c r="G688" i="10"/>
  <c r="G680" i="10"/>
  <c r="G672" i="10"/>
  <c r="G685" i="10"/>
  <c r="G677" i="10"/>
  <c r="G669" i="10"/>
  <c r="G701" i="10"/>
  <c r="G700" i="10"/>
  <c r="G690" i="10"/>
  <c r="G682" i="10"/>
  <c r="G674" i="10"/>
  <c r="G708" i="10"/>
  <c r="G687" i="10"/>
  <c r="G679" i="10"/>
  <c r="G671" i="10"/>
  <c r="G712" i="10"/>
  <c r="G696" i="10"/>
  <c r="G695" i="10"/>
  <c r="G684" i="10"/>
  <c r="G676" i="10"/>
  <c r="G668" i="10"/>
  <c r="G628" i="10"/>
  <c r="G703" i="10"/>
  <c r="G692" i="10"/>
  <c r="G678" i="10"/>
  <c r="G646" i="10"/>
  <c r="G635" i="10"/>
  <c r="G626" i="10"/>
  <c r="G709" i="10"/>
  <c r="G670" i="10"/>
  <c r="G638" i="10"/>
  <c r="G632" i="10"/>
  <c r="G689" i="10"/>
  <c r="G643" i="10"/>
  <c r="G641" i="10"/>
  <c r="G629" i="10"/>
  <c r="G693" i="10"/>
  <c r="G681" i="10"/>
  <c r="G645" i="10"/>
  <c r="G636" i="10"/>
  <c r="G633" i="10"/>
  <c r="G627" i="10"/>
  <c r="G683" i="10"/>
  <c r="G673" i="10"/>
  <c r="G639" i="10"/>
  <c r="G704" i="10"/>
  <c r="G644" i="10"/>
  <c r="G634" i="10"/>
  <c r="G631" i="10"/>
  <c r="G642" i="10"/>
  <c r="G630" i="10"/>
  <c r="G647" i="10"/>
  <c r="G637" i="10"/>
  <c r="G640" i="10"/>
  <c r="G686" i="10"/>
  <c r="G698" i="10"/>
  <c r="G675" i="10"/>
  <c r="H628" i="10" l="1"/>
  <c r="G715" i="10"/>
  <c r="H708" i="10"/>
  <c r="H710" i="10"/>
  <c r="H702" i="10"/>
  <c r="H716" i="10"/>
  <c r="H707" i="10"/>
  <c r="H699" i="10"/>
  <c r="H691" i="10"/>
  <c r="H712" i="10"/>
  <c r="H704" i="10"/>
  <c r="H696" i="10"/>
  <c r="H685" i="10"/>
  <c r="H677" i="10"/>
  <c r="H669" i="10"/>
  <c r="H701" i="10"/>
  <c r="H700" i="10"/>
  <c r="H690" i="10"/>
  <c r="H682" i="10"/>
  <c r="H674" i="10"/>
  <c r="H711" i="10"/>
  <c r="H687" i="10"/>
  <c r="H679" i="10"/>
  <c r="H671" i="10"/>
  <c r="H695" i="10"/>
  <c r="H684" i="10"/>
  <c r="H676" i="10"/>
  <c r="H668" i="10"/>
  <c r="H709" i="10"/>
  <c r="H703" i="10"/>
  <c r="H694" i="10"/>
  <c r="H693" i="10"/>
  <c r="H689" i="10"/>
  <c r="H681" i="10"/>
  <c r="H673" i="10"/>
  <c r="H697" i="10"/>
  <c r="H680" i="10"/>
  <c r="H670" i="10"/>
  <c r="H638" i="10"/>
  <c r="H632" i="10"/>
  <c r="H706" i="10"/>
  <c r="H672" i="10"/>
  <c r="H643" i="10"/>
  <c r="H641" i="10"/>
  <c r="H629" i="10"/>
  <c r="H713" i="10"/>
  <c r="H645" i="10"/>
  <c r="H636" i="10"/>
  <c r="H633" i="10"/>
  <c r="H683" i="10"/>
  <c r="H639" i="10"/>
  <c r="H705" i="10"/>
  <c r="H675" i="10"/>
  <c r="H647" i="10"/>
  <c r="H642" i="10"/>
  <c r="H634" i="10"/>
  <c r="H630" i="10"/>
  <c r="H637" i="10"/>
  <c r="H678" i="10"/>
  <c r="H688" i="10"/>
  <c r="H698" i="10"/>
  <c r="H692" i="10"/>
  <c r="H686" i="10"/>
  <c r="H631" i="10"/>
  <c r="H635" i="10"/>
  <c r="H646" i="10"/>
  <c r="H644" i="10"/>
  <c r="H640" i="10"/>
  <c r="H715" i="10" l="1"/>
  <c r="I629" i="10"/>
  <c r="I713" i="10" l="1"/>
  <c r="I716" i="10"/>
  <c r="I707" i="10"/>
  <c r="I699" i="10"/>
  <c r="I712" i="10"/>
  <c r="I704" i="10"/>
  <c r="I696" i="10"/>
  <c r="I709" i="10"/>
  <c r="I701" i="10"/>
  <c r="I700" i="10"/>
  <c r="I690" i="10"/>
  <c r="I682" i="10"/>
  <c r="I674" i="10"/>
  <c r="I711" i="10"/>
  <c r="I687" i="10"/>
  <c r="I679" i="10"/>
  <c r="I671" i="10"/>
  <c r="I708" i="10"/>
  <c r="I695" i="10"/>
  <c r="I684" i="10"/>
  <c r="I676" i="10"/>
  <c r="I668" i="10"/>
  <c r="I703" i="10"/>
  <c r="I702" i="10"/>
  <c r="I694" i="10"/>
  <c r="I693" i="10"/>
  <c r="I689" i="10"/>
  <c r="I681" i="10"/>
  <c r="I673" i="10"/>
  <c r="I686" i="10"/>
  <c r="I678" i="10"/>
  <c r="I670" i="10"/>
  <c r="I647" i="10"/>
  <c r="I646" i="10"/>
  <c r="I645" i="10"/>
  <c r="I710" i="10"/>
  <c r="I706" i="10"/>
  <c r="I672" i="10"/>
  <c r="I643" i="10"/>
  <c r="I641" i="10"/>
  <c r="I636" i="10"/>
  <c r="I633" i="10"/>
  <c r="I683" i="10"/>
  <c r="I639" i="10"/>
  <c r="I705" i="10"/>
  <c r="I691" i="10"/>
  <c r="I685" i="10"/>
  <c r="I675" i="10"/>
  <c r="I642" i="10"/>
  <c r="I634" i="10"/>
  <c r="I630" i="10"/>
  <c r="I698" i="10"/>
  <c r="I677" i="10"/>
  <c r="I637" i="10"/>
  <c r="I697" i="10"/>
  <c r="I680" i="10"/>
  <c r="I669" i="10"/>
  <c r="I638" i="10"/>
  <c r="I688" i="10"/>
  <c r="I640" i="10"/>
  <c r="I644" i="10"/>
  <c r="I635" i="10"/>
  <c r="I631" i="10"/>
  <c r="I692" i="10"/>
  <c r="I632" i="10"/>
  <c r="I715" i="10" l="1"/>
  <c r="J630" i="10"/>
  <c r="J710" i="10" l="1"/>
  <c r="J712" i="10"/>
  <c r="J704" i="10"/>
  <c r="J696" i="10"/>
  <c r="J709" i="10"/>
  <c r="J701" i="10"/>
  <c r="J693" i="10"/>
  <c r="J706" i="10"/>
  <c r="J698" i="10"/>
  <c r="J711" i="10"/>
  <c r="J707" i="10"/>
  <c r="J687" i="10"/>
  <c r="J679" i="10"/>
  <c r="J671" i="10"/>
  <c r="J708" i="10"/>
  <c r="J695" i="10"/>
  <c r="J684" i="10"/>
  <c r="J676" i="10"/>
  <c r="J668" i="10"/>
  <c r="J703" i="10"/>
  <c r="J702" i="10"/>
  <c r="J694" i="10"/>
  <c r="J689" i="10"/>
  <c r="J681" i="10"/>
  <c r="J673" i="10"/>
  <c r="J716" i="10"/>
  <c r="J686" i="10"/>
  <c r="J678" i="10"/>
  <c r="J670" i="10"/>
  <c r="J647" i="10"/>
  <c r="J646" i="10"/>
  <c r="J645" i="10"/>
  <c r="J697" i="10"/>
  <c r="J692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0" i="10"/>
  <c r="J674" i="10"/>
  <c r="J713" i="10"/>
  <c r="J705" i="10"/>
  <c r="J691" i="10"/>
  <c r="J685" i="10"/>
  <c r="J699" i="10"/>
  <c r="J677" i="10"/>
  <c r="J669" i="10"/>
  <c r="J690" i="10"/>
  <c r="J688" i="10"/>
  <c r="J672" i="10"/>
  <c r="J682" i="10"/>
  <c r="J680" i="10"/>
  <c r="L647" i="10" l="1"/>
  <c r="K644" i="10"/>
  <c r="J715" i="10"/>
  <c r="K716" i="10" l="1"/>
  <c r="K709" i="10"/>
  <c r="K701" i="10"/>
  <c r="K706" i="10"/>
  <c r="K698" i="10"/>
  <c r="K690" i="10"/>
  <c r="K711" i="10"/>
  <c r="K703" i="10"/>
  <c r="K695" i="10"/>
  <c r="K708" i="10"/>
  <c r="K684" i="10"/>
  <c r="K676" i="10"/>
  <c r="K668" i="10"/>
  <c r="K702" i="10"/>
  <c r="K694" i="10"/>
  <c r="K689" i="10"/>
  <c r="K681" i="10"/>
  <c r="K673" i="10"/>
  <c r="K693" i="10"/>
  <c r="K686" i="10"/>
  <c r="K678" i="10"/>
  <c r="K670" i="10"/>
  <c r="K712" i="10"/>
  <c r="K697" i="10"/>
  <c r="K696" i="10"/>
  <c r="K692" i="10"/>
  <c r="K683" i="10"/>
  <c r="K675" i="10"/>
  <c r="K705" i="10"/>
  <c r="K704" i="10"/>
  <c r="K688" i="10"/>
  <c r="K680" i="10"/>
  <c r="K672" i="10"/>
  <c r="K713" i="10"/>
  <c r="K691" i="10"/>
  <c r="K685" i="10"/>
  <c r="K699" i="10"/>
  <c r="K687" i="10"/>
  <c r="K677" i="10"/>
  <c r="K679" i="10"/>
  <c r="K669" i="10"/>
  <c r="K671" i="10"/>
  <c r="K674" i="10"/>
  <c r="K710" i="10"/>
  <c r="K682" i="10"/>
  <c r="K707" i="10"/>
  <c r="K700" i="10"/>
  <c r="L712" i="10"/>
  <c r="M712" i="10" s="1"/>
  <c r="Y778" i="10" s="1"/>
  <c r="L706" i="10"/>
  <c r="L698" i="10"/>
  <c r="L711" i="10"/>
  <c r="L703" i="10"/>
  <c r="L695" i="10"/>
  <c r="M695" i="10" s="1"/>
  <c r="Y761" i="10" s="1"/>
  <c r="L708" i="10"/>
  <c r="M708" i="10" s="1"/>
  <c r="Y774" i="10" s="1"/>
  <c r="L700" i="10"/>
  <c r="M700" i="10" s="1"/>
  <c r="Y766" i="10" s="1"/>
  <c r="L702" i="10"/>
  <c r="M702" i="10" s="1"/>
  <c r="Y768" i="10" s="1"/>
  <c r="L701" i="10"/>
  <c r="L694" i="10"/>
  <c r="L689" i="10"/>
  <c r="L681" i="10"/>
  <c r="M681" i="10" s="1"/>
  <c r="Y747" i="10" s="1"/>
  <c r="L673" i="10"/>
  <c r="L693" i="10"/>
  <c r="L686" i="10"/>
  <c r="L678" i="10"/>
  <c r="M678" i="10" s="1"/>
  <c r="Y744" i="10" s="1"/>
  <c r="L670" i="10"/>
  <c r="L716" i="10"/>
  <c r="L697" i="10"/>
  <c r="L696" i="10"/>
  <c r="M696" i="10" s="1"/>
  <c r="Y762" i="10" s="1"/>
  <c r="L692" i="10"/>
  <c r="L683" i="10"/>
  <c r="L675" i="10"/>
  <c r="L709" i="10"/>
  <c r="M709" i="10" s="1"/>
  <c r="Y775" i="10" s="1"/>
  <c r="L705" i="10"/>
  <c r="M705" i="10" s="1"/>
  <c r="Y771" i="10" s="1"/>
  <c r="L704" i="10"/>
  <c r="L688" i="10"/>
  <c r="M688" i="10" s="1"/>
  <c r="Y754" i="10" s="1"/>
  <c r="L680" i="10"/>
  <c r="L672" i="10"/>
  <c r="M672" i="10" s="1"/>
  <c r="Y738" i="10" s="1"/>
  <c r="L713" i="10"/>
  <c r="M713" i="10" s="1"/>
  <c r="Y779" i="10" s="1"/>
  <c r="L691" i="10"/>
  <c r="M691" i="10" s="1"/>
  <c r="Y757" i="10" s="1"/>
  <c r="L685" i="10"/>
  <c r="M685" i="10" s="1"/>
  <c r="Y751" i="10" s="1"/>
  <c r="L677" i="10"/>
  <c r="M677" i="10" s="1"/>
  <c r="Y743" i="10" s="1"/>
  <c r="L669" i="10"/>
  <c r="M669" i="10" s="1"/>
  <c r="Y735" i="10" s="1"/>
  <c r="L668" i="10"/>
  <c r="L699" i="10"/>
  <c r="M699" i="10" s="1"/>
  <c r="Y765" i="10" s="1"/>
  <c r="L687" i="10"/>
  <c r="L679" i="10"/>
  <c r="L671" i="10"/>
  <c r="L674" i="10"/>
  <c r="M674" i="10" s="1"/>
  <c r="Y740" i="10" s="1"/>
  <c r="L684" i="10"/>
  <c r="M684" i="10" s="1"/>
  <c r="Y750" i="10" s="1"/>
  <c r="L710" i="10"/>
  <c r="L682" i="10"/>
  <c r="M682" i="10" s="1"/>
  <c r="Y748" i="10" s="1"/>
  <c r="L676" i="10"/>
  <c r="M676" i="10" s="1"/>
  <c r="Y742" i="10" s="1"/>
  <c r="L690" i="10"/>
  <c r="L707" i="10"/>
  <c r="M707" i="10" s="1"/>
  <c r="Y773" i="10" s="1"/>
  <c r="M671" i="10" l="1"/>
  <c r="Y737" i="10" s="1"/>
  <c r="M690" i="10"/>
  <c r="Y756" i="10" s="1"/>
  <c r="M687" i="10"/>
  <c r="Y753" i="10" s="1"/>
  <c r="M692" i="10"/>
  <c r="Y758" i="10" s="1"/>
  <c r="M670" i="10"/>
  <c r="Y736" i="10" s="1"/>
  <c r="M673" i="10"/>
  <c r="Y739" i="10" s="1"/>
  <c r="M683" i="10"/>
  <c r="Y749" i="10" s="1"/>
  <c r="M693" i="10"/>
  <c r="Y759" i="10" s="1"/>
  <c r="M701" i="10"/>
  <c r="Y767" i="10" s="1"/>
  <c r="M675" i="10"/>
  <c r="Y741" i="10" s="1"/>
  <c r="M686" i="10"/>
  <c r="Y752" i="10" s="1"/>
  <c r="M710" i="10"/>
  <c r="Y776" i="10" s="1"/>
  <c r="M706" i="10"/>
  <c r="Y772" i="10" s="1"/>
  <c r="M679" i="10"/>
  <c r="Y745" i="10" s="1"/>
  <c r="K715" i="10"/>
  <c r="M680" i="10"/>
  <c r="Y746" i="10" s="1"/>
  <c r="M703" i="10"/>
  <c r="Y769" i="10" s="1"/>
  <c r="L715" i="10"/>
  <c r="M668" i="10"/>
  <c r="M697" i="10"/>
  <c r="Y763" i="10" s="1"/>
  <c r="M689" i="10"/>
  <c r="Y755" i="10" s="1"/>
  <c r="M711" i="10"/>
  <c r="Y777" i="10" s="1"/>
  <c r="M704" i="10"/>
  <c r="Y770" i="10" s="1"/>
  <c r="M694" i="10"/>
  <c r="Y760" i="10" s="1"/>
  <c r="M698" i="10"/>
  <c r="Y764" i="10" s="1"/>
  <c r="Y734" i="10" l="1"/>
  <c r="Y815" i="10" s="1"/>
  <c r="M715" i="10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448" i="1" s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/>
  <c r="CE69" i="1"/>
  <c r="I371" i="9" s="1"/>
  <c r="D361" i="1"/>
  <c r="B465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G19" i="4" s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D368" i="9"/>
  <c r="C276" i="9"/>
  <c r="CE70" i="1"/>
  <c r="CE76" i="1"/>
  <c r="D612" i="1" s="1"/>
  <c r="CE77" i="1"/>
  <c r="CF77" i="1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E373" i="9" s="1"/>
  <c r="C615" i="1"/>
  <c r="I612" i="1"/>
  <c r="E372" i="9"/>
  <c r="C575" i="1"/>
  <c r="I372" i="9"/>
  <c r="F499" i="1"/>
  <c r="H505" i="1"/>
  <c r="H515" i="1"/>
  <c r="F501" i="1"/>
  <c r="F497" i="1"/>
  <c r="H499" i="1"/>
  <c r="B476" i="1" l="1"/>
  <c r="C33" i="8"/>
  <c r="C421" i="1"/>
  <c r="F9" i="6"/>
  <c r="C112" i="8"/>
  <c r="D13" i="7"/>
  <c r="D463" i="1"/>
  <c r="C417" i="1"/>
  <c r="F19" i="4"/>
  <c r="D368" i="1"/>
  <c r="C120" i="8" s="1"/>
  <c r="C119" i="8"/>
  <c r="C27" i="5"/>
  <c r="G122" i="9"/>
  <c r="F15" i="6"/>
  <c r="G28" i="4"/>
  <c r="B440" i="1"/>
  <c r="C473" i="1"/>
  <c r="C440" i="1"/>
  <c r="C34" i="5"/>
  <c r="C141" i="8"/>
  <c r="D32" i="6"/>
  <c r="C14" i="5"/>
  <c r="I381" i="9"/>
  <c r="G612" i="1"/>
  <c r="I90" i="9"/>
  <c r="F90" i="9"/>
  <c r="BC48" i="1"/>
  <c r="BC62" i="1" s="1"/>
  <c r="F236" i="9" s="1"/>
  <c r="I363" i="9"/>
  <c r="BN48" i="1"/>
  <c r="BN62" i="1" s="1"/>
  <c r="C300" i="9" s="1"/>
  <c r="C464" i="1"/>
  <c r="V48" i="1"/>
  <c r="V62" i="1" s="1"/>
  <c r="BW48" i="1"/>
  <c r="BW62" i="1" s="1"/>
  <c r="E332" i="9" s="1"/>
  <c r="AH48" i="1"/>
  <c r="AH62" i="1" s="1"/>
  <c r="F140" i="9" s="1"/>
  <c r="Y48" i="1"/>
  <c r="Y62" i="1" s="1"/>
  <c r="AU48" i="1"/>
  <c r="AU62" i="1" s="1"/>
  <c r="AX48" i="1"/>
  <c r="AX62" i="1" s="1"/>
  <c r="BE48" i="1"/>
  <c r="BE62" i="1" s="1"/>
  <c r="H236" i="9" s="1"/>
  <c r="F48" i="1"/>
  <c r="F62" i="1" s="1"/>
  <c r="BF48" i="1"/>
  <c r="BF62" i="1" s="1"/>
  <c r="K48" i="1"/>
  <c r="K62" i="1" s="1"/>
  <c r="C427" i="1"/>
  <c r="P48" i="1"/>
  <c r="P62" i="1" s="1"/>
  <c r="W48" i="1"/>
  <c r="W62" i="1" s="1"/>
  <c r="AP48" i="1"/>
  <c r="AP62" i="1" s="1"/>
  <c r="G172" i="9" s="1"/>
  <c r="BV48" i="1"/>
  <c r="BV62" i="1" s="1"/>
  <c r="D332" i="9" s="1"/>
  <c r="AQ48" i="1"/>
  <c r="AQ62" i="1" s="1"/>
  <c r="U48" i="1"/>
  <c r="U62" i="1" s="1"/>
  <c r="C432" i="1"/>
  <c r="AD48" i="1"/>
  <c r="AD62" i="1" s="1"/>
  <c r="I108" i="9" s="1"/>
  <c r="AT48" i="1"/>
  <c r="AT62" i="1" s="1"/>
  <c r="D204" i="9" s="1"/>
  <c r="BJ48" i="1"/>
  <c r="BJ62" i="1" s="1"/>
  <c r="F268" i="9" s="1"/>
  <c r="BY48" i="1"/>
  <c r="BY62" i="1" s="1"/>
  <c r="BG48" i="1"/>
  <c r="BG62" i="1" s="1"/>
  <c r="AO48" i="1"/>
  <c r="AO62" i="1" s="1"/>
  <c r="BA48" i="1"/>
  <c r="BA62" i="1" s="1"/>
  <c r="M48" i="1"/>
  <c r="M62" i="1" s="1"/>
  <c r="H48" i="1"/>
  <c r="H62" i="1" s="1"/>
  <c r="H12" i="9" s="1"/>
  <c r="N48" i="1"/>
  <c r="N62" i="1" s="1"/>
  <c r="AL48" i="1"/>
  <c r="AL62" i="1" s="1"/>
  <c r="BB48" i="1"/>
  <c r="BB62" i="1" s="1"/>
  <c r="BR48" i="1"/>
  <c r="BR62" i="1" s="1"/>
  <c r="G300" i="9" s="1"/>
  <c r="CB48" i="1"/>
  <c r="CB62" i="1" s="1"/>
  <c r="C364" i="9" s="1"/>
  <c r="AA48" i="1"/>
  <c r="AA62" i="1" s="1"/>
  <c r="F108" i="9" s="1"/>
  <c r="I48" i="1"/>
  <c r="I62" i="1" s="1"/>
  <c r="BU48" i="1"/>
  <c r="BU62" i="1" s="1"/>
  <c r="C332" i="9" s="1"/>
  <c r="AM48" i="1"/>
  <c r="AM62" i="1" s="1"/>
  <c r="G48" i="1"/>
  <c r="G62" i="1" s="1"/>
  <c r="G12" i="9" s="1"/>
  <c r="X48" i="1"/>
  <c r="X62" i="1" s="1"/>
  <c r="J48" i="1"/>
  <c r="J62" i="1" s="1"/>
  <c r="Z48" i="1"/>
  <c r="Z62" i="1" s="1"/>
  <c r="AJ48" i="1"/>
  <c r="AJ62" i="1" s="1"/>
  <c r="H140" i="9" s="1"/>
  <c r="AR48" i="1"/>
  <c r="AR62" i="1" s="1"/>
  <c r="I172" i="9" s="1"/>
  <c r="AZ48" i="1"/>
  <c r="AZ62" i="1" s="1"/>
  <c r="BH48" i="1"/>
  <c r="BH62" i="1" s="1"/>
  <c r="BP48" i="1"/>
  <c r="BP62" i="1" s="1"/>
  <c r="BX48" i="1"/>
  <c r="BX62" i="1" s="1"/>
  <c r="F332" i="9" s="1"/>
  <c r="C48" i="1"/>
  <c r="C62" i="1" s="1"/>
  <c r="S48" i="1"/>
  <c r="S62" i="1" s="1"/>
  <c r="AY48" i="1"/>
  <c r="AY62" i="1" s="1"/>
  <c r="CC48" i="1"/>
  <c r="CC62" i="1" s="1"/>
  <c r="AG48" i="1"/>
  <c r="AG62" i="1" s="1"/>
  <c r="BM48" i="1"/>
  <c r="BM62" i="1" s="1"/>
  <c r="AK48" i="1"/>
  <c r="AK62" i="1" s="1"/>
  <c r="BI48" i="1"/>
  <c r="BI62" i="1" s="1"/>
  <c r="AE48" i="1"/>
  <c r="AE62" i="1" s="1"/>
  <c r="C140" i="9" s="1"/>
  <c r="AC48" i="1"/>
  <c r="AC62" i="1" s="1"/>
  <c r="H108" i="9" s="1"/>
  <c r="D48" i="1"/>
  <c r="D62" i="1" s="1"/>
  <c r="D12" i="9" s="1"/>
  <c r="T48" i="1"/>
  <c r="T62" i="1" s="1"/>
  <c r="R48" i="1"/>
  <c r="R62" i="1" s="1"/>
  <c r="D76" i="9" s="1"/>
  <c r="AF48" i="1"/>
  <c r="AF62" i="1" s="1"/>
  <c r="AN48" i="1"/>
  <c r="AN62" i="1" s="1"/>
  <c r="AV48" i="1"/>
  <c r="AV62" i="1" s="1"/>
  <c r="F204" i="9" s="1"/>
  <c r="BD48" i="1"/>
  <c r="BD62" i="1" s="1"/>
  <c r="G236" i="9" s="1"/>
  <c r="BL48" i="1"/>
  <c r="BL62" i="1" s="1"/>
  <c r="H268" i="9" s="1"/>
  <c r="BT48" i="1"/>
  <c r="BT62" i="1" s="1"/>
  <c r="CA48" i="1"/>
  <c r="CA62" i="1" s="1"/>
  <c r="AI48" i="1"/>
  <c r="AI62" i="1" s="1"/>
  <c r="BO48" i="1"/>
  <c r="BO62" i="1" s="1"/>
  <c r="D300" i="9" s="1"/>
  <c r="Q48" i="1"/>
  <c r="Q62" i="1" s="1"/>
  <c r="AW48" i="1"/>
  <c r="AW62" i="1" s="1"/>
  <c r="G204" i="9" s="1"/>
  <c r="E48" i="1"/>
  <c r="E62" i="1" s="1"/>
  <c r="BQ48" i="1"/>
  <c r="BQ62" i="1" s="1"/>
  <c r="F300" i="9" s="1"/>
  <c r="O48" i="1"/>
  <c r="O62" i="1" s="1"/>
  <c r="H44" i="9" s="1"/>
  <c r="BS48" i="1"/>
  <c r="BS62" i="1" s="1"/>
  <c r="BZ48" i="1"/>
  <c r="BZ62" i="1" s="1"/>
  <c r="L48" i="1"/>
  <c r="L62" i="1" s="1"/>
  <c r="AB48" i="1"/>
  <c r="AB62" i="1" s="1"/>
  <c r="G108" i="9" s="1"/>
  <c r="C429" i="1"/>
  <c r="AS48" i="1"/>
  <c r="AS62" i="1" s="1"/>
  <c r="CF76" i="1"/>
  <c r="I52" i="1" s="1"/>
  <c r="I67" i="1" s="1"/>
  <c r="I380" i="9"/>
  <c r="C414" i="1"/>
  <c r="B10" i="4"/>
  <c r="C458" i="1"/>
  <c r="F612" i="1"/>
  <c r="I366" i="9"/>
  <c r="C430" i="1"/>
  <c r="G10" i="4"/>
  <c r="F8" i="6"/>
  <c r="D330" i="1"/>
  <c r="C86" i="8" s="1"/>
  <c r="E10" i="4"/>
  <c r="I362" i="9"/>
  <c r="D186" i="9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I71" i="1" l="1"/>
  <c r="I21" i="9" s="1"/>
  <c r="D339" i="1"/>
  <c r="H76" i="9"/>
  <c r="F172" i="9"/>
  <c r="D44" i="9"/>
  <c r="E12" i="9"/>
  <c r="C44" i="9"/>
  <c r="I76" i="9"/>
  <c r="E204" i="9"/>
  <c r="G140" i="9"/>
  <c r="H204" i="9"/>
  <c r="C12" i="9"/>
  <c r="H332" i="9"/>
  <c r="C236" i="9"/>
  <c r="I236" i="9"/>
  <c r="G76" i="9"/>
  <c r="D108" i="9"/>
  <c r="F12" i="9"/>
  <c r="I44" i="9"/>
  <c r="F44" i="9"/>
  <c r="H172" i="9"/>
  <c r="E76" i="9"/>
  <c r="F76" i="9"/>
  <c r="E268" i="9"/>
  <c r="I332" i="9"/>
  <c r="E108" i="9"/>
  <c r="G44" i="9"/>
  <c r="E140" i="9"/>
  <c r="D364" i="9"/>
  <c r="D172" i="9"/>
  <c r="D140" i="9"/>
  <c r="C108" i="9"/>
  <c r="C172" i="9"/>
  <c r="D236" i="9"/>
  <c r="I204" i="9"/>
  <c r="G332" i="9"/>
  <c r="E236" i="9"/>
  <c r="I12" i="9"/>
  <c r="C674" i="1"/>
  <c r="E300" i="9"/>
  <c r="C502" i="1"/>
  <c r="G502" i="1" s="1"/>
  <c r="C268" i="9"/>
  <c r="C76" i="9"/>
  <c r="CE62" i="1"/>
  <c r="E44" i="9"/>
  <c r="E172" i="9"/>
  <c r="I140" i="9"/>
  <c r="I300" i="9"/>
  <c r="I268" i="9"/>
  <c r="D268" i="9"/>
  <c r="H300" i="9"/>
  <c r="CE48" i="1"/>
  <c r="C204" i="9"/>
  <c r="AK52" i="1"/>
  <c r="AK67" i="1" s="1"/>
  <c r="AK71" i="1" s="1"/>
  <c r="AW52" i="1"/>
  <c r="AW67" i="1" s="1"/>
  <c r="BW52" i="1"/>
  <c r="BW67" i="1" s="1"/>
  <c r="BY52" i="1"/>
  <c r="BY67" i="1" s="1"/>
  <c r="BE52" i="1"/>
  <c r="BE67" i="1" s="1"/>
  <c r="AM52" i="1"/>
  <c r="AM67" i="1" s="1"/>
  <c r="D177" i="9" s="1"/>
  <c r="H52" i="1"/>
  <c r="H67" i="1" s="1"/>
  <c r="I17" i="9"/>
  <c r="BR52" i="1"/>
  <c r="BR67" i="1" s="1"/>
  <c r="M52" i="1"/>
  <c r="M67" i="1" s="1"/>
  <c r="F52" i="1"/>
  <c r="F67" i="1" s="1"/>
  <c r="F17" i="9" s="1"/>
  <c r="BJ52" i="1"/>
  <c r="BJ67" i="1" s="1"/>
  <c r="G52" i="1"/>
  <c r="G67" i="1" s="1"/>
  <c r="BN52" i="1"/>
  <c r="BN67" i="1" s="1"/>
  <c r="C305" i="9" s="1"/>
  <c r="BQ52" i="1"/>
  <c r="BQ67" i="1" s="1"/>
  <c r="AI52" i="1"/>
  <c r="AI67" i="1" s="1"/>
  <c r="G145" i="9" s="1"/>
  <c r="AA52" i="1"/>
  <c r="AA67" i="1" s="1"/>
  <c r="CB52" i="1"/>
  <c r="CB67" i="1" s="1"/>
  <c r="C369" i="9" s="1"/>
  <c r="BD52" i="1"/>
  <c r="BD67" i="1" s="1"/>
  <c r="AP52" i="1"/>
  <c r="AP67" i="1" s="1"/>
  <c r="AP71" i="1" s="1"/>
  <c r="C707" i="1" s="1"/>
  <c r="D52" i="1"/>
  <c r="D67" i="1" s="1"/>
  <c r="BM52" i="1"/>
  <c r="BM67" i="1" s="1"/>
  <c r="I273" i="9" s="1"/>
  <c r="AZ52" i="1"/>
  <c r="AZ67" i="1" s="1"/>
  <c r="AZ71" i="1" s="1"/>
  <c r="C245" i="9" s="1"/>
  <c r="AX52" i="1"/>
  <c r="AX67" i="1" s="1"/>
  <c r="H209" i="9" s="1"/>
  <c r="BV52" i="1"/>
  <c r="BV67" i="1" s="1"/>
  <c r="D337" i="9" s="1"/>
  <c r="T52" i="1"/>
  <c r="T67" i="1" s="1"/>
  <c r="F81" i="9" s="1"/>
  <c r="AY52" i="1"/>
  <c r="AY67" i="1" s="1"/>
  <c r="BF52" i="1"/>
  <c r="BF67" i="1" s="1"/>
  <c r="I241" i="9" s="1"/>
  <c r="J52" i="1"/>
  <c r="J67" i="1" s="1"/>
  <c r="J71" i="1" s="1"/>
  <c r="C53" i="9" s="1"/>
  <c r="AB52" i="1"/>
  <c r="AB67" i="1" s="1"/>
  <c r="AB71" i="1" s="1"/>
  <c r="C521" i="1" s="1"/>
  <c r="G521" i="1" s="1"/>
  <c r="BK52" i="1"/>
  <c r="BK67" i="1" s="1"/>
  <c r="BK71" i="1" s="1"/>
  <c r="C556" i="1" s="1"/>
  <c r="U52" i="1"/>
  <c r="U67" i="1" s="1"/>
  <c r="U71" i="1" s="1"/>
  <c r="G85" i="9" s="1"/>
  <c r="W52" i="1"/>
  <c r="W67" i="1" s="1"/>
  <c r="W71" i="1" s="1"/>
  <c r="I85" i="9" s="1"/>
  <c r="AC52" i="1"/>
  <c r="AC67" i="1" s="1"/>
  <c r="AC71" i="1" s="1"/>
  <c r="C694" i="1" s="1"/>
  <c r="BI52" i="1"/>
  <c r="BI67" i="1" s="1"/>
  <c r="BI71" i="1" s="1"/>
  <c r="AH52" i="1"/>
  <c r="AH67" i="1" s="1"/>
  <c r="AH71" i="1" s="1"/>
  <c r="F149" i="9" s="1"/>
  <c r="AF52" i="1"/>
  <c r="AF67" i="1" s="1"/>
  <c r="AF71" i="1" s="1"/>
  <c r="C697" i="1" s="1"/>
  <c r="Y52" i="1"/>
  <c r="Y67" i="1" s="1"/>
  <c r="Y71" i="1" s="1"/>
  <c r="C518" i="1" s="1"/>
  <c r="G518" i="1" s="1"/>
  <c r="BC52" i="1"/>
  <c r="BC67" i="1" s="1"/>
  <c r="BC71" i="1" s="1"/>
  <c r="C633" i="1" s="1"/>
  <c r="S52" i="1"/>
  <c r="S67" i="1" s="1"/>
  <c r="S71" i="1" s="1"/>
  <c r="E85" i="9" s="1"/>
  <c r="AL52" i="1"/>
  <c r="AL67" i="1" s="1"/>
  <c r="AL71" i="1" s="1"/>
  <c r="BA52" i="1"/>
  <c r="BA67" i="1" s="1"/>
  <c r="BA71" i="1" s="1"/>
  <c r="V52" i="1"/>
  <c r="V67" i="1" s="1"/>
  <c r="V71" i="1" s="1"/>
  <c r="AG52" i="1"/>
  <c r="AG67" i="1" s="1"/>
  <c r="AG71" i="1" s="1"/>
  <c r="C526" i="1" s="1"/>
  <c r="G526" i="1" s="1"/>
  <c r="AR52" i="1"/>
  <c r="AR67" i="1" s="1"/>
  <c r="AR71" i="1" s="1"/>
  <c r="I181" i="9" s="1"/>
  <c r="AN52" i="1"/>
  <c r="AN67" i="1" s="1"/>
  <c r="AN71" i="1" s="1"/>
  <c r="AT52" i="1"/>
  <c r="AT67" i="1" s="1"/>
  <c r="AT71" i="1" s="1"/>
  <c r="C711" i="1" s="1"/>
  <c r="N52" i="1"/>
  <c r="N67" i="1" s="1"/>
  <c r="N71" i="1" s="1"/>
  <c r="E52" i="1"/>
  <c r="E67" i="1" s="1"/>
  <c r="E71" i="1" s="1"/>
  <c r="E21" i="9" s="1"/>
  <c r="BU52" i="1"/>
  <c r="BU67" i="1" s="1"/>
  <c r="BU71" i="1" s="1"/>
  <c r="C641" i="1" s="1"/>
  <c r="AO52" i="1"/>
  <c r="AO67" i="1" s="1"/>
  <c r="AO71" i="1" s="1"/>
  <c r="Z52" i="1"/>
  <c r="Z67" i="1" s="1"/>
  <c r="Z71" i="1" s="1"/>
  <c r="E117" i="9" s="1"/>
  <c r="Q52" i="1"/>
  <c r="Q67" i="1" s="1"/>
  <c r="Q71" i="1" s="1"/>
  <c r="C85" i="9" s="1"/>
  <c r="AV52" i="1"/>
  <c r="AV67" i="1" s="1"/>
  <c r="AV71" i="1" s="1"/>
  <c r="C541" i="1" s="1"/>
  <c r="AU52" i="1"/>
  <c r="AU67" i="1" s="1"/>
  <c r="AU71" i="1" s="1"/>
  <c r="BP52" i="1"/>
  <c r="BP67" i="1" s="1"/>
  <c r="BP71" i="1" s="1"/>
  <c r="E309" i="9" s="1"/>
  <c r="AJ52" i="1"/>
  <c r="AJ67" i="1" s="1"/>
  <c r="AJ71" i="1" s="1"/>
  <c r="C529" i="1" s="1"/>
  <c r="G529" i="1" s="1"/>
  <c r="R52" i="1"/>
  <c r="R67" i="1" s="1"/>
  <c r="R71" i="1" s="1"/>
  <c r="D85" i="9" s="1"/>
  <c r="AE52" i="1"/>
  <c r="AE67" i="1" s="1"/>
  <c r="AE71" i="1" s="1"/>
  <c r="C524" i="1" s="1"/>
  <c r="G524" i="1" s="1"/>
  <c r="BH52" i="1"/>
  <c r="BH67" i="1" s="1"/>
  <c r="BH71" i="1" s="1"/>
  <c r="C636" i="1" s="1"/>
  <c r="K52" i="1"/>
  <c r="K67" i="1" s="1"/>
  <c r="K71" i="1" s="1"/>
  <c r="BT52" i="1"/>
  <c r="BT67" i="1" s="1"/>
  <c r="BT71" i="1" s="1"/>
  <c r="C640" i="1" s="1"/>
  <c r="L52" i="1"/>
  <c r="L67" i="1" s="1"/>
  <c r="L71" i="1" s="1"/>
  <c r="BL52" i="1"/>
  <c r="BL67" i="1" s="1"/>
  <c r="BL71" i="1" s="1"/>
  <c r="C557" i="1" s="1"/>
  <c r="CC52" i="1"/>
  <c r="CC67" i="1" s="1"/>
  <c r="CC71" i="1" s="1"/>
  <c r="C574" i="1" s="1"/>
  <c r="AD52" i="1"/>
  <c r="AD67" i="1" s="1"/>
  <c r="AD71" i="1" s="1"/>
  <c r="C695" i="1" s="1"/>
  <c r="BG52" i="1"/>
  <c r="BG67" i="1" s="1"/>
  <c r="BG71" i="1" s="1"/>
  <c r="BZ52" i="1"/>
  <c r="BZ67" i="1" s="1"/>
  <c r="BZ71" i="1" s="1"/>
  <c r="X52" i="1"/>
  <c r="X67" i="1" s="1"/>
  <c r="X71" i="1" s="1"/>
  <c r="C117" i="9" s="1"/>
  <c r="BB52" i="1"/>
  <c r="BB67" i="1" s="1"/>
  <c r="BB71" i="1" s="1"/>
  <c r="AS52" i="1"/>
  <c r="AS67" i="1" s="1"/>
  <c r="AS71" i="1" s="1"/>
  <c r="BS52" i="1"/>
  <c r="BS67" i="1" s="1"/>
  <c r="BS71" i="1" s="1"/>
  <c r="CA52" i="1"/>
  <c r="CA67" i="1" s="1"/>
  <c r="CA71" i="1" s="1"/>
  <c r="I341" i="9" s="1"/>
  <c r="P52" i="1"/>
  <c r="P67" i="1" s="1"/>
  <c r="P71" i="1" s="1"/>
  <c r="I53" i="9" s="1"/>
  <c r="C52" i="1"/>
  <c r="O52" i="1"/>
  <c r="O67" i="1" s="1"/>
  <c r="O71" i="1" s="1"/>
  <c r="H53" i="9" s="1"/>
  <c r="BX52" i="1"/>
  <c r="BX67" i="1" s="1"/>
  <c r="BX71" i="1" s="1"/>
  <c r="C569" i="1" s="1"/>
  <c r="BO52" i="1"/>
  <c r="BO67" i="1" s="1"/>
  <c r="BO71" i="1" s="1"/>
  <c r="C627" i="1" s="1"/>
  <c r="AQ52" i="1"/>
  <c r="AQ67" i="1" s="1"/>
  <c r="AQ71" i="1" s="1"/>
  <c r="C708" i="1" s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C126" i="8"/>
  <c r="D391" i="1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F273" i="9" l="1"/>
  <c r="M71" i="1"/>
  <c r="C506" i="1" s="1"/>
  <c r="G506" i="1" s="1"/>
  <c r="BD71" i="1"/>
  <c r="G245" i="9" s="1"/>
  <c r="BQ71" i="1"/>
  <c r="C623" i="1" s="1"/>
  <c r="BV71" i="1"/>
  <c r="C642" i="1" s="1"/>
  <c r="BN71" i="1"/>
  <c r="C559" i="1" s="1"/>
  <c r="BM71" i="1"/>
  <c r="C638" i="1" s="1"/>
  <c r="AI71" i="1"/>
  <c r="C528" i="1" s="1"/>
  <c r="G528" i="1" s="1"/>
  <c r="BW71" i="1"/>
  <c r="E341" i="9" s="1"/>
  <c r="T71" i="1"/>
  <c r="C685" i="1" s="1"/>
  <c r="F71" i="1"/>
  <c r="C499" i="1" s="1"/>
  <c r="G499" i="1" s="1"/>
  <c r="C571" i="1"/>
  <c r="C646" i="1"/>
  <c r="H341" i="9"/>
  <c r="C181" i="9"/>
  <c r="C703" i="1"/>
  <c r="C531" i="1"/>
  <c r="G531" i="1" s="1"/>
  <c r="C618" i="1"/>
  <c r="C277" i="9"/>
  <c r="C552" i="1"/>
  <c r="C679" i="1"/>
  <c r="G53" i="9"/>
  <c r="C507" i="1"/>
  <c r="G507" i="1" s="1"/>
  <c r="E245" i="9"/>
  <c r="C632" i="1"/>
  <c r="C547" i="1"/>
  <c r="C540" i="1"/>
  <c r="G540" i="1" s="1"/>
  <c r="E213" i="9"/>
  <c r="C712" i="1"/>
  <c r="F181" i="9"/>
  <c r="C534" i="1"/>
  <c r="G534" i="1" s="1"/>
  <c r="C706" i="1"/>
  <c r="C687" i="1"/>
  <c r="C515" i="1"/>
  <c r="G515" i="1" s="1"/>
  <c r="H85" i="9"/>
  <c r="C554" i="1"/>
  <c r="E277" i="9"/>
  <c r="C634" i="1"/>
  <c r="D53" i="9"/>
  <c r="C504" i="1"/>
  <c r="G504" i="1" s="1"/>
  <c r="C676" i="1"/>
  <c r="C705" i="1"/>
  <c r="E181" i="9"/>
  <c r="C533" i="1"/>
  <c r="G533" i="1" s="1"/>
  <c r="D245" i="9"/>
  <c r="C630" i="1"/>
  <c r="C546" i="1"/>
  <c r="G546" i="1" s="1"/>
  <c r="C514" i="1"/>
  <c r="G514" i="1" s="1"/>
  <c r="AX71" i="1"/>
  <c r="C616" i="1" s="1"/>
  <c r="BE71" i="1"/>
  <c r="C614" i="1" s="1"/>
  <c r="D615" i="1" s="1"/>
  <c r="D71" i="1"/>
  <c r="D21" i="9" s="1"/>
  <c r="AY71" i="1"/>
  <c r="C625" i="1" s="1"/>
  <c r="C517" i="1"/>
  <c r="G517" i="1" s="1"/>
  <c r="BJ71" i="1"/>
  <c r="C555" i="1" s="1"/>
  <c r="BR71" i="1"/>
  <c r="C563" i="1" s="1"/>
  <c r="G277" i="9"/>
  <c r="C690" i="1"/>
  <c r="I145" i="9"/>
  <c r="AW71" i="1"/>
  <c r="G213" i="9" s="1"/>
  <c r="AA71" i="1"/>
  <c r="F117" i="9" s="1"/>
  <c r="C635" i="1"/>
  <c r="BY71" i="1"/>
  <c r="G71" i="1"/>
  <c r="G21" i="9" s="1"/>
  <c r="G209" i="9"/>
  <c r="C558" i="1"/>
  <c r="C689" i="1"/>
  <c r="CB71" i="1"/>
  <c r="C373" i="9" s="1"/>
  <c r="H71" i="1"/>
  <c r="H21" i="9" s="1"/>
  <c r="BF71" i="1"/>
  <c r="C551" i="1" s="1"/>
  <c r="C686" i="1"/>
  <c r="D117" i="9"/>
  <c r="AM71" i="1"/>
  <c r="D181" i="9" s="1"/>
  <c r="E149" i="9"/>
  <c r="C698" i="1"/>
  <c r="C566" i="1"/>
  <c r="C567" i="1"/>
  <c r="C568" i="1"/>
  <c r="D341" i="9"/>
  <c r="C341" i="9"/>
  <c r="C713" i="1"/>
  <c r="C548" i="1"/>
  <c r="F245" i="9"/>
  <c r="C681" i="1"/>
  <c r="C509" i="1"/>
  <c r="G509" i="1" s="1"/>
  <c r="C624" i="1"/>
  <c r="C619" i="1"/>
  <c r="H181" i="9"/>
  <c r="C683" i="1"/>
  <c r="C498" i="1"/>
  <c r="G498" i="1" s="1"/>
  <c r="H498" i="1" s="1"/>
  <c r="C675" i="1"/>
  <c r="C539" i="1"/>
  <c r="G539" i="1" s="1"/>
  <c r="H213" i="9"/>
  <c r="D213" i="9"/>
  <c r="C309" i="9"/>
  <c r="C543" i="1"/>
  <c r="C535" i="1"/>
  <c r="G535" i="1" s="1"/>
  <c r="C622" i="1"/>
  <c r="G181" i="9"/>
  <c r="C670" i="1"/>
  <c r="C527" i="1"/>
  <c r="G527" i="1" s="1"/>
  <c r="C644" i="1"/>
  <c r="C643" i="1"/>
  <c r="C629" i="1"/>
  <c r="C682" i="1"/>
  <c r="F85" i="9"/>
  <c r="C511" i="1"/>
  <c r="H511" i="1" s="1"/>
  <c r="C553" i="1"/>
  <c r="C523" i="1"/>
  <c r="G523" i="1" s="1"/>
  <c r="C699" i="1"/>
  <c r="C516" i="1"/>
  <c r="G516" i="1" s="1"/>
  <c r="C537" i="1"/>
  <c r="G537" i="1" s="1"/>
  <c r="C513" i="1"/>
  <c r="G513" i="1" s="1"/>
  <c r="F341" i="9"/>
  <c r="I117" i="9"/>
  <c r="C688" i="1"/>
  <c r="C536" i="1"/>
  <c r="G536" i="1" s="1"/>
  <c r="C628" i="1"/>
  <c r="I213" i="9"/>
  <c r="H524" i="1"/>
  <c r="C701" i="1"/>
  <c r="C149" i="9"/>
  <c r="C428" i="1"/>
  <c r="H149" i="9"/>
  <c r="F277" i="9"/>
  <c r="C620" i="1"/>
  <c r="C647" i="1"/>
  <c r="C508" i="1"/>
  <c r="G508" i="1" s="1"/>
  <c r="C680" i="1"/>
  <c r="D373" i="9"/>
  <c r="C709" i="1"/>
  <c r="C696" i="1"/>
  <c r="C572" i="1"/>
  <c r="C525" i="1"/>
  <c r="G525" i="1" s="1"/>
  <c r="F53" i="9"/>
  <c r="C519" i="1"/>
  <c r="G519" i="1" s="1"/>
  <c r="C503" i="1"/>
  <c r="G503" i="1" s="1"/>
  <c r="F213" i="9"/>
  <c r="D309" i="9"/>
  <c r="C691" i="1"/>
  <c r="C621" i="1"/>
  <c r="C573" i="1"/>
  <c r="C545" i="1"/>
  <c r="G545" i="1" s="1"/>
  <c r="C678" i="1"/>
  <c r="C520" i="1"/>
  <c r="G520" i="1" s="1"/>
  <c r="G117" i="9"/>
  <c r="D277" i="9"/>
  <c r="C510" i="1"/>
  <c r="G510" i="1" s="1"/>
  <c r="C512" i="1"/>
  <c r="G512" i="1" s="1"/>
  <c r="H277" i="9"/>
  <c r="C522" i="1"/>
  <c r="G522" i="1" s="1"/>
  <c r="C693" i="1"/>
  <c r="C684" i="1"/>
  <c r="D149" i="9"/>
  <c r="C637" i="1"/>
  <c r="C561" i="1"/>
  <c r="C560" i="1"/>
  <c r="C565" i="1"/>
  <c r="I364" i="9"/>
  <c r="C530" i="1"/>
  <c r="G530" i="1" s="1"/>
  <c r="I149" i="9"/>
  <c r="C702" i="1"/>
  <c r="H117" i="9"/>
  <c r="I309" i="9"/>
  <c r="C677" i="1"/>
  <c r="E53" i="9"/>
  <c r="C505" i="1"/>
  <c r="G505" i="1" s="1"/>
  <c r="C639" i="1"/>
  <c r="H309" i="9"/>
  <c r="C564" i="1"/>
  <c r="C710" i="1"/>
  <c r="C538" i="1"/>
  <c r="G538" i="1" s="1"/>
  <c r="C213" i="9"/>
  <c r="G305" i="9"/>
  <c r="H241" i="9"/>
  <c r="H17" i="9"/>
  <c r="G337" i="9"/>
  <c r="E337" i="9"/>
  <c r="F305" i="9"/>
  <c r="G241" i="9"/>
  <c r="G17" i="9"/>
  <c r="F49" i="9"/>
  <c r="G177" i="9"/>
  <c r="C49" i="9"/>
  <c r="C241" i="9"/>
  <c r="F113" i="9"/>
  <c r="D17" i="9"/>
  <c r="I209" i="9"/>
  <c r="F337" i="9"/>
  <c r="C113" i="9"/>
  <c r="D49" i="9"/>
  <c r="H49" i="9"/>
  <c r="H305" i="9"/>
  <c r="H273" i="9"/>
  <c r="D273" i="9"/>
  <c r="C81" i="9"/>
  <c r="I177" i="9"/>
  <c r="I81" i="9"/>
  <c r="H177" i="9"/>
  <c r="C67" i="1"/>
  <c r="C71" i="1" s="1"/>
  <c r="CE52" i="1"/>
  <c r="C209" i="9"/>
  <c r="C273" i="9"/>
  <c r="E49" i="9"/>
  <c r="C145" i="9"/>
  <c r="E305" i="9"/>
  <c r="E113" i="9"/>
  <c r="G49" i="9"/>
  <c r="E145" i="9"/>
  <c r="E81" i="9"/>
  <c r="F145" i="9"/>
  <c r="G81" i="9"/>
  <c r="I337" i="9"/>
  <c r="D369" i="9"/>
  <c r="H337" i="9"/>
  <c r="H145" i="9"/>
  <c r="E17" i="9"/>
  <c r="C177" i="9"/>
  <c r="D145" i="9"/>
  <c r="D305" i="9"/>
  <c r="I49" i="9"/>
  <c r="E241" i="9"/>
  <c r="I113" i="9"/>
  <c r="I305" i="9"/>
  <c r="D81" i="9"/>
  <c r="E209" i="9"/>
  <c r="F177" i="9"/>
  <c r="D209" i="9"/>
  <c r="H81" i="9"/>
  <c r="F241" i="9"/>
  <c r="E273" i="9"/>
  <c r="G273" i="9"/>
  <c r="F209" i="9"/>
  <c r="C337" i="9"/>
  <c r="E177" i="9"/>
  <c r="D241" i="9"/>
  <c r="D113" i="9"/>
  <c r="H113" i="9"/>
  <c r="G113" i="9"/>
  <c r="F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H526" i="1" s="1"/>
  <c r="F503" i="1"/>
  <c r="F508" i="1"/>
  <c r="F514" i="1"/>
  <c r="H507" i="1"/>
  <c r="F507" i="1"/>
  <c r="H518" i="1"/>
  <c r="F518" i="1"/>
  <c r="F546" i="1"/>
  <c r="F506" i="1"/>
  <c r="H506" i="1"/>
  <c r="H500" i="1"/>
  <c r="F500" i="1"/>
  <c r="F509" i="1"/>
  <c r="C562" i="1" l="1"/>
  <c r="C631" i="1"/>
  <c r="C672" i="1"/>
  <c r="C500" i="1"/>
  <c r="G500" i="1" s="1"/>
  <c r="C550" i="1"/>
  <c r="G550" i="1" s="1"/>
  <c r="I277" i="9"/>
  <c r="C617" i="1"/>
  <c r="C626" i="1"/>
  <c r="C549" i="1"/>
  <c r="H245" i="9"/>
  <c r="C700" i="1"/>
  <c r="G309" i="9"/>
  <c r="C673" i="1"/>
  <c r="C669" i="1"/>
  <c r="H514" i="1"/>
  <c r="C497" i="1"/>
  <c r="G497" i="1" s="1"/>
  <c r="F309" i="9"/>
  <c r="G149" i="9"/>
  <c r="C501" i="1"/>
  <c r="H501" i="1" s="1"/>
  <c r="F21" i="9"/>
  <c r="C671" i="1"/>
  <c r="C542" i="1"/>
  <c r="I245" i="9"/>
  <c r="G341" i="9"/>
  <c r="C645" i="1"/>
  <c r="C570" i="1"/>
  <c r="H517" i="1"/>
  <c r="C692" i="1"/>
  <c r="H546" i="1"/>
  <c r="C21" i="9"/>
  <c r="C496" i="1"/>
  <c r="C668" i="1"/>
  <c r="C544" i="1"/>
  <c r="G544" i="1" s="1"/>
  <c r="C704" i="1"/>
  <c r="C532" i="1"/>
  <c r="G532" i="1" s="1"/>
  <c r="H509" i="1"/>
  <c r="H497" i="1"/>
  <c r="G511" i="1"/>
  <c r="G501" i="1"/>
  <c r="H516" i="1"/>
  <c r="H513" i="1"/>
  <c r="H508" i="1"/>
  <c r="H510" i="1"/>
  <c r="H522" i="1"/>
  <c r="H503" i="1"/>
  <c r="H512" i="1"/>
  <c r="CE67" i="1"/>
  <c r="CE71" i="1" s="1"/>
  <c r="C17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6" i="1"/>
  <c r="D680" i="1"/>
  <c r="D646" i="1"/>
  <c r="D708" i="1"/>
  <c r="D683" i="1"/>
  <c r="D624" i="1"/>
  <c r="D61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68" i="1"/>
  <c r="D633" i="1"/>
  <c r="D619" i="1"/>
  <c r="D695" i="1"/>
  <c r="D679" i="1"/>
  <c r="D625" i="1"/>
  <c r="D681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41" i="1"/>
  <c r="D643" i="1"/>
  <c r="D688" i="1"/>
  <c r="D693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H550" i="1"/>
  <c r="H544" i="1"/>
  <c r="C715" i="1"/>
  <c r="C716" i="1"/>
  <c r="I373" i="9"/>
  <c r="G496" i="1"/>
  <c r="H496" i="1"/>
  <c r="E623" i="1"/>
  <c r="E612" i="1"/>
  <c r="D715" i="1"/>
  <c r="C433" i="1"/>
  <c r="C441" i="1" s="1"/>
  <c r="I369" i="9"/>
  <c r="E716" i="1" l="1"/>
  <c r="E633" i="1"/>
  <c r="E628" i="1"/>
  <c r="E677" i="1"/>
  <c r="E632" i="1"/>
  <c r="E679" i="1"/>
  <c r="E691" i="1"/>
  <c r="E686" i="1"/>
  <c r="E681" i="1"/>
  <c r="E696" i="1"/>
  <c r="E635" i="1"/>
  <c r="E627" i="1"/>
  <c r="E711" i="1"/>
  <c r="E645" i="1"/>
  <c r="E700" i="1"/>
  <c r="E676" i="1"/>
  <c r="E689" i="1"/>
  <c r="E625" i="1"/>
  <c r="E636" i="1"/>
  <c r="E695" i="1"/>
  <c r="E702" i="1"/>
  <c r="E683" i="1"/>
  <c r="E647" i="1"/>
  <c r="E684" i="1"/>
  <c r="E643" i="1"/>
  <c r="E630" i="1"/>
  <c r="E697" i="1"/>
  <c r="E637" i="1"/>
  <c r="E672" i="1"/>
  <c r="E644" i="1"/>
  <c r="E670" i="1"/>
  <c r="E709" i="1"/>
  <c r="E629" i="1"/>
  <c r="E687" i="1"/>
  <c r="E675" i="1"/>
  <c r="E713" i="1"/>
  <c r="E710" i="1"/>
  <c r="E646" i="1"/>
  <c r="E712" i="1"/>
  <c r="E642" i="1"/>
  <c r="E678" i="1"/>
  <c r="E704" i="1"/>
  <c r="E638" i="1"/>
  <c r="E685" i="1"/>
  <c r="E682" i="1"/>
  <c r="E708" i="1"/>
  <c r="E673" i="1"/>
  <c r="E680" i="1"/>
  <c r="E692" i="1"/>
  <c r="E693" i="1"/>
  <c r="E698" i="1"/>
  <c r="E688" i="1"/>
  <c r="E705" i="1"/>
  <c r="E626" i="1"/>
  <c r="E707" i="1"/>
  <c r="E624" i="1"/>
  <c r="E701" i="1"/>
  <c r="E631" i="1"/>
  <c r="E706" i="1"/>
  <c r="E674" i="1"/>
  <c r="E634" i="1"/>
  <c r="E690" i="1"/>
  <c r="E668" i="1"/>
  <c r="E703" i="1"/>
  <c r="E669" i="1"/>
  <c r="E641" i="1"/>
  <c r="E640" i="1"/>
  <c r="E699" i="1"/>
  <c r="E694" i="1"/>
  <c r="E671" i="1"/>
  <c r="E639" i="1"/>
  <c r="F624" i="1" l="1"/>
  <c r="E715" i="1"/>
  <c r="F707" i="1" l="1"/>
  <c r="F671" i="1"/>
  <c r="F688" i="1"/>
  <c r="F678" i="1"/>
  <c r="F640" i="1"/>
  <c r="F682" i="1"/>
  <c r="F633" i="1"/>
  <c r="F638" i="1"/>
  <c r="F634" i="1"/>
  <c r="F639" i="1"/>
  <c r="F627" i="1"/>
  <c r="F644" i="1"/>
  <c r="F695" i="1"/>
  <c r="F628" i="1"/>
  <c r="F716" i="1"/>
  <c r="F684" i="1"/>
  <c r="F705" i="1"/>
  <c r="F685" i="1"/>
  <c r="F689" i="1"/>
  <c r="F694" i="1"/>
  <c r="F642" i="1"/>
  <c r="F670" i="1"/>
  <c r="F626" i="1"/>
  <c r="F700" i="1"/>
  <c r="F630" i="1"/>
  <c r="F699" i="1"/>
  <c r="F635" i="1"/>
  <c r="F697" i="1"/>
  <c r="F668" i="1"/>
  <c r="F631" i="1"/>
  <c r="F687" i="1"/>
  <c r="F690" i="1"/>
  <c r="F629" i="1"/>
  <c r="F646" i="1"/>
  <c r="F712" i="1"/>
  <c r="F709" i="1"/>
  <c r="F711" i="1"/>
  <c r="F706" i="1"/>
  <c r="F686" i="1"/>
  <c r="F636" i="1"/>
  <c r="F677" i="1"/>
  <c r="F701" i="1"/>
  <c r="F681" i="1"/>
  <c r="F643" i="1"/>
  <c r="F702" i="1"/>
  <c r="F669" i="1"/>
  <c r="F632" i="1"/>
  <c r="F641" i="1"/>
  <c r="F693" i="1"/>
  <c r="F696" i="1"/>
  <c r="F679" i="1"/>
  <c r="F704" i="1"/>
  <c r="F625" i="1"/>
  <c r="F672" i="1"/>
  <c r="F676" i="1"/>
  <c r="F674" i="1"/>
  <c r="F710" i="1"/>
  <c r="F692" i="1"/>
  <c r="F637" i="1"/>
  <c r="F673" i="1"/>
  <c r="F698" i="1"/>
  <c r="F647" i="1"/>
  <c r="F680" i="1"/>
  <c r="F703" i="1"/>
  <c r="F675" i="1"/>
  <c r="F708" i="1"/>
  <c r="F713" i="1"/>
  <c r="F683" i="1"/>
  <c r="F691" i="1"/>
  <c r="F645" i="1"/>
  <c r="F715" i="1" l="1"/>
  <c r="G625" i="1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76" i="1"/>
  <c r="G702" i="1"/>
  <c r="G669" i="1"/>
  <c r="G645" i="1"/>
  <c r="G640" i="1"/>
  <c r="G626" i="1"/>
  <c r="G689" i="1"/>
  <c r="G628" i="1"/>
  <c r="G696" i="1"/>
  <c r="G632" i="1"/>
  <c r="G705" i="1"/>
  <c r="G686" i="1"/>
  <c r="G671" i="1"/>
  <c r="G629" i="1"/>
  <c r="G681" i="1"/>
  <c r="G709" i="1"/>
  <c r="G687" i="1"/>
  <c r="G682" i="1"/>
  <c r="G672" i="1"/>
  <c r="G707" i="1"/>
  <c r="G690" i="1"/>
  <c r="G695" i="1"/>
  <c r="G710" i="1"/>
  <c r="G646" i="1"/>
  <c r="G636" i="1"/>
  <c r="G634" i="1"/>
  <c r="G706" i="1"/>
  <c r="G674" i="1"/>
  <c r="G639" i="1"/>
  <c r="G700" i="1"/>
  <c r="G694" i="1"/>
  <c r="H628" i="1" l="1"/>
  <c r="H697" i="1" s="1"/>
  <c r="G715" i="1"/>
  <c r="H639" i="1" l="1"/>
  <c r="H685" i="1"/>
  <c r="H636" i="1"/>
  <c r="H642" i="1"/>
  <c r="H631" i="1"/>
  <c r="H692" i="1"/>
  <c r="H670" i="1"/>
  <c r="H682" i="1"/>
  <c r="H712" i="1"/>
  <c r="H696" i="1"/>
  <c r="H703" i="1"/>
  <c r="H680" i="1"/>
  <c r="H630" i="1"/>
  <c r="H669" i="1"/>
  <c r="H671" i="1"/>
  <c r="H638" i="1"/>
  <c r="H686" i="1"/>
  <c r="H640" i="1"/>
  <c r="H709" i="1"/>
  <c r="H710" i="1"/>
  <c r="H689" i="1"/>
  <c r="H637" i="1"/>
  <c r="H713" i="1"/>
  <c r="H693" i="1"/>
  <c r="H629" i="1"/>
  <c r="I629" i="1" s="1"/>
  <c r="H700" i="1"/>
  <c r="H701" i="1"/>
  <c r="H708" i="1"/>
  <c r="H673" i="1"/>
  <c r="H672" i="1"/>
  <c r="H647" i="1"/>
  <c r="H683" i="1"/>
  <c r="H699" i="1"/>
  <c r="H716" i="1"/>
  <c r="H641" i="1"/>
  <c r="H668" i="1"/>
  <c r="H704" i="1"/>
  <c r="H691" i="1"/>
  <c r="H706" i="1"/>
  <c r="H634" i="1"/>
  <c r="H676" i="1"/>
  <c r="H705" i="1"/>
  <c r="H698" i="1"/>
  <c r="H677" i="1"/>
  <c r="H707" i="1"/>
  <c r="H681" i="1"/>
  <c r="H646" i="1"/>
  <c r="H643" i="1"/>
  <c r="H675" i="1"/>
  <c r="H633" i="1"/>
  <c r="H684" i="1"/>
  <c r="H695" i="1"/>
  <c r="H711" i="1"/>
  <c r="H678" i="1"/>
  <c r="H635" i="1"/>
  <c r="H690" i="1"/>
  <c r="H702" i="1"/>
  <c r="H694" i="1"/>
  <c r="H645" i="1"/>
  <c r="H644" i="1"/>
  <c r="H632" i="1"/>
  <c r="H674" i="1"/>
  <c r="H688" i="1"/>
  <c r="H679" i="1"/>
  <c r="H687" i="1"/>
  <c r="H715" i="1" l="1"/>
  <c r="I645" i="1"/>
  <c r="I637" i="1"/>
  <c r="I670" i="1"/>
  <c r="M670" i="1" s="1"/>
  <c r="I692" i="1"/>
  <c r="M692" i="1" s="1"/>
  <c r="I642" i="1"/>
  <c r="I647" i="1"/>
  <c r="I681" i="1"/>
  <c r="M681" i="1" s="1"/>
  <c r="I676" i="1"/>
  <c r="M676" i="1" s="1"/>
  <c r="I684" i="1"/>
  <c r="M684" i="1" s="1"/>
  <c r="I672" i="1"/>
  <c r="M672" i="1" s="1"/>
  <c r="I711" i="1"/>
  <c r="M711" i="1" s="1"/>
  <c r="I640" i="1"/>
  <c r="I693" i="1"/>
  <c r="M693" i="1" s="1"/>
  <c r="I709" i="1"/>
  <c r="M709" i="1" s="1"/>
  <c r="I634" i="1"/>
  <c r="I630" i="1"/>
  <c r="I636" i="1"/>
  <c r="I669" i="1"/>
  <c r="M669" i="1" s="1"/>
  <c r="I716" i="1"/>
  <c r="I705" i="1"/>
  <c r="M705" i="1" s="1"/>
  <c r="I677" i="1"/>
  <c r="M677" i="1" s="1"/>
  <c r="I674" i="1"/>
  <c r="M674" i="1" s="1"/>
  <c r="I683" i="1"/>
  <c r="M683" i="1" s="1"/>
  <c r="I689" i="1"/>
  <c r="M689" i="1" s="1"/>
  <c r="I697" i="1"/>
  <c r="M697" i="1" s="1"/>
  <c r="I641" i="1"/>
  <c r="I704" i="1"/>
  <c r="M704" i="1" s="1"/>
  <c r="I694" i="1"/>
  <c r="M694" i="1" s="1"/>
  <c r="I712" i="1"/>
  <c r="M712" i="1" s="1"/>
  <c r="I702" i="1"/>
  <c r="M702" i="1" s="1"/>
  <c r="I708" i="1"/>
  <c r="M708" i="1" s="1"/>
  <c r="I673" i="1"/>
  <c r="M673" i="1" s="1"/>
  <c r="I646" i="1"/>
  <c r="I685" i="1"/>
  <c r="M685" i="1" s="1"/>
  <c r="I675" i="1"/>
  <c r="M675" i="1" s="1"/>
  <c r="I690" i="1"/>
  <c r="M690" i="1" s="1"/>
  <c r="I686" i="1"/>
  <c r="M686" i="1" s="1"/>
  <c r="I639" i="1"/>
  <c r="I631" i="1"/>
  <c r="I638" i="1"/>
  <c r="I644" i="1"/>
  <c r="I668" i="1"/>
  <c r="M668" i="1" s="1"/>
  <c r="I703" i="1"/>
  <c r="M703" i="1" s="1"/>
  <c r="I682" i="1"/>
  <c r="M682" i="1" s="1"/>
  <c r="I687" i="1"/>
  <c r="M687" i="1" s="1"/>
  <c r="I710" i="1"/>
  <c r="M710" i="1" s="1"/>
  <c r="I671" i="1"/>
  <c r="M671" i="1" s="1"/>
  <c r="I706" i="1"/>
  <c r="M706" i="1" s="1"/>
  <c r="I707" i="1"/>
  <c r="M707" i="1" s="1"/>
  <c r="I635" i="1"/>
  <c r="I680" i="1"/>
  <c r="M680" i="1" s="1"/>
  <c r="I713" i="1"/>
  <c r="M713" i="1" s="1"/>
  <c r="I678" i="1"/>
  <c r="M678" i="1" s="1"/>
  <c r="I700" i="1"/>
  <c r="M700" i="1" s="1"/>
  <c r="I699" i="1"/>
  <c r="M699" i="1" s="1"/>
  <c r="I691" i="1"/>
  <c r="M691" i="1" s="1"/>
  <c r="I688" i="1"/>
  <c r="M688" i="1" s="1"/>
  <c r="I698" i="1"/>
  <c r="M698" i="1" s="1"/>
  <c r="I701" i="1"/>
  <c r="M701" i="1" s="1"/>
  <c r="I679" i="1"/>
  <c r="M679" i="1" s="1"/>
  <c r="I632" i="1"/>
  <c r="I696" i="1"/>
  <c r="M696" i="1" s="1"/>
  <c r="I695" i="1"/>
  <c r="M695" i="1" s="1"/>
  <c r="I643" i="1"/>
  <c r="I633" i="1"/>
  <c r="E151" i="9" l="1"/>
  <c r="C215" i="9"/>
  <c r="C23" i="9"/>
  <c r="M715" i="1"/>
  <c r="I151" i="9"/>
  <c r="D23" i="9"/>
  <c r="G23" i="9"/>
  <c r="I87" i="9"/>
  <c r="H87" i="9"/>
  <c r="E55" i="9"/>
  <c r="G119" i="9"/>
  <c r="C87" i="9"/>
  <c r="H23" i="9"/>
  <c r="H119" i="9"/>
  <c r="C119" i="9"/>
  <c r="E183" i="9"/>
  <c r="F119" i="9"/>
  <c r="C151" i="9"/>
  <c r="G151" i="9"/>
  <c r="F87" i="9"/>
  <c r="I23" i="9"/>
  <c r="I183" i="9"/>
  <c r="F55" i="9"/>
  <c r="G87" i="9"/>
  <c r="E87" i="9"/>
  <c r="I119" i="9"/>
  <c r="H151" i="9"/>
  <c r="F151" i="9"/>
  <c r="C183" i="9"/>
  <c r="H183" i="9"/>
  <c r="D183" i="9"/>
  <c r="D215" i="9"/>
  <c r="E23" i="9"/>
  <c r="D151" i="9"/>
  <c r="G55" i="9"/>
  <c r="F215" i="9"/>
  <c r="E119" i="9"/>
  <c r="H55" i="9"/>
  <c r="D87" i="9"/>
  <c r="D119" i="9"/>
  <c r="D55" i="9"/>
  <c r="I55" i="9"/>
  <c r="F23" i="9"/>
  <c r="E215" i="9"/>
  <c r="G183" i="9"/>
  <c r="C55" i="9"/>
  <c r="F183" i="9"/>
  <c r="I715" i="1"/>
  <c r="J630" i="1"/>
  <c r="J693" i="1" l="1"/>
  <c r="J700" i="1"/>
  <c r="J644" i="1"/>
  <c r="K644" i="1" s="1"/>
  <c r="J701" i="1"/>
  <c r="J709" i="1"/>
  <c r="J695" i="1"/>
  <c r="J674" i="1"/>
  <c r="J687" i="1"/>
  <c r="J716" i="1"/>
  <c r="J702" i="1"/>
  <c r="J671" i="1"/>
  <c r="J697" i="1"/>
  <c r="J642" i="1"/>
  <c r="J680" i="1"/>
  <c r="J679" i="1"/>
  <c r="J647" i="1"/>
  <c r="L647" i="1" s="1"/>
  <c r="J694" i="1"/>
  <c r="J646" i="1"/>
  <c r="J634" i="1"/>
  <c r="J669" i="1"/>
  <c r="J698" i="1"/>
  <c r="J638" i="1"/>
  <c r="J696" i="1"/>
  <c r="J670" i="1"/>
  <c r="J637" i="1"/>
  <c r="J703" i="1"/>
  <c r="J681" i="1"/>
  <c r="J686" i="1"/>
  <c r="J712" i="1"/>
  <c r="J635" i="1"/>
  <c r="J645" i="1"/>
  <c r="J688" i="1"/>
  <c r="J643" i="1"/>
  <c r="J704" i="1"/>
  <c r="J685" i="1"/>
  <c r="J632" i="1"/>
  <c r="J636" i="1"/>
  <c r="J678" i="1"/>
  <c r="J708" i="1"/>
  <c r="J682" i="1"/>
  <c r="J672" i="1"/>
  <c r="J677" i="1"/>
  <c r="J633" i="1"/>
  <c r="J710" i="1"/>
  <c r="J705" i="1"/>
  <c r="J690" i="1"/>
  <c r="J683" i="1"/>
  <c r="J684" i="1"/>
  <c r="J639" i="1"/>
  <c r="J707" i="1"/>
  <c r="J640" i="1"/>
  <c r="J692" i="1"/>
  <c r="J706" i="1"/>
  <c r="J691" i="1"/>
  <c r="J631" i="1"/>
  <c r="J713" i="1"/>
  <c r="J699" i="1"/>
  <c r="J668" i="1"/>
  <c r="J641" i="1"/>
  <c r="J675" i="1"/>
  <c r="J676" i="1"/>
  <c r="J673" i="1"/>
  <c r="J689" i="1"/>
  <c r="J711" i="1"/>
  <c r="J715" i="1" l="1"/>
  <c r="L705" i="1"/>
  <c r="L679" i="1"/>
  <c r="L716" i="1"/>
  <c r="L673" i="1"/>
  <c r="L702" i="1"/>
  <c r="L711" i="1"/>
  <c r="L688" i="1"/>
  <c r="L674" i="1"/>
  <c r="L709" i="1"/>
  <c r="L676" i="1"/>
  <c r="L689" i="1"/>
  <c r="L692" i="1"/>
  <c r="L672" i="1"/>
  <c r="L685" i="1"/>
  <c r="L686" i="1"/>
  <c r="L701" i="1"/>
  <c r="L706" i="1"/>
  <c r="L696" i="1"/>
  <c r="L697" i="1"/>
  <c r="L681" i="1"/>
  <c r="L687" i="1"/>
  <c r="L671" i="1"/>
  <c r="L677" i="1"/>
  <c r="L708" i="1"/>
  <c r="L704" i="1"/>
  <c r="L684" i="1"/>
  <c r="L694" i="1"/>
  <c r="L700" i="1"/>
  <c r="L707" i="1"/>
  <c r="L703" i="1"/>
  <c r="L675" i="1"/>
  <c r="L680" i="1"/>
  <c r="L693" i="1"/>
  <c r="L713" i="1"/>
  <c r="L670" i="1"/>
  <c r="L695" i="1"/>
  <c r="L710" i="1"/>
  <c r="L669" i="1"/>
  <c r="L712" i="1"/>
  <c r="L698" i="1"/>
  <c r="L668" i="1"/>
  <c r="L715" i="1" s="1"/>
  <c r="L690" i="1"/>
  <c r="L682" i="1"/>
  <c r="L699" i="1"/>
  <c r="L678" i="1"/>
  <c r="L691" i="1"/>
  <c r="L683" i="1"/>
  <c r="K716" i="1"/>
  <c r="K688" i="1"/>
  <c r="K686" i="1"/>
  <c r="K704" i="1"/>
  <c r="K702" i="1"/>
  <c r="K684" i="1"/>
  <c r="K712" i="1"/>
  <c r="K675" i="1"/>
  <c r="K691" i="1"/>
  <c r="K669" i="1"/>
  <c r="K692" i="1"/>
  <c r="K682" i="1"/>
  <c r="K693" i="1"/>
  <c r="K668" i="1"/>
  <c r="K715" i="1" s="1"/>
  <c r="K680" i="1"/>
  <c r="K705" i="1"/>
  <c r="K690" i="1"/>
  <c r="K710" i="1"/>
  <c r="K707" i="1"/>
  <c r="K697" i="1"/>
  <c r="K674" i="1"/>
  <c r="K683" i="1"/>
  <c r="K678" i="1"/>
  <c r="K695" i="1"/>
  <c r="K687" i="1"/>
  <c r="K685" i="1"/>
  <c r="K676" i="1"/>
  <c r="K701" i="1"/>
  <c r="K689" i="1"/>
  <c r="K706" i="1"/>
  <c r="K696" i="1"/>
  <c r="K673" i="1"/>
  <c r="K677" i="1"/>
  <c r="K709" i="1"/>
  <c r="K698" i="1"/>
  <c r="K671" i="1"/>
  <c r="K679" i="1"/>
  <c r="K713" i="1"/>
  <c r="K681" i="1"/>
  <c r="K711" i="1"/>
  <c r="K699" i="1"/>
  <c r="K672" i="1"/>
  <c r="K694" i="1"/>
  <c r="K670" i="1"/>
  <c r="K703" i="1"/>
  <c r="K708" i="1"/>
  <c r="K700" i="1"/>
</calcChain>
</file>

<file path=xl/sharedStrings.xml><?xml version="1.0" encoding="utf-8"?>
<sst xmlns="http://schemas.openxmlformats.org/spreadsheetml/2006/main" count="4670" uniqueCount="1281">
  <si>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</si>
  <si>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</si>
  <si>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</si>
  <si>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</si>
  <si>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</si>
  <si>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</si>
  <si>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</si>
  <si>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</si>
  <si>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</si>
  <si>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</si>
  <si>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</si>
  <si>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</si>
  <si>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</si>
  <si>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</si>
  <si>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</si>
  <si>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</si>
  <si>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</si>
  <si>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</si>
  <si>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</si>
  <si>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</si>
  <si>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</si>
  <si>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</si>
  <si>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</si>
  <si>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</si>
  <si>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</si>
  <si>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</si>
  <si>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</si>
  <si>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</si>
  <si>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</si>
  <si>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</si>
  <si>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</si>
  <si>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</si>
  <si>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</si>
  <si>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</si>
  <si>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</si>
  <si>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</si>
  <si>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</si>
  <si>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</si>
  <si>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</si>
  <si>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</si>
  <si>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</si>
  <si>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</si>
  <si>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</si>
  <si>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</si>
  <si>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</si>
  <si>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</si>
  <si>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</si>
  <si>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</si>
  <si>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</si>
  <si>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</si>
  <si>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</si>
  <si>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</si>
  <si>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</si>
  <si>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</si>
  <si>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</si>
  <si>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</si>
  <si>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</si>
  <si>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</si>
  <si>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</si>
  <si>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</si>
  <si>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</si>
  <si>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</si>
  <si>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</si>
  <si>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</si>
  <si>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</si>
  <si>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</si>
  <si>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</si>
  <si>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</si>
  <si>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</si>
  <si>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</si>
  <si>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</si>
  <si>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</si>
  <si>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</si>
  <si>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</si>
  <si>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</si>
  <si>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</si>
  <si>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</si>
  <si>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</si>
  <si>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</si>
  <si>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</si>
  <si>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</si>
  <si>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</si>
  <si>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</si>
  <si>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</si>
  <si>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</si>
  <si>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</si>
  <si>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</si>
  <si>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</si>
  <si>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</si>
  <si>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</si>
  <si>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</si>
  <si>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</si>
  <si>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</si>
  <si>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</si>
  <si>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</si>
  <si>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</si>
  <si>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</si>
  <si>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</si>
  <si>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</si>
  <si>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</si>
  <si>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</si>
  <si>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</si>
  <si>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</si>
  <si>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</si>
  <si>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</si>
  <si>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</si>
  <si>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</si>
  <si>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</si>
  <si>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</si>
  <si>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</si>
  <si>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</si>
  <si>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</si>
  <si>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</si>
  <si>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</si>
  <si>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</si>
  <si>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</si>
  <si>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</si>
  <si>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</si>
  <si>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</si>
  <si>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</si>
  <si>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</si>
  <si>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</si>
  <si>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</si>
  <si>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</si>
  <si>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</si>
  <si>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</si>
  <si>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</si>
  <si>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</si>
  <si>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</si>
  <si>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</si>
  <si>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</si>
  <si>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</si>
  <si>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</si>
  <si>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</si>
  <si>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</si>
  <si>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</si>
  <si>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</si>
  <si>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</si>
  <si>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</si>
  <si>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</si>
  <si>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</si>
  <si>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</si>
  <si>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</si>
  <si>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</si>
  <si>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</si>
  <si>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</si>
  <si>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</si>
  <si>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</si>
  <si>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</si>
  <si>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</si>
  <si>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</si>
  <si>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</si>
  <si>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</si>
  <si>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</si>
  <si>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</si>
  <si>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</si>
  <si>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</si>
  <si>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</si>
  <si>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</si>
  <si>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</si>
  <si>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</si>
  <si>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</si>
  <si>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</si>
  <si>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</si>
  <si>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</si>
  <si>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</si>
  <si>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</si>
  <si>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</si>
  <si>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</si>
  <si>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</si>
  <si>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</si>
  <si>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</si>
  <si>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</si>
  <si>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</si>
  <si>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</si>
  <si>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</si>
  <si>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</si>
  <si>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</si>
  <si>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</si>
  <si>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</si>
  <si>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</si>
  <si>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</si>
  <si>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</si>
  <si>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</si>
  <si>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</si>
  <si>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</si>
  <si>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</si>
  <si>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</si>
  <si>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</si>
  <si>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</si>
  <si>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</si>
  <si>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</si>
  <si>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</si>
  <si>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</si>
  <si>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</si>
  <si>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</si>
  <si>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</si>
  <si>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</si>
  <si>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</si>
  <si>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</si>
  <si>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</si>
  <si>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</si>
  <si>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</si>
  <si>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</si>
  <si>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</si>
  <si>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</si>
  <si>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</si>
  <si>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</si>
  <si>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</si>
  <si>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</si>
  <si>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</si>
  <si>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</si>
  <si>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</si>
  <si>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</si>
  <si>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</si>
  <si>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</si>
  <si>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</si>
  <si>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</si>
  <si>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</si>
  <si>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</si>
  <si>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</si>
  <si>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</si>
  <si>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</si>
  <si>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</si>
  <si>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</si>
  <si>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</si>
  <si>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</si>
  <si>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</si>
  <si>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</si>
  <si>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</si>
  <si>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</si>
  <si>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</si>
  <si>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</si>
  <si>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</si>
  <si>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</si>
  <si>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</si>
  <si>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</si>
  <si>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</si>
  <si>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</si>
  <si>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</si>
  <si>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</si>
  <si>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</si>
  <si>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</si>
  <si>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</si>
  <si>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</si>
  <si>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</si>
  <si>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</si>
  <si>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</si>
  <si>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</si>
  <si>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</si>
  <si>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</si>
  <si>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</si>
  <si>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</si>
  <si>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</si>
  <si>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</si>
  <si>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</si>
  <si>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</si>
  <si>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</si>
  <si>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</si>
  <si>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</si>
  <si>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</si>
  <si>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</si>
  <si>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</si>
  <si>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</si>
  <si>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</si>
  <si>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</si>
  <si>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</si>
  <si>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</si>
  <si>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</si>
  <si>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</si>
  <si>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</si>
  <si>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</si>
  <si>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</si>
  <si>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</si>
  <si>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</si>
  <si>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</si>
  <si>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</si>
  <si>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</si>
  <si>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</si>
  <si>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</si>
  <si>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</si>
  <si>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</si>
  <si>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</si>
  <si>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</si>
  <si>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</si>
  <si>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</si>
  <si>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</si>
  <si>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</si>
  <si>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</si>
  <si>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</si>
  <si>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</si>
  <si>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</si>
  <si>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</si>
  <si>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</si>
  <si>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</si>
  <si>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</si>
  <si>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</si>
  <si>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</si>
  <si>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</si>
  <si>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</si>
  <si>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</si>
  <si>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</si>
  <si>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</si>
  <si>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</si>
  <si>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</si>
  <si>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</si>
  <si>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</si>
  <si>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</si>
  <si>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</si>
  <si>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</si>
  <si>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</si>
  <si>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</si>
  <si>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</si>
  <si>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</si>
  <si>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</si>
  <si>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</si>
  <si>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</si>
  <si>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</si>
  <si>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</si>
  <si>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</si>
  <si>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</si>
  <si>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</si>
  <si>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</si>
  <si>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</si>
  <si>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</si>
  <si>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</si>
  <si>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</si>
  <si>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</si>
  <si>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</si>
  <si>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</si>
  <si>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</si>
  <si>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</si>
  <si>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</si>
  <si>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</si>
  <si>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</si>
  <si>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</si>
  <si>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</si>
  <si>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</si>
  <si>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</si>
  <si>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</si>
  <si>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</si>
  <si>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</si>
  <si>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</si>
  <si>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</si>
  <si>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</si>
  <si>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</si>
  <si>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</si>
  <si>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</si>
  <si>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</si>
  <si>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</si>
  <si>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</si>
  <si>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</si>
  <si>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</si>
  <si>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</si>
  <si>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</si>
  <si>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</si>
  <si>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</si>
  <si>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</si>
  <si>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</si>
  <si>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</si>
  <si>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</si>
  <si>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</si>
  <si>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</si>
  <si>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</si>
  <si>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</si>
  <si>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</si>
  <si>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</si>
  <si>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</si>
  <si>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</si>
  <si>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</si>
  <si>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</si>
  <si>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</si>
  <si>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</si>
  <si>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</si>
  <si>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</si>
  <si>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</si>
  <si>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</si>
  <si>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</si>
  <si>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</si>
  <si>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</si>
  <si>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</si>
  <si>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</si>
  <si>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</si>
  <si>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</si>
  <si>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</si>
  <si>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</si>
  <si>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</si>
  <si>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</si>
  <si>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</si>
  <si>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</si>
  <si>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</si>
  <si>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</si>
  <si>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</si>
  <si>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</si>
  <si>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</si>
  <si>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</si>
  <si>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</si>
  <si>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</si>
  <si>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</si>
  <si>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</si>
  <si>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</si>
  <si>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</si>
  <si>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</si>
  <si>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</si>
  <si>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</si>
  <si>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</si>
  <si>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</si>
  <si>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</si>
  <si>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</si>
  <si>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</si>
  <si>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</si>
  <si>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</si>
  <si>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</si>
  <si>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</si>
  <si>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</si>
  <si>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</si>
  <si>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</si>
  <si>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</si>
  <si>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</si>
  <si>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</si>
  <si>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</si>
  <si>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</si>
  <si>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</si>
  <si>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</si>
  <si>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</si>
  <si>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</si>
  <si>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</si>
  <si>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</si>
  <si>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</si>
  <si>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</si>
  <si>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</si>
  <si>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</si>
  <si>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</si>
  <si>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</si>
  <si>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</si>
  <si>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</si>
  <si>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</si>
  <si>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</si>
  <si>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</si>
  <si>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</si>
  <si>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</si>
  <si>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</si>
  <si>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</si>
  <si>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</si>
  <si>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</si>
  <si>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</si>
  <si>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</si>
  <si>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</si>
  <si>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</si>
  <si>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</si>
  <si>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</si>
  <si>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</si>
  <si>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</si>
  <si>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</si>
  <si>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</si>
  <si>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</si>
  <si>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</si>
  <si>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</si>
  <si>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</si>
  <si>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</si>
  <si>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</si>
  <si>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</si>
  <si>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</si>
  <si>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</si>
  <si>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</si>
  <si>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</si>
  <si>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</si>
  <si>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</si>
  <si>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</si>
  <si>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</si>
  <si>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</si>
  <si>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</si>
  <si>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</si>
  <si>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</si>
  <si>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</si>
  <si>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</si>
  <si>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</si>
  <si>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</si>
  <si>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</si>
  <si>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</si>
  <si>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</si>
  <si>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</si>
  <si>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</si>
  <si>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</si>
  <si>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</si>
  <si>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</si>
  <si>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</si>
  <si>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</si>
  <si>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</si>
  <si>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</si>
  <si>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</si>
  <si>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</si>
  <si>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</si>
  <si>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</si>
  <si>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</si>
  <si>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</si>
  <si>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</si>
  <si>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</si>
  <si>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</si>
  <si>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</si>
  <si>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</si>
  <si>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</si>
  <si>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</si>
  <si>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</si>
  <si>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</si>
  <si>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</si>
  <si>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</si>
  <si>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</si>
  <si>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</si>
  <si>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</si>
  <si>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</si>
  <si>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</si>
  <si>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</si>
  <si>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</si>
  <si>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</si>
  <si>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</si>
  <si>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</si>
  <si>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</si>
  <si>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</si>
  <si>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</si>
  <si>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</si>
  <si>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</si>
  <si>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</si>
  <si>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</si>
  <si>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</si>
  <si>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</si>
  <si>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</si>
  <si>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</si>
  <si>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</si>
  <si>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</si>
  <si>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</si>
  <si>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</si>
  <si>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</si>
  <si>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</si>
  <si>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</si>
  <si>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</si>
  <si>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</si>
  <si>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</si>
  <si>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</si>
  <si>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</si>
  <si>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</si>
  <si>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</si>
  <si>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</si>
  <si>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</si>
  <si>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</si>
  <si>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</si>
  <si>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</si>
  <si>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</si>
  <si>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</si>
  <si>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</si>
  <si>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</si>
  <si>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</si>
  <si>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</si>
  <si>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</si>
  <si>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</si>
  <si>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</si>
  <si>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</si>
  <si>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</si>
  <si>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</si>
  <si>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</si>
  <si>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</si>
  <si>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</si>
  <si>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</si>
  <si>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</si>
  <si>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</si>
  <si>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</si>
  <si>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</si>
  <si>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</si>
  <si>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</si>
  <si>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</si>
  <si>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</si>
  <si>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</si>
  <si>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</si>
  <si>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</si>
  <si>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</si>
  <si>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</si>
  <si>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</si>
  <si>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</si>
  <si>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</si>
  <si>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</si>
  <si>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</si>
  <si>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</si>
  <si>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</si>
  <si>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</si>
  <si>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</si>
  <si>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</si>
  <si>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</si>
  <si>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</si>
  <si>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</si>
  <si>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</si>
  <si>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</si>
  <si>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</si>
  <si>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</si>
  <si>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</si>
  <si>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</si>
  <si>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</si>
  <si>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</si>
  <si>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</si>
  <si>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</si>
  <si>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</si>
  <si>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</si>
  <si>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</si>
  <si>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</si>
  <si>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</si>
  <si>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</si>
  <si>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</si>
  <si>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</si>
  <si>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</si>
  <si>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</si>
  <si>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</si>
  <si>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</si>
  <si>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</si>
  <si>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</si>
  <si>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</si>
  <si>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</si>
  <si>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</si>
  <si>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</si>
  <si>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</si>
  <si>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</si>
  <si>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</si>
  <si>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</si>
  <si>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</si>
  <si>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</si>
  <si>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</si>
  <si>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</si>
  <si>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</si>
  <si>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</si>
  <si>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</si>
  <si>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</si>
  <si>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</si>
  <si>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</si>
  <si>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</si>
  <si>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</si>
  <si>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</si>
  <si>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</si>
  <si>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</si>
  <si>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</si>
  <si>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</si>
  <si>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</si>
  <si>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</si>
  <si>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</si>
  <si>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</si>
  <si>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</si>
  <si>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</si>
  <si>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</si>
  <si>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</si>
  <si>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</si>
  <si>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</si>
  <si>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</si>
  <si>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</si>
  <si>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</si>
  <si>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</si>
  <si>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</si>
  <si>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</si>
  <si>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</si>
  <si>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</si>
  <si>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</si>
  <si>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</si>
  <si>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</si>
  <si>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</si>
  <si>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</si>
  <si>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</si>
  <si>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</si>
  <si>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</si>
  <si>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</si>
  <si>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</si>
  <si>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</si>
  <si>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</si>
  <si>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</si>
  <si>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</si>
  <si>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</si>
  <si>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</si>
  <si>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</si>
  <si>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</si>
  <si>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</si>
  <si>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</si>
  <si>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</si>
  <si>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</si>
  <si>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</si>
  <si>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</si>
  <si>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</si>
  <si>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</si>
  <si>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</si>
  <si>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</si>
  <si>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</si>
  <si>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</si>
  <si>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</si>
  <si>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</si>
  <si>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</si>
  <si>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</si>
  <si>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</si>
  <si>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</si>
  <si>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</si>
  <si>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</si>
  <si>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</si>
  <si>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</si>
  <si>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</si>
  <si>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</si>
  <si>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</si>
  <si>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</si>
  <si>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</si>
  <si>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</si>
  <si>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</si>
  <si>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</si>
  <si>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</si>
  <si>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</si>
  <si>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</si>
  <si>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</si>
  <si>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</si>
  <si>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</si>
  <si>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</si>
  <si>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</si>
  <si>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</si>
  <si>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</si>
  <si>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</si>
  <si>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</si>
  <si>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</si>
  <si>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</si>
  <si>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</si>
  <si>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</si>
  <si>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</si>
  <si>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</si>
  <si>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</si>
  <si>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</si>
  <si>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</si>
  <si>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</si>
  <si>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</si>
  <si>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</si>
  <si>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</si>
  <si>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</si>
  <si>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</si>
  <si>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</si>
  <si>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</si>
  <si>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</si>
  <si>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</si>
  <si>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</si>
  <si>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</si>
  <si>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</si>
  <si>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</si>
  <si>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</si>
  <si>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</si>
  <si>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</si>
  <si>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</si>
  <si>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</si>
  <si>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</si>
  <si>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</si>
  <si>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</si>
  <si>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</si>
  <si>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</si>
  <si>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</si>
  <si>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</si>
  <si>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</si>
  <si>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</si>
  <si>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</si>
  <si>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</si>
  <si>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</si>
  <si>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</si>
  <si>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</si>
  <si>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</si>
  <si>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</si>
  <si>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</si>
  <si>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</si>
  <si>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</si>
  <si>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</si>
  <si>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</si>
  <si>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</si>
  <si>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</si>
  <si>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</si>
  <si>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</si>
  <si>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</si>
  <si>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</si>
  <si>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</si>
  <si>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</si>
  <si>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</si>
  <si>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</si>
  <si>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</si>
  <si>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</si>
  <si>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</si>
  <si>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</si>
  <si>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</si>
  <si>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</si>
  <si>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</si>
  <si>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</si>
  <si>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</si>
  <si>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</si>
  <si>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</si>
  <si>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</si>
  <si>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</si>
  <si>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</si>
  <si>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</si>
  <si>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</si>
  <si>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</si>
  <si>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</si>
  <si>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</si>
  <si>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</si>
  <si>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</si>
  <si>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</si>
  <si>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</si>
  <si>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</si>
  <si>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</si>
  <si>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</si>
  <si>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</si>
  <si>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</si>
  <si>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</si>
  <si>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</si>
  <si>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</si>
  <si>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</si>
  <si>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</si>
  <si>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</si>
  <si>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</si>
  <si>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</si>
  <si>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</si>
  <si>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</si>
  <si>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</si>
  <si>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</si>
  <si>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</si>
  <si>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</si>
  <si>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</si>
  <si>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</si>
  <si>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</si>
  <si>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</si>
  <si>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</si>
  <si>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</si>
  <si>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</si>
  <si>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</si>
  <si>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</si>
  <si>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</si>
  <si>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</si>
  <si>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</si>
  <si>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</si>
  <si>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</si>
  <si>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</si>
  <si>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</si>
  <si>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</si>
  <si>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</si>
  <si>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</si>
  <si>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</si>
  <si>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</si>
  <si>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</si>
  <si>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</si>
  <si>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</si>
  <si>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</si>
  <si>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</si>
  <si>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</si>
  <si>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</si>
  <si>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</si>
  <si>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</si>
  <si>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</si>
  <si>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</si>
  <si>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</si>
  <si>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</si>
  <si>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</si>
  <si>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</si>
  <si>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</si>
  <si>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</si>
  <si>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</si>
  <si>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</si>
  <si>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</si>
  <si>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</si>
  <si>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</si>
  <si>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</si>
  <si>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</si>
  <si>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</si>
  <si>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</si>
  <si>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</si>
  <si>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</si>
  <si>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</si>
  <si>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</si>
  <si>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</si>
  <si>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</si>
  <si>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</si>
  <si>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</si>
  <si>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</si>
  <si>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</si>
  <si>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</si>
  <si>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</si>
  <si>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</si>
  <si>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</si>
  <si>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</si>
  <si>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</si>
  <si>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</si>
  <si>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</si>
  <si>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</si>
  <si>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</si>
  <si>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</si>
  <si>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</si>
  <si>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</si>
  <si>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</si>
  <si>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</si>
  <si>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</si>
  <si>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</si>
  <si>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</si>
  <si>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</si>
  <si>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</si>
  <si>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</si>
  <si>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</si>
  <si>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</si>
  <si>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</si>
  <si>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</si>
  <si>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</si>
  <si>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</si>
  <si>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</si>
  <si>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</si>
  <si>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</si>
  <si>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</si>
  <si>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</si>
  <si>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</si>
  <si>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</si>
  <si>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</si>
  <si>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</si>
  <si>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</si>
  <si>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</si>
  <si>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</si>
  <si>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</si>
  <si>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</si>
  <si>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</si>
  <si>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</si>
  <si>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</si>
  <si>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</si>
  <si>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</si>
  <si>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</si>
  <si>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</si>
  <si>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</si>
  <si>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</si>
  <si>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</si>
  <si>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</si>
  <si>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</si>
  <si>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</si>
  <si>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</si>
  <si>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</si>
  <si>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</si>
  <si>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</si>
  <si>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</si>
  <si>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</si>
  <si>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</si>
  <si>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</si>
  <si>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</si>
  <si>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</si>
  <si>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</si>
  <si>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</si>
  <si>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</si>
  <si>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</si>
  <si>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</si>
  <si>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</si>
  <si>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</si>
  <si>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</si>
  <si>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</si>
  <si>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</si>
  <si>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</si>
  <si>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</si>
  <si>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</si>
  <si>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</si>
  <si>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</si>
  <si>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</si>
  <si>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</si>
  <si>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</si>
  <si>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</si>
  <si>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</si>
  <si>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</si>
  <si>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</si>
  <si>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</si>
  <si>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</si>
  <si>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</si>
  <si>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</si>
  <si>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</si>
  <si>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</si>
  <si>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</si>
  <si>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</si>
  <si>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</si>
  <si>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</si>
  <si>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</si>
  <si>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</si>
  <si>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</si>
  <si>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</si>
  <si>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</si>
  <si>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</si>
  <si>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</si>
  <si>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</si>
  <si>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</si>
  <si>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</si>
  <si>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</si>
  <si>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</si>
  <si>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</si>
  <si>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</si>
  <si>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</si>
  <si>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</si>
  <si>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</si>
  <si>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</si>
  <si>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</si>
  <si>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</si>
  <si>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</si>
  <si>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</si>
  <si>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</si>
  <si>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</si>
  <si>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</si>
  <si>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</si>
  <si>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</si>
  <si>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</si>
  <si>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</si>
  <si>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</si>
  <si>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</si>
  <si>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</si>
  <si>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</si>
  <si>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</si>
  <si>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</si>
  <si>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</si>
  <si>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</si>
  <si>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</si>
  <si>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</si>
  <si>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</si>
  <si>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</si>
  <si>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</si>
  <si>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</si>
  <si>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</si>
  <si>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</si>
  <si>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</si>
  <si>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</si>
  <si>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</si>
  <si>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</si>
  <si>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</si>
  <si>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</si>
  <si>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</si>
  <si>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</si>
  <si>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</si>
  <si>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</si>
  <si>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</si>
  <si>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</si>
  <si>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</si>
  <si>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</si>
  <si>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</si>
  <si>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</si>
  <si>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</si>
  <si>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</si>
  <si>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</si>
  <si>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</si>
  <si>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</si>
  <si>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</si>
  <si>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</si>
  <si>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</si>
  <si>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</si>
  <si>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</si>
  <si>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</si>
  <si>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</si>
  <si>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</si>
  <si>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</si>
  <si>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</si>
  <si>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</si>
  <si>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</si>
  <si>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</si>
  <si>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</si>
  <si>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</si>
  <si>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</si>
  <si>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</si>
  <si>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</si>
  <si>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</si>
  <si>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</si>
  <si>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</si>
  <si>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</si>
  <si>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</si>
  <si>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</si>
  <si>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</si>
  <si>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</si>
  <si>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</si>
  <si>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</si>
  <si>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</si>
  <si>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</si>
  <si>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</si>
  <si>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</si>
  <si>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</si>
  <si>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</si>
  <si>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</si>
  <si>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</si>
  <si>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</si>
  <si>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</si>
  <si>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</si>
  <si>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</si>
  <si>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</si>
  <si>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</si>
  <si>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</si>
  <si>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</si>
  <si>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</si>
  <si>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</si>
  <si>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</si>
  <si>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</si>
  <si>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</si>
  <si>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</si>
  <si>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</si>
  <si>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</si>
  <si>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</si>
  <si>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</si>
  <si>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</si>
  <si>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</si>
  <si>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</si>
  <si>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</si>
  <si>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</si>
  <si>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</si>
  <si>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</si>
  <si>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</si>
  <si>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</si>
  <si>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</si>
  <si>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</si>
  <si>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</si>
  <si>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</si>
  <si>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</si>
  <si>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</si>
  <si>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</si>
  <si>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</si>
  <si>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</si>
  <si>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</si>
  <si>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</si>
  <si>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</si>
  <si>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</si>
  <si>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</si>
  <si>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</si>
  <si>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</si>
  <si>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</si>
  <si>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</si>
  <si>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</si>
  <si>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</si>
  <si>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</si>
  <si>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</si>
  <si>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</si>
  <si>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</si>
  <si>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</si>
  <si>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</si>
  <si>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</si>
  <si>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</si>
  <si>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</si>
  <si>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</si>
  <si>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</si>
  <si>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</si>
  <si>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</si>
  <si>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</si>
  <si>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</si>
  <si>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</si>
  <si>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</si>
  <si>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</si>
  <si>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</si>
  <si>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</si>
  <si>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</si>
  <si>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</si>
  <si>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</si>
  <si>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</si>
  <si>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</si>
  <si>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</si>
  <si>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</si>
  <si>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</si>
  <si>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</si>
  <si>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</si>
  <si>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</si>
  <si>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</si>
  <si>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</si>
  <si>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</si>
  <si>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</si>
  <si>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</si>
  <si>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</si>
  <si>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</si>
  <si>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</si>
  <si>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</si>
  <si>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</si>
  <si>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</si>
  <si>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</si>
  <si>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</si>
  <si>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</si>
  <si>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</si>
  <si>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</si>
  <si>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</si>
  <si>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</si>
  <si>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</si>
  <si>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</si>
  <si>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</si>
  <si>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</si>
  <si>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</si>
  <si>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</si>
  <si>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</si>
  <si>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</si>
  <si>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</si>
  <si>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</si>
  <si>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</si>
  <si>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</si>
  <si>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</si>
  <si>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</si>
  <si>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</si>
  <si>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</si>
  <si>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</si>
  <si>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</si>
  <si>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</si>
  <si>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</si>
  <si>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</si>
  <si>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</si>
  <si>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</si>
  <si>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</si>
  <si>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</si>
  <si>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</si>
  <si>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</si>
  <si>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</si>
  <si>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</si>
  <si>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</si>
  <si>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</si>
  <si>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</si>
  <si>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</si>
  <si>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</si>
  <si>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</si>
  <si>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</si>
  <si>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</si>
  <si>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</si>
  <si>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</si>
  <si>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</si>
  <si>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</si>
  <si>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</si>
  <si>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</si>
  <si>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</si>
  <si>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</si>
  <si>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</si>
  <si>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</si>
  <si>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</si>
  <si>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</si>
  <si>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</si>
  <si>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</si>
  <si>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</si>
  <si>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</si>
  <si>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</si>
  <si>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</si>
  <si>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</si>
  <si>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</si>
  <si>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</si>
  <si>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</si>
  <si>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</si>
  <si>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</si>
  <si>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</si>
  <si>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</si>
  <si>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</si>
  <si>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</si>
  <si>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</si>
  <si>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</si>
  <si>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</si>
  <si>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</si>
  <si>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</si>
  <si>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</si>
  <si>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</si>
  <si>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</si>
  <si>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</si>
  <si>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</si>
  <si>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</si>
  <si>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</si>
  <si>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</si>
  <si>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</si>
  <si>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</si>
  <si>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</si>
  <si>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</si>
  <si>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</si>
  <si>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</si>
  <si>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</si>
  <si>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</si>
  <si>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</si>
  <si>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</si>
  <si>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</si>
  <si>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</si>
  <si>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</si>
  <si>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</si>
  <si>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</si>
  <si>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</si>
  <si>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</si>
  <si>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</si>
  <si>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</si>
  <si>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</si>
  <si>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Yakima</t>
  </si>
  <si>
    <t>2016</t>
  </si>
  <si>
    <t>199</t>
  </si>
  <si>
    <t>ASTRIA TOPPENISH HOSPITAL</t>
  </si>
  <si>
    <t>502 W 4th Avenue</t>
  </si>
  <si>
    <t>Toppenish, WA  98948</t>
  </si>
  <si>
    <t>Eric Jensen</t>
  </si>
  <si>
    <t>Kyla Wright</t>
  </si>
  <si>
    <t>Bertha Ortega</t>
  </si>
  <si>
    <t>509-865-3105</t>
  </si>
  <si>
    <t>509-865-1519</t>
  </si>
  <si>
    <t>12/31/2019</t>
  </si>
  <si>
    <t>Toppenish, WA 98948</t>
  </si>
  <si>
    <t>Brian Hargis</t>
  </si>
  <si>
    <t>Maxwell Owens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</si>
</sst>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88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 xr:uid="{00000000-0005-0000-0000-000001000000}"/>
    <cellStyle name="Comma 2" xfId="26" xr:uid="{00000000-0005-0000-0000-000002000000}"/>
    <cellStyle name="Hyperlink" xfId="2" builtinId="8"/>
    <cellStyle name="Normal" xfId="0" builtinId="0"/>
    <cellStyle name="Normal 10" xfId="28" xr:uid="{00000000-0005-0000-0000-000005000000}"/>
    <cellStyle name="Normal 10 2" xfId="25" xr:uid="{00000000-0005-0000-0000-000006000000}"/>
    <cellStyle name="Normal 10 2 3" xfId="4" xr:uid="{00000000-0005-0000-0000-000007000000}"/>
    <cellStyle name="Normal 11" xfId="16" xr:uid="{00000000-0005-0000-0000-000008000000}"/>
    <cellStyle name="Normal 158" xfId="15" xr:uid="{00000000-0005-0000-0000-000009000000}"/>
    <cellStyle name="Normal 163" xfId="21" xr:uid="{00000000-0005-0000-0000-00000A000000}"/>
    <cellStyle name="Normal 168" xfId="13" xr:uid="{00000000-0005-0000-0000-00000B000000}"/>
    <cellStyle name="Normal 17" xfId="31" xr:uid="{00000000-0005-0000-0000-00000C000000}"/>
    <cellStyle name="Normal 170" xfId="14" xr:uid="{00000000-0005-0000-0000-00000D000000}"/>
    <cellStyle name="Normal 175" xfId="6" xr:uid="{00000000-0005-0000-0000-00000E000000}"/>
    <cellStyle name="Normal 2" xfId="23" xr:uid="{00000000-0005-0000-0000-00000F000000}"/>
    <cellStyle name="Normal 2 3 2" xfId="27" xr:uid="{00000000-0005-0000-0000-000010000000}"/>
    <cellStyle name="Normal 213" xfId="20" xr:uid="{00000000-0005-0000-0000-000011000000}"/>
    <cellStyle name="Normal 220" xfId="7" xr:uid="{00000000-0005-0000-0000-000012000000}"/>
    <cellStyle name="Normal 240" xfId="8" xr:uid="{00000000-0005-0000-0000-000013000000}"/>
    <cellStyle name="Normal 27" xfId="29" xr:uid="{00000000-0005-0000-0000-000014000000}"/>
    <cellStyle name="Normal 277" xfId="9" xr:uid="{00000000-0005-0000-0000-000015000000}"/>
    <cellStyle name="Normal 288" xfId="10" xr:uid="{00000000-0005-0000-0000-000016000000}"/>
    <cellStyle name="Normal 326" xfId="11" xr:uid="{00000000-0005-0000-0000-000017000000}"/>
    <cellStyle name="Normal 346" xfId="12" xr:uid="{00000000-0005-0000-0000-000018000000}"/>
    <cellStyle name="Normal 4" xfId="24" xr:uid="{00000000-0005-0000-0000-000019000000}"/>
    <cellStyle name="Normal 420" xfId="17" xr:uid="{00000000-0005-0000-0000-00001A000000}"/>
    <cellStyle name="Normal 428" xfId="18" xr:uid="{00000000-0005-0000-0000-00001B000000}"/>
    <cellStyle name="Normal 448" xfId="19" xr:uid="{00000000-0005-0000-0000-00001C000000}"/>
    <cellStyle name="Normal 6" xfId="22" xr:uid="{00000000-0005-0000-0000-00001D000000}"/>
    <cellStyle name="Percent" xfId="3" builtinId="5"/>
    <cellStyle name="Percent 398" xfId="5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" transitionEvaluation="1" transitionEntry="1" codeName="Sheet1">
    <pageSetUpPr autoPageBreaks="0" fitToPage="1"/>
  </sheetPr>
  <dimension ref="A1:CF719"/>
  <sheetViews>
    <sheetView showGridLines="0" tabSelected="1" topLeftCell="A4" zoomScaleNormal="100" workbookViewId="0">
      <selection activeCell="E5" sqref="E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f>138909.32</f>
        <v>138909.32</v>
      </c>
      <c r="D47" s="184"/>
      <c r="E47" s="184">
        <f>21152.48+39073.02+13932.55+218472.31+110732.65</f>
        <v>403363.01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f>291425.36</f>
        <v>291425.36</v>
      </c>
      <c r="P47" s="184">
        <f>140150.31</f>
        <v>140150.31</v>
      </c>
      <c r="Q47" s="184">
        <f>23899.16</f>
        <v>23899.16</v>
      </c>
      <c r="R47" s="184"/>
      <c r="S47" s="184">
        <v>75377.100000000006</v>
      </c>
      <c r="T47" s="184"/>
      <c r="U47" s="184">
        <f>194134.22</f>
        <v>194134.22</v>
      </c>
      <c r="V47" s="184">
        <f>28.61</f>
        <v>28.61</v>
      </c>
      <c r="W47" s="184">
        <f>1144.58</f>
        <v>1144.58</v>
      </c>
      <c r="X47" s="184">
        <f>30420.4</f>
        <v>30420.400000000001</v>
      </c>
      <c r="Y47" s="184">
        <f>138801.86+79653.76</f>
        <v>218455.62</v>
      </c>
      <c r="Z47" s="184"/>
      <c r="AA47" s="184"/>
      <c r="AB47" s="184">
        <f>80272.93</f>
        <v>80272.929999999993</v>
      </c>
      <c r="AC47" s="184">
        <f>111932.28</f>
        <v>111932.28</v>
      </c>
      <c r="AD47" s="184"/>
      <c r="AE47" s="184"/>
      <c r="AF47" s="184"/>
      <c r="AG47" s="184">
        <f>328624.08</f>
        <v>328624.08</v>
      </c>
      <c r="AH47" s="184"/>
      <c r="AI47" s="184"/>
      <c r="AJ47" s="184">
        <f>43865.8+147.79+149417.13+15757.3+201500.42</f>
        <v>410688.44</v>
      </c>
      <c r="AK47" s="184"/>
      <c r="AL47" s="184">
        <f>82.22</f>
        <v>82.22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f>11593.5</f>
        <v>11593.5</v>
      </c>
      <c r="AZ47" s="184">
        <f>30053.42</f>
        <v>30053.42</v>
      </c>
      <c r="BA47" s="184"/>
      <c r="BB47" s="184"/>
      <c r="BC47" s="184"/>
      <c r="BD47" s="184">
        <f>31676.03</f>
        <v>31676.03</v>
      </c>
      <c r="BE47" s="184">
        <f>39672.33</f>
        <v>39672.33</v>
      </c>
      <c r="BF47" s="184">
        <f>82991.7</f>
        <v>82991.7</v>
      </c>
      <c r="BG47" s="184"/>
      <c r="BH47" s="184"/>
      <c r="BI47" s="184"/>
      <c r="BJ47" s="184"/>
      <c r="BK47" s="184"/>
      <c r="BL47" s="184">
        <f>143745.27</f>
        <v>143745.26999999999</v>
      </c>
      <c r="BM47" s="184">
        <f>471.63</f>
        <v>471.63</v>
      </c>
      <c r="BN47" s="184">
        <f>-1289103.79</f>
        <v>-1289103.79</v>
      </c>
      <c r="BO47" s="184"/>
      <c r="BP47" s="184"/>
      <c r="BQ47" s="184"/>
      <c r="BR47" s="184">
        <f>793.1</f>
        <v>793.1</v>
      </c>
      <c r="BS47" s="184"/>
      <c r="BT47" s="184"/>
      <c r="BU47" s="184"/>
      <c r="BV47" s="184">
        <f>46063.31</f>
        <v>46063.31</v>
      </c>
      <c r="BW47" s="184"/>
      <c r="BX47" s="184">
        <f>25543.31+19441.64</f>
        <v>44984.95</v>
      </c>
      <c r="BY47" s="184">
        <f>81326.06</f>
        <v>81326.06</v>
      </c>
      <c r="BZ47" s="184"/>
      <c r="CA47" s="184">
        <f>58.52</f>
        <v>58.52</v>
      </c>
      <c r="CB47" s="184"/>
      <c r="CC47" s="184">
        <f>5284.77</f>
        <v>5284.77</v>
      </c>
      <c r="CD47" s="195"/>
      <c r="CE47" s="195">
        <f>SUM(C47:CC47)</f>
        <v>1678518.4400000002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f>1047436.93+7815.36+408839.8+13434.36</f>
        <v>1477526.4500000002</v>
      </c>
      <c r="C52" s="195">
        <f>ROUND((B52/(CE76+CF76)*C76),0)</f>
        <v>63059</v>
      </c>
      <c r="D52" s="195">
        <f>ROUND((B52/(CE76+CF76)*D76),0)</f>
        <v>0</v>
      </c>
      <c r="E52" s="195">
        <f>ROUND((B52/(CE76+CF76)*E76),0)</f>
        <v>196386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81388</v>
      </c>
      <c r="I52" s="195">
        <f>ROUND((B52/(CE76+CF76)*I76),0)</f>
        <v>0</v>
      </c>
      <c r="J52" s="195">
        <f>ROUND((B52/(CE76+CF76)*J76),0)</f>
        <v>14714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186338</v>
      </c>
      <c r="P52" s="195">
        <f>ROUND((B52/(CE76+CF76)*P76),0)</f>
        <v>51498</v>
      </c>
      <c r="Q52" s="195">
        <f>ROUND((B52/(CE76+CF76)*Q76),0)</f>
        <v>82081</v>
      </c>
      <c r="R52" s="195">
        <f>ROUND((B52/(CE76+CF76)*R76),0)</f>
        <v>3363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57615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85718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22323</v>
      </c>
      <c r="AC52" s="195">
        <f>ROUND((B52/(CE76+CF76)*AC76),0)</f>
        <v>17698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97236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34955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44730</v>
      </c>
      <c r="BE52" s="195">
        <f>ROUND((B52/(CE76+CF76)*BE76),0)</f>
        <v>65308</v>
      </c>
      <c r="BF52" s="195">
        <f>ROUND((B52/(CE76+CF76)*BF76),0)</f>
        <v>28334</v>
      </c>
      <c r="BG52" s="195">
        <f>ROUND((B52/(CE76+CF76)*BG76),0)</f>
        <v>0</v>
      </c>
      <c r="BH52" s="195">
        <f>ROUND((B52/(CE76+CF76)*BH76),0)</f>
        <v>5885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52549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46096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8576</v>
      </c>
      <c r="BS52" s="195">
        <f>ROUND((B52/(CE76+CF76)*BS76),0)</f>
        <v>6306</v>
      </c>
      <c r="BT52" s="195">
        <f>ROUND((B52/(CE76+CF76)*BT76),0)</f>
        <v>7987</v>
      </c>
      <c r="BU52" s="195">
        <f>ROUND((B52/(CE76+CF76)*BU76),0)</f>
        <v>0</v>
      </c>
      <c r="BV52" s="195">
        <f>ROUND((B52/(CE76+CF76)*BV76),0)</f>
        <v>28587</v>
      </c>
      <c r="BW52" s="195">
        <f>ROUND((B52/(CE76+CF76)*BW76),0)</f>
        <v>0</v>
      </c>
      <c r="BX52" s="195">
        <f>ROUND((B52/(CE76+CF76)*BX76),0)</f>
        <v>6810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181987</v>
      </c>
      <c r="CD52" s="195"/>
      <c r="CE52" s="195">
        <f>SUM(C52:CD52)</f>
        <v>1477527</v>
      </c>
    </row>
    <row r="53" spans="1:84" ht="12.65" customHeight="1" x14ac:dyDescent="0.35">
      <c r="A53" s="175" t="s">
        <v>206</v>
      </c>
      <c r="B53" s="195">
        <f>B51+B52</f>
        <v>1477526.4500000002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187</v>
      </c>
      <c r="D59" s="184"/>
      <c r="E59" s="184">
        <f>1845+1280-187</f>
        <v>2938</v>
      </c>
      <c r="F59" s="184"/>
      <c r="G59" s="184"/>
      <c r="H59" s="184">
        <v>3571</v>
      </c>
      <c r="I59" s="184"/>
      <c r="J59" s="184">
        <v>429</v>
      </c>
      <c r="K59" s="184"/>
      <c r="L59" s="184"/>
      <c r="M59" s="184"/>
      <c r="N59" s="184"/>
      <c r="O59" s="184">
        <f>671</f>
        <v>671</v>
      </c>
      <c r="P59" s="185"/>
      <c r="Q59" s="185"/>
      <c r="R59" s="185"/>
      <c r="S59" s="248"/>
      <c r="T59" s="248"/>
      <c r="U59" s="224"/>
      <c r="V59" s="185"/>
      <c r="W59" s="185"/>
      <c r="X59" s="185">
        <v>3597</v>
      </c>
      <c r="Y59" s="185"/>
      <c r="Z59" s="185"/>
      <c r="AA59" s="185"/>
      <c r="AB59" s="248"/>
      <c r="AC59" s="185"/>
      <c r="AD59" s="185"/>
      <c r="AE59" s="185"/>
      <c r="AF59" s="185"/>
      <c r="AG59" s="185">
        <v>18929</v>
      </c>
      <c r="AH59" s="185"/>
      <c r="AI59" s="185"/>
      <c r="AJ59" s="185">
        <v>12378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24026</v>
      </c>
      <c r="AZ59" s="185">
        <v>24026</v>
      </c>
      <c r="BA59" s="248"/>
      <c r="BB59" s="248"/>
      <c r="BC59" s="248"/>
      <c r="BD59" s="248"/>
      <c r="BE59" s="185">
        <v>70293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f>6.82</f>
        <v>6.82</v>
      </c>
      <c r="D60" s="187"/>
      <c r="E60" s="187">
        <f>1.59+13.36+13.19+0.01+1.81</f>
        <v>29.96</v>
      </c>
      <c r="F60" s="223"/>
      <c r="G60" s="187"/>
      <c r="H60" s="187">
        <f>13.15</f>
        <v>13.15</v>
      </c>
      <c r="I60" s="187"/>
      <c r="J60" s="223"/>
      <c r="K60" s="187"/>
      <c r="L60" s="187"/>
      <c r="M60" s="187"/>
      <c r="N60" s="187"/>
      <c r="O60" s="187">
        <f>15.56</f>
        <v>15.56</v>
      </c>
      <c r="P60" s="221">
        <f>9.67</f>
        <v>9.67</v>
      </c>
      <c r="Q60" s="221">
        <f>1.5</f>
        <v>1.5</v>
      </c>
      <c r="R60" s="221"/>
      <c r="S60" s="221"/>
      <c r="T60" s="221"/>
      <c r="U60" s="221">
        <f>10.04</f>
        <v>10.039999999999999</v>
      </c>
      <c r="V60" s="221">
        <f>0.02</f>
        <v>0.02</v>
      </c>
      <c r="W60" s="221">
        <f>0.16</f>
        <v>0.16</v>
      </c>
      <c r="X60" s="221">
        <f>0.69</f>
        <v>0.69</v>
      </c>
      <c r="Y60" s="221">
        <f>7.32+3.86</f>
        <v>11.18</v>
      </c>
      <c r="Z60" s="221"/>
      <c r="AA60" s="221"/>
      <c r="AB60" s="221">
        <f>3.5</f>
        <v>3.5</v>
      </c>
      <c r="AC60" s="221">
        <f>5.6</f>
        <v>5.6</v>
      </c>
      <c r="AD60" s="221"/>
      <c r="AE60" s="221"/>
      <c r="AF60" s="221"/>
      <c r="AG60" s="221">
        <f>22.73</f>
        <v>22.73</v>
      </c>
      <c r="AH60" s="221"/>
      <c r="AI60" s="221"/>
      <c r="AJ60" s="221">
        <f>3.7+3.2</f>
        <v>6.9</v>
      </c>
      <c r="AK60" s="221"/>
      <c r="AL60" s="221">
        <f>0.01</f>
        <v>0.01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f>0.82</f>
        <v>0.82</v>
      </c>
      <c r="AZ60" s="221">
        <v>3.16</v>
      </c>
      <c r="BA60" s="221"/>
      <c r="BB60" s="221"/>
      <c r="BC60" s="221"/>
      <c r="BD60" s="221">
        <f>2.66</f>
        <v>2.66</v>
      </c>
      <c r="BE60" s="221">
        <f>0.02+3.12</f>
        <v>3.14</v>
      </c>
      <c r="BF60" s="221">
        <f>6.052</f>
        <v>6.0519999999999996</v>
      </c>
      <c r="BG60" s="221">
        <f>0.23</f>
        <v>0.23</v>
      </c>
      <c r="BH60" s="221"/>
      <c r="BI60" s="221"/>
      <c r="BJ60" s="221">
        <v>0.11</v>
      </c>
      <c r="BK60" s="221"/>
      <c r="BL60" s="221">
        <f>12.37</f>
        <v>12.37</v>
      </c>
      <c r="BM60" s="221"/>
      <c r="BN60" s="221">
        <v>0.92</v>
      </c>
      <c r="BO60" s="221"/>
      <c r="BP60" s="221"/>
      <c r="BQ60" s="221"/>
      <c r="BR60" s="221">
        <f>0.14</f>
        <v>0.14000000000000001</v>
      </c>
      <c r="BS60" s="221"/>
      <c r="BT60" s="221"/>
      <c r="BU60" s="221"/>
      <c r="BV60" s="221">
        <f>3.06</f>
        <v>3.06</v>
      </c>
      <c r="BW60" s="221"/>
      <c r="BX60" s="221">
        <f>0.88+1</f>
        <v>1.88</v>
      </c>
      <c r="BY60" s="221">
        <f>4.65</f>
        <v>4.6500000000000004</v>
      </c>
      <c r="BZ60" s="221"/>
      <c r="CA60" s="221">
        <f>0.01</f>
        <v>0.01</v>
      </c>
      <c r="CB60" s="221"/>
      <c r="CC60" s="221"/>
      <c r="CD60" s="249" t="s">
        <v>221</v>
      </c>
      <c r="CE60" s="251">
        <f t="shared" ref="CE60:CE70" si="0">SUM(C60:CD60)</f>
        <v>176.69199999999989</v>
      </c>
    </row>
    <row r="61" spans="1:84" ht="12.65" customHeight="1" x14ac:dyDescent="0.35">
      <c r="A61" s="171" t="s">
        <v>235</v>
      </c>
      <c r="B61" s="175"/>
      <c r="C61" s="184">
        <f>487070.1</f>
        <v>487070.1</v>
      </c>
      <c r="D61" s="184"/>
      <c r="E61" s="184">
        <f>59505.25-936.26+313462.37+174545.82+574003.7+397866.02</f>
        <v>1518446.9</v>
      </c>
      <c r="F61" s="185"/>
      <c r="G61" s="184"/>
      <c r="H61" s="184">
        <f>468.13</f>
        <v>468.13</v>
      </c>
      <c r="I61" s="185"/>
      <c r="J61" s="185"/>
      <c r="K61" s="185"/>
      <c r="L61" s="185"/>
      <c r="M61" s="184"/>
      <c r="N61" s="184"/>
      <c r="O61" s="184">
        <f>1122696.99</f>
        <v>1122696.99</v>
      </c>
      <c r="P61" s="185">
        <f>496188.32</f>
        <v>496188.32</v>
      </c>
      <c r="Q61" s="185">
        <f>112891.44</f>
        <v>112891.44</v>
      </c>
      <c r="R61" s="185"/>
      <c r="S61" s="185"/>
      <c r="T61" s="185"/>
      <c r="U61" s="185">
        <f>556976.71</f>
        <v>556976.71</v>
      </c>
      <c r="V61" s="185">
        <f>347.69</f>
        <v>347.69</v>
      </c>
      <c r="W61" s="185">
        <f>8218.66</f>
        <v>8218.66</v>
      </c>
      <c r="X61" s="185">
        <f>44982.27</f>
        <v>44982.27</v>
      </c>
      <c r="Y61" s="185">
        <f>439950.82+274269.32</f>
        <v>714220.14</v>
      </c>
      <c r="Z61" s="185"/>
      <c r="AA61" s="185"/>
      <c r="AB61" s="185">
        <f>276627.41</f>
        <v>276627.40999999997</v>
      </c>
      <c r="AC61" s="185">
        <f>355409.52</f>
        <v>355409.52</v>
      </c>
      <c r="AD61" s="185"/>
      <c r="AE61" s="185"/>
      <c r="AF61" s="185"/>
      <c r="AG61" s="185">
        <f>1296313.41</f>
        <v>1296313.4099999999</v>
      </c>
      <c r="AH61" s="185"/>
      <c r="AI61" s="185"/>
      <c r="AJ61" s="185">
        <f>377693.32+1188.95+470197.94+67693.34+648178.89</f>
        <v>1564952.44</v>
      </c>
      <c r="AK61" s="185"/>
      <c r="AL61" s="185">
        <f>935.34</f>
        <v>935.34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f>31164.45</f>
        <v>31164.45</v>
      </c>
      <c r="AZ61" s="185">
        <f>106830.91</f>
        <v>106830.91</v>
      </c>
      <c r="BA61" s="185"/>
      <c r="BB61" s="185"/>
      <c r="BC61" s="185"/>
      <c r="BD61" s="185">
        <f>118902.96</f>
        <v>118902.96</v>
      </c>
      <c r="BE61" s="185">
        <f>120043.64</f>
        <v>120043.64</v>
      </c>
      <c r="BF61" s="185">
        <f>186813.01</f>
        <v>186813.01</v>
      </c>
      <c r="BG61" s="185"/>
      <c r="BH61" s="185"/>
      <c r="BI61" s="185"/>
      <c r="BJ61" s="185"/>
      <c r="BK61" s="185"/>
      <c r="BL61" s="185">
        <f>426425.33</f>
        <v>426425.33</v>
      </c>
      <c r="BM61" s="185">
        <f>3691.4</f>
        <v>3691.4</v>
      </c>
      <c r="BN61" s="185">
        <f>76051.4</f>
        <v>76051.399999999994</v>
      </c>
      <c r="BO61" s="185"/>
      <c r="BP61" s="185"/>
      <c r="BQ61" s="185"/>
      <c r="BR61" s="185">
        <f>7415.83</f>
        <v>7415.83</v>
      </c>
      <c r="BS61" s="185"/>
      <c r="BT61" s="185"/>
      <c r="BU61" s="185"/>
      <c r="BV61" s="185">
        <f>142871.11</f>
        <v>142871.10999999999</v>
      </c>
      <c r="BW61" s="185"/>
      <c r="BX61" s="185">
        <f>94086.9+79648.18</f>
        <v>173735.08</v>
      </c>
      <c r="BY61" s="185">
        <f>365775.21</f>
        <v>365775.21</v>
      </c>
      <c r="BZ61" s="185"/>
      <c r="CA61" s="185">
        <f>731.25</f>
        <v>731.25</v>
      </c>
      <c r="CB61" s="185"/>
      <c r="CC61" s="185"/>
      <c r="CD61" s="249" t="s">
        <v>221</v>
      </c>
      <c r="CE61" s="195">
        <f t="shared" si="0"/>
        <v>10317197.050000001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138909</v>
      </c>
      <c r="D62" s="195">
        <f t="shared" si="1"/>
        <v>0</v>
      </c>
      <c r="E62" s="195">
        <f t="shared" si="1"/>
        <v>403363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291425</v>
      </c>
      <c r="P62" s="195">
        <f t="shared" si="1"/>
        <v>140150</v>
      </c>
      <c r="Q62" s="195">
        <f t="shared" si="1"/>
        <v>23899</v>
      </c>
      <c r="R62" s="195">
        <f t="shared" si="1"/>
        <v>0</v>
      </c>
      <c r="S62" s="195">
        <f t="shared" si="1"/>
        <v>75377</v>
      </c>
      <c r="T62" s="195">
        <f t="shared" si="1"/>
        <v>0</v>
      </c>
      <c r="U62" s="195">
        <f t="shared" si="1"/>
        <v>194134</v>
      </c>
      <c r="V62" s="195">
        <f t="shared" si="1"/>
        <v>29</v>
      </c>
      <c r="W62" s="195">
        <f t="shared" si="1"/>
        <v>1145</v>
      </c>
      <c r="X62" s="195">
        <f t="shared" si="1"/>
        <v>30420</v>
      </c>
      <c r="Y62" s="195">
        <f t="shared" si="1"/>
        <v>218456</v>
      </c>
      <c r="Z62" s="195">
        <f t="shared" si="1"/>
        <v>0</v>
      </c>
      <c r="AA62" s="195">
        <f t="shared" si="1"/>
        <v>0</v>
      </c>
      <c r="AB62" s="195">
        <f t="shared" si="1"/>
        <v>80273</v>
      </c>
      <c r="AC62" s="195">
        <f t="shared" si="1"/>
        <v>111932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328624</v>
      </c>
      <c r="AH62" s="195">
        <f t="shared" si="1"/>
        <v>0</v>
      </c>
      <c r="AI62" s="195">
        <f t="shared" si="1"/>
        <v>0</v>
      </c>
      <c r="AJ62" s="195">
        <f t="shared" si="1"/>
        <v>410688</v>
      </c>
      <c r="AK62" s="195">
        <f t="shared" si="1"/>
        <v>0</v>
      </c>
      <c r="AL62" s="195">
        <f t="shared" si="1"/>
        <v>82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11594</v>
      </c>
      <c r="AZ62" s="195">
        <f>ROUND(AZ47+AZ48,0)</f>
        <v>30053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31676</v>
      </c>
      <c r="BE62" s="195">
        <f t="shared" si="1"/>
        <v>39672</v>
      </c>
      <c r="BF62" s="195">
        <f t="shared" si="1"/>
        <v>82992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143745</v>
      </c>
      <c r="BM62" s="195">
        <f t="shared" si="1"/>
        <v>472</v>
      </c>
      <c r="BN62" s="195">
        <f t="shared" si="1"/>
        <v>-1289104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793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46063</v>
      </c>
      <c r="BW62" s="195">
        <f t="shared" si="2"/>
        <v>0</v>
      </c>
      <c r="BX62" s="195">
        <f t="shared" si="2"/>
        <v>44985</v>
      </c>
      <c r="BY62" s="195">
        <f t="shared" si="2"/>
        <v>81326</v>
      </c>
      <c r="BZ62" s="195">
        <f t="shared" si="2"/>
        <v>0</v>
      </c>
      <c r="CA62" s="195">
        <f t="shared" si="2"/>
        <v>59</v>
      </c>
      <c r="CB62" s="195">
        <f t="shared" si="2"/>
        <v>0</v>
      </c>
      <c r="CC62" s="195">
        <f t="shared" si="2"/>
        <v>5285</v>
      </c>
      <c r="CD62" s="249" t="s">
        <v>221</v>
      </c>
      <c r="CE62" s="195">
        <f t="shared" si="0"/>
        <v>1678517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>
        <f>3400</f>
        <v>3400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256760.69</v>
      </c>
      <c r="S63" s="185"/>
      <c r="T63" s="185"/>
      <c r="U63" s="185">
        <f>3878.47</f>
        <v>3878.47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>
        <f>656306.79</f>
        <v>656306.79</v>
      </c>
      <c r="AH63" s="185"/>
      <c r="AI63" s="185"/>
      <c r="AJ63" s="185">
        <f>6422.96</f>
        <v>6422.96</v>
      </c>
      <c r="AK63" s="185"/>
      <c r="AL63" s="185">
        <f>4609.37</f>
        <v>4609.37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>
        <f>2080.12</f>
        <v>2080.12</v>
      </c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f>1188699.76</f>
        <v>1188699.76</v>
      </c>
      <c r="CD63" s="249" t="s">
        <v>221</v>
      </c>
      <c r="CE63" s="195">
        <f t="shared" si="0"/>
        <v>2122158.16</v>
      </c>
      <c r="CF63" s="252"/>
    </row>
    <row r="64" spans="1:84" ht="12.65" customHeight="1" x14ac:dyDescent="0.35">
      <c r="A64" s="171" t="s">
        <v>237</v>
      </c>
      <c r="B64" s="175"/>
      <c r="C64" s="184">
        <f>74994.46</f>
        <v>74994.460000000006</v>
      </c>
      <c r="D64" s="184"/>
      <c r="E64" s="185">
        <f>999.86+6652.49+6048.69+5595.9</f>
        <v>19296.939999999999</v>
      </c>
      <c r="F64" s="185"/>
      <c r="G64" s="184"/>
      <c r="H64" s="184">
        <f>7852.83</f>
        <v>7852.83</v>
      </c>
      <c r="I64" s="185"/>
      <c r="J64" s="185">
        <f>-40.28</f>
        <v>-40.28</v>
      </c>
      <c r="K64" s="185"/>
      <c r="L64" s="185"/>
      <c r="M64" s="184"/>
      <c r="N64" s="184"/>
      <c r="O64" s="184">
        <f>91554.31+14782.63</f>
        <v>106336.94</v>
      </c>
      <c r="P64" s="185">
        <f>326614.64</f>
        <v>326614.64</v>
      </c>
      <c r="Q64" s="185">
        <f>21543.91</f>
        <v>21543.91</v>
      </c>
      <c r="R64" s="185">
        <v>12682.34</v>
      </c>
      <c r="S64" s="185">
        <f>-6361.59</f>
        <v>-6361.59</v>
      </c>
      <c r="T64" s="185">
        <f>-1334.92</f>
        <v>-1334.92</v>
      </c>
      <c r="U64" s="185">
        <f>346767.82+55476</f>
        <v>402243.82</v>
      </c>
      <c r="V64" s="185"/>
      <c r="W64" s="185">
        <f>231.58</f>
        <v>231.58</v>
      </c>
      <c r="X64" s="185">
        <f>24299.64</f>
        <v>24299.64</v>
      </c>
      <c r="Y64" s="185">
        <f>8195.54+1103.26</f>
        <v>9298.8000000000011</v>
      </c>
      <c r="Z64" s="185"/>
      <c r="AA64" s="185"/>
      <c r="AB64" s="185">
        <f>8068.29</f>
        <v>8068.29</v>
      </c>
      <c r="AC64" s="185">
        <f>42638.03</f>
        <v>42638.03</v>
      </c>
      <c r="AD64" s="185"/>
      <c r="AE64" s="185"/>
      <c r="AF64" s="185"/>
      <c r="AG64" s="185">
        <f>165854</f>
        <v>165854</v>
      </c>
      <c r="AH64" s="185"/>
      <c r="AI64" s="185"/>
      <c r="AJ64" s="185">
        <f>31129.39+34877.91+3724.19+106.7</f>
        <v>69838.19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-704.3</f>
        <v>-704.3</v>
      </c>
      <c r="AZ64" s="185">
        <f>219955.8</f>
        <v>219955.8</v>
      </c>
      <c r="BA64" s="185">
        <f>-2200</f>
        <v>-2200</v>
      </c>
      <c r="BB64" s="185"/>
      <c r="BC64" s="185"/>
      <c r="BD64" s="185">
        <f>194543.33</f>
        <v>194543.33</v>
      </c>
      <c r="BE64" s="185">
        <f>5002.43</f>
        <v>5002.43</v>
      </c>
      <c r="BF64" s="185">
        <f>25054.3</f>
        <v>25054.3</v>
      </c>
      <c r="BG64" s="185"/>
      <c r="BH64" s="185">
        <v>393.21</v>
      </c>
      <c r="BI64" s="185"/>
      <c r="BJ64" s="185"/>
      <c r="BK64" s="185">
        <f>29.99</f>
        <v>29.99</v>
      </c>
      <c r="BL64" s="185">
        <f>8402.63</f>
        <v>8402.6299999999992</v>
      </c>
      <c r="BM64" s="185"/>
      <c r="BN64" s="185">
        <f>97442.61</f>
        <v>97442.61</v>
      </c>
      <c r="BO64" s="185">
        <f>1904.09</f>
        <v>1904.09</v>
      </c>
      <c r="BP64" s="185">
        <f>1091.15</f>
        <v>1091.1500000000001</v>
      </c>
      <c r="BQ64" s="185"/>
      <c r="BR64" s="185">
        <f>571.33</f>
        <v>571.33000000000004</v>
      </c>
      <c r="BS64" s="185"/>
      <c r="BT64" s="185"/>
      <c r="BU64" s="185"/>
      <c r="BV64" s="185">
        <f>328.3</f>
        <v>328.3</v>
      </c>
      <c r="BW64" s="185"/>
      <c r="BX64" s="185">
        <f>281.31</f>
        <v>281.31</v>
      </c>
      <c r="BY64" s="185">
        <f>122.98</f>
        <v>122.98</v>
      </c>
      <c r="BZ64" s="185"/>
      <c r="CA64" s="185">
        <f>406.6</f>
        <v>406.6</v>
      </c>
      <c r="CB64" s="185"/>
      <c r="CC64" s="185">
        <f>671.01</f>
        <v>671.01</v>
      </c>
      <c r="CD64" s="249" t="s">
        <v>221</v>
      </c>
      <c r="CE64" s="195">
        <f t="shared" si="0"/>
        <v>1837354.3900000004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f>11045.23+15871.95</f>
        <v>26917.18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366708.73</f>
        <v>366708.73</v>
      </c>
      <c r="BF65" s="185">
        <f>1482.79</f>
        <v>1482.79</v>
      </c>
      <c r="BG65" s="185">
        <f>-4898.74</f>
        <v>-4898.74</v>
      </c>
      <c r="BH65" s="185">
        <f>444.75</f>
        <v>444.75</v>
      </c>
      <c r="BI65" s="185"/>
      <c r="BJ65" s="185"/>
      <c r="BK65" s="185"/>
      <c r="BL65" s="185">
        <f>1092.18</f>
        <v>1092.18</v>
      </c>
      <c r="BM65" s="185"/>
      <c r="BN65" s="185">
        <f>33027.9</f>
        <v>33027.9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424774.79</v>
      </c>
      <c r="CF65" s="252"/>
    </row>
    <row r="66" spans="1:84" ht="12.65" customHeight="1" x14ac:dyDescent="0.35">
      <c r="A66" s="171" t="s">
        <v>239</v>
      </c>
      <c r="B66" s="175"/>
      <c r="C66" s="184">
        <f>62600.33+70.4</f>
        <v>62670.73</v>
      </c>
      <c r="D66" s="184"/>
      <c r="E66" s="184">
        <f>19597.28+43.5+155379.5</f>
        <v>175020.28</v>
      </c>
      <c r="F66" s="184"/>
      <c r="G66" s="184"/>
      <c r="H66" s="184">
        <f>23877.4+87+501717.25+921551.24</f>
        <v>1447232.8900000001</v>
      </c>
      <c r="I66" s="184"/>
      <c r="J66" s="184"/>
      <c r="K66" s="185"/>
      <c r="L66" s="185"/>
      <c r="M66" s="184"/>
      <c r="N66" s="184"/>
      <c r="O66" s="185">
        <f>124392.11+223.87</f>
        <v>124615.98</v>
      </c>
      <c r="P66" s="185">
        <f>167351.42+877.63</f>
        <v>168229.05000000002</v>
      </c>
      <c r="Q66" s="185">
        <f>2167.81+29</f>
        <v>2196.81</v>
      </c>
      <c r="R66" s="185"/>
      <c r="S66" s="184">
        <f>712.14</f>
        <v>712.14</v>
      </c>
      <c r="T66" s="184"/>
      <c r="U66" s="185">
        <f>149077.53</f>
        <v>149077.53</v>
      </c>
      <c r="V66" s="185"/>
      <c r="W66" s="185">
        <f>125654.3</f>
        <v>125654.3</v>
      </c>
      <c r="X66" s="185"/>
      <c r="Y66" s="185">
        <f>48091.87-1734.75-3027.97</f>
        <v>43329.15</v>
      </c>
      <c r="Z66" s="185"/>
      <c r="AA66" s="185"/>
      <c r="AB66" s="185">
        <f>-1769.76+87573.36</f>
        <v>85803.6</v>
      </c>
      <c r="AC66" s="185">
        <f>1137.42</f>
        <v>1137.42</v>
      </c>
      <c r="AD66" s="185"/>
      <c r="AE66" s="185">
        <f>-2565.62</f>
        <v>-2565.62</v>
      </c>
      <c r="AF66" s="185"/>
      <c r="AG66" s="185">
        <f>786489.08+16899.45</f>
        <v>803388.52999999991</v>
      </c>
      <c r="AH66" s="185"/>
      <c r="AI66" s="185"/>
      <c r="AJ66" s="185">
        <f>384.68+14823.48+38216.21+28523.43</f>
        <v>81947.799999999988</v>
      </c>
      <c r="AK66" s="185"/>
      <c r="AL66" s="185">
        <f>6936.5</f>
        <v>6936.5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>
        <f>723.46</f>
        <v>723.46</v>
      </c>
      <c r="BA66" s="185">
        <f>58416.67</f>
        <v>58416.67</v>
      </c>
      <c r="BB66" s="185"/>
      <c r="BC66" s="185"/>
      <c r="BD66" s="185">
        <f>4884.99</f>
        <v>4884.99</v>
      </c>
      <c r="BE66" s="185">
        <f>61734.17+154027.51</f>
        <v>215761.68</v>
      </c>
      <c r="BF66" s="185">
        <f>98810.71</f>
        <v>98810.71</v>
      </c>
      <c r="BG66" s="185">
        <f>-8227.42</f>
        <v>-8227.42</v>
      </c>
      <c r="BH66" s="185">
        <f>1654.77</f>
        <v>1654.77</v>
      </c>
      <c r="BI66" s="185"/>
      <c r="BJ66" s="185"/>
      <c r="BK66" s="185">
        <f>-95825.83</f>
        <v>-95825.83</v>
      </c>
      <c r="BL66" s="185">
        <f>6156.1</f>
        <v>6156.1</v>
      </c>
      <c r="BM66" s="185">
        <f>36.27</f>
        <v>36.270000000000003</v>
      </c>
      <c r="BN66" s="185">
        <f>80000+2263990.26</f>
        <v>2343990.2599999998</v>
      </c>
      <c r="BO66" s="185">
        <f>-1067.5</f>
        <v>-1067.5</v>
      </c>
      <c r="BP66" s="185">
        <f>1877.5</f>
        <v>1877.5</v>
      </c>
      <c r="BQ66" s="185"/>
      <c r="BR66" s="185">
        <f>5040.28</f>
        <v>5040.28</v>
      </c>
      <c r="BS66" s="185">
        <f>177.4</f>
        <v>177.4</v>
      </c>
      <c r="BT66" s="185"/>
      <c r="BU66" s="185"/>
      <c r="BV66" s="185">
        <f>17548.23</f>
        <v>17548.23</v>
      </c>
      <c r="BW66" s="185"/>
      <c r="BX66" s="185">
        <f>13012.13+1124.38-7208.32</f>
        <v>6928.1899999999987</v>
      </c>
      <c r="BY66" s="185">
        <f>-6000+11755.23</f>
        <v>5755.23</v>
      </c>
      <c r="BZ66" s="185"/>
      <c r="CA66" s="185">
        <f>534.03</f>
        <v>534.03</v>
      </c>
      <c r="CB66" s="185"/>
      <c r="CC66" s="185">
        <f>-0.5+252.07</f>
        <v>251.57</v>
      </c>
      <c r="CD66" s="249" t="s">
        <v>221</v>
      </c>
      <c r="CE66" s="195">
        <f t="shared" si="0"/>
        <v>5938813.6800000025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63059</v>
      </c>
      <c r="D67" s="195">
        <f>ROUND(D51+D52,0)</f>
        <v>0</v>
      </c>
      <c r="E67" s="195">
        <f t="shared" ref="E67:BP67" si="3">ROUND(E51+E52,0)</f>
        <v>196386</v>
      </c>
      <c r="F67" s="195">
        <f t="shared" si="3"/>
        <v>0</v>
      </c>
      <c r="G67" s="195">
        <f t="shared" si="3"/>
        <v>0</v>
      </c>
      <c r="H67" s="195">
        <f t="shared" si="3"/>
        <v>81388</v>
      </c>
      <c r="I67" s="195">
        <f t="shared" si="3"/>
        <v>0</v>
      </c>
      <c r="J67" s="195">
        <f>ROUND(J51+J52,0)</f>
        <v>14714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186338</v>
      </c>
      <c r="P67" s="195">
        <f t="shared" si="3"/>
        <v>51498</v>
      </c>
      <c r="Q67" s="195">
        <f t="shared" si="3"/>
        <v>82081</v>
      </c>
      <c r="R67" s="195">
        <f t="shared" si="3"/>
        <v>3363</v>
      </c>
      <c r="S67" s="195">
        <f t="shared" si="3"/>
        <v>0</v>
      </c>
      <c r="T67" s="195">
        <f t="shared" si="3"/>
        <v>0</v>
      </c>
      <c r="U67" s="195">
        <f t="shared" si="3"/>
        <v>57615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85718</v>
      </c>
      <c r="Z67" s="195">
        <f t="shared" si="3"/>
        <v>0</v>
      </c>
      <c r="AA67" s="195">
        <f t="shared" si="3"/>
        <v>0</v>
      </c>
      <c r="AB67" s="195">
        <f t="shared" si="3"/>
        <v>22323</v>
      </c>
      <c r="AC67" s="195">
        <f t="shared" si="3"/>
        <v>17698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97236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34955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44730</v>
      </c>
      <c r="BE67" s="195">
        <f t="shared" si="3"/>
        <v>65308</v>
      </c>
      <c r="BF67" s="195">
        <f t="shared" si="3"/>
        <v>28334</v>
      </c>
      <c r="BG67" s="195">
        <f t="shared" si="3"/>
        <v>0</v>
      </c>
      <c r="BH67" s="195">
        <f t="shared" si="3"/>
        <v>5885</v>
      </c>
      <c r="BI67" s="195">
        <f t="shared" si="3"/>
        <v>0</v>
      </c>
      <c r="BJ67" s="195">
        <f t="shared" si="3"/>
        <v>0</v>
      </c>
      <c r="BK67" s="195">
        <f t="shared" si="3"/>
        <v>52549</v>
      </c>
      <c r="BL67" s="195">
        <f t="shared" si="3"/>
        <v>0</v>
      </c>
      <c r="BM67" s="195">
        <f t="shared" si="3"/>
        <v>0</v>
      </c>
      <c r="BN67" s="195">
        <f t="shared" si="3"/>
        <v>46096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8576</v>
      </c>
      <c r="BS67" s="195">
        <f t="shared" si="4"/>
        <v>6306</v>
      </c>
      <c r="BT67" s="195">
        <f t="shared" si="4"/>
        <v>7987</v>
      </c>
      <c r="BU67" s="195">
        <f t="shared" si="4"/>
        <v>0</v>
      </c>
      <c r="BV67" s="195">
        <f t="shared" si="4"/>
        <v>28587</v>
      </c>
      <c r="BW67" s="195">
        <f t="shared" si="4"/>
        <v>0</v>
      </c>
      <c r="BX67" s="195">
        <f t="shared" si="4"/>
        <v>6810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181987</v>
      </c>
      <c r="CD67" s="249" t="s">
        <v>221</v>
      </c>
      <c r="CE67" s="195">
        <f t="shared" si="0"/>
        <v>1477527</v>
      </c>
      <c r="CF67" s="252"/>
    </row>
    <row r="68" spans="1:84" ht="12.65" customHeight="1" x14ac:dyDescent="0.35">
      <c r="A68" s="171" t="s">
        <v>240</v>
      </c>
      <c r="B68" s="175"/>
      <c r="C68" s="184">
        <f>1978.34</f>
        <v>1978.34</v>
      </c>
      <c r="D68" s="184"/>
      <c r="E68" s="184">
        <f>1978.34</f>
        <v>1978.34</v>
      </c>
      <c r="F68" s="184"/>
      <c r="G68" s="184"/>
      <c r="H68" s="184"/>
      <c r="I68" s="184"/>
      <c r="J68" s="184">
        <f>92.65</f>
        <v>92.65</v>
      </c>
      <c r="K68" s="185"/>
      <c r="L68" s="185"/>
      <c r="M68" s="184"/>
      <c r="N68" s="184"/>
      <c r="O68" s="184">
        <f>2037.21+86.85</f>
        <v>2124.06</v>
      </c>
      <c r="P68" s="185">
        <f>2526.78</f>
        <v>2526.7800000000002</v>
      </c>
      <c r="Q68" s="185"/>
      <c r="R68" s="185">
        <v>392.69</v>
      </c>
      <c r="S68" s="185">
        <f>2453.64</f>
        <v>2453.64</v>
      </c>
      <c r="T68" s="185"/>
      <c r="U68" s="185">
        <f>8767.42</f>
        <v>8767.42</v>
      </c>
      <c r="V68" s="185"/>
      <c r="W68" s="185"/>
      <c r="X68" s="185"/>
      <c r="Y68" s="185"/>
      <c r="Z68" s="185"/>
      <c r="AA68" s="185"/>
      <c r="AB68" s="185"/>
      <c r="AC68" s="185">
        <f>141.75</f>
        <v>141.75</v>
      </c>
      <c r="AD68" s="185"/>
      <c r="AE68" s="185"/>
      <c r="AF68" s="185"/>
      <c r="AG68" s="185">
        <f>2415.49</f>
        <v>2415.4899999999998</v>
      </c>
      <c r="AH68" s="185"/>
      <c r="AI68" s="185"/>
      <c r="AJ68" s="185">
        <f>98850.84+96836.4</f>
        <v>195687.24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>
        <f>-3658.48</f>
        <v>-3658.48</v>
      </c>
      <c r="AY68" s="185"/>
      <c r="AZ68" s="185"/>
      <c r="BA68" s="185"/>
      <c r="BB68" s="185"/>
      <c r="BC68" s="185"/>
      <c r="BD68" s="185">
        <f>4900.75</f>
        <v>4900.75</v>
      </c>
      <c r="BE68" s="185">
        <f>1097.52</f>
        <v>1097.52</v>
      </c>
      <c r="BF68" s="185"/>
      <c r="BG68" s="185"/>
      <c r="BH68" s="185">
        <f>712.29</f>
        <v>712.29</v>
      </c>
      <c r="BI68" s="185"/>
      <c r="BJ68" s="185"/>
      <c r="BK68" s="185"/>
      <c r="BL68" s="185"/>
      <c r="BM68" s="185"/>
      <c r="BN68" s="185">
        <f>5708.11</f>
        <v>5708.11</v>
      </c>
      <c r="BO68" s="185"/>
      <c r="BP68" s="185"/>
      <c r="BQ68" s="185"/>
      <c r="BR68" s="185"/>
      <c r="BS68" s="185"/>
      <c r="BT68" s="185"/>
      <c r="BU68" s="185"/>
      <c r="BV68" s="185">
        <f>9054.34</f>
        <v>9054.34</v>
      </c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236372.92999999996</v>
      </c>
      <c r="CF68" s="252"/>
    </row>
    <row r="69" spans="1:84" ht="12.65" customHeight="1" x14ac:dyDescent="0.35">
      <c r="A69" s="171" t="s">
        <v>241</v>
      </c>
      <c r="B69" s="175"/>
      <c r="C69" s="184">
        <f>1690.7+989.91</f>
        <v>2680.61</v>
      </c>
      <c r="D69" s="184"/>
      <c r="E69" s="185">
        <f>-233.4</f>
        <v>-233.4</v>
      </c>
      <c r="F69" s="185"/>
      <c r="G69" s="184"/>
      <c r="H69" s="184">
        <f>6000</f>
        <v>6000</v>
      </c>
      <c r="I69" s="185"/>
      <c r="J69" s="185"/>
      <c r="K69" s="185"/>
      <c r="L69" s="185"/>
      <c r="M69" s="184"/>
      <c r="N69" s="184"/>
      <c r="O69" s="184">
        <f>875+1162.54+1544.08+11850.73</f>
        <v>15432.349999999999</v>
      </c>
      <c r="P69" s="185">
        <f>18847.03+15687.77</f>
        <v>34534.800000000003</v>
      </c>
      <c r="Q69" s="185">
        <f>790</f>
        <v>790</v>
      </c>
      <c r="R69" s="224">
        <f>5758.28</f>
        <v>5758.28</v>
      </c>
      <c r="S69" s="185">
        <f>4255.67</f>
        <v>4255.67</v>
      </c>
      <c r="T69" s="184"/>
      <c r="U69" s="185">
        <f>8055.03+30739.91</f>
        <v>38794.94</v>
      </c>
      <c r="V69" s="185">
        <f>134.32</f>
        <v>134.32</v>
      </c>
      <c r="W69" s="184"/>
      <c r="X69" s="185">
        <f>1890</f>
        <v>1890</v>
      </c>
      <c r="Y69" s="185">
        <f>1004+22845.46+4862.19</f>
        <v>28711.649999999998</v>
      </c>
      <c r="Z69" s="185"/>
      <c r="AA69" s="185"/>
      <c r="AB69" s="185">
        <f>6143.85+471.2</f>
        <v>6615.05</v>
      </c>
      <c r="AC69" s="185">
        <f>1083.3</f>
        <v>1083.3</v>
      </c>
      <c r="AD69" s="185"/>
      <c r="AE69" s="185"/>
      <c r="AF69" s="185"/>
      <c r="AG69" s="185">
        <f>22.04+6614.07</f>
        <v>6636.11</v>
      </c>
      <c r="AH69" s="185"/>
      <c r="AI69" s="185"/>
      <c r="AJ69" s="185">
        <f>15047.98+1590.94+7577.3-3610.3</f>
        <v>20605.919999999998</v>
      </c>
      <c r="AK69" s="185"/>
      <c r="AL69" s="185">
        <f>716.49</f>
        <v>716.49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4764.26</f>
        <v>4764.26</v>
      </c>
      <c r="AW69" s="185"/>
      <c r="AX69" s="185"/>
      <c r="AY69" s="185">
        <f>12.47</f>
        <v>12.47</v>
      </c>
      <c r="AZ69" s="185">
        <f>54</f>
        <v>54</v>
      </c>
      <c r="BA69" s="185"/>
      <c r="BB69" s="185"/>
      <c r="BC69" s="185"/>
      <c r="BD69" s="185">
        <f>35521.78</f>
        <v>35521.78</v>
      </c>
      <c r="BE69" s="185">
        <f>-3059.79+45288.11</f>
        <v>42228.32</v>
      </c>
      <c r="BF69" s="185">
        <f>-29.77</f>
        <v>-29.77</v>
      </c>
      <c r="BG69" s="185"/>
      <c r="BH69" s="224">
        <f>-1319-71.35</f>
        <v>-1390.35</v>
      </c>
      <c r="BI69" s="185"/>
      <c r="BJ69" s="185"/>
      <c r="BK69" s="185"/>
      <c r="BL69" s="185"/>
      <c r="BM69" s="185"/>
      <c r="BN69" s="185">
        <f>957265.31+19378.25+4182.83</f>
        <v>980826.39</v>
      </c>
      <c r="BO69" s="185"/>
      <c r="BP69" s="185">
        <f>0.55</f>
        <v>0.55000000000000004</v>
      </c>
      <c r="BQ69" s="185"/>
      <c r="BR69" s="185"/>
      <c r="BS69" s="185"/>
      <c r="BT69" s="185"/>
      <c r="BU69" s="185"/>
      <c r="BV69" s="185">
        <f>90.85+52648.16</f>
        <v>52739.01</v>
      </c>
      <c r="BW69" s="185"/>
      <c r="BX69" s="185"/>
      <c r="BY69" s="185">
        <f>2840.49</f>
        <v>2840.49</v>
      </c>
      <c r="BZ69" s="185"/>
      <c r="CA69" s="185">
        <f>38184.74</f>
        <v>38184.74</v>
      </c>
      <c r="CB69" s="185"/>
      <c r="CC69" s="185">
        <f>4320.75+225038.81</f>
        <v>229359.56</v>
      </c>
      <c r="CD69" s="188"/>
      <c r="CE69" s="195">
        <f t="shared" si="0"/>
        <v>1559517.54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831362.23999999987</v>
      </c>
      <c r="D71" s="195">
        <f t="shared" ref="D71:AI71" si="5">SUM(D61:D69)-D70</f>
        <v>0</v>
      </c>
      <c r="E71" s="195">
        <f t="shared" si="5"/>
        <v>2317658.0599999996</v>
      </c>
      <c r="F71" s="195">
        <f t="shared" si="5"/>
        <v>0</v>
      </c>
      <c r="G71" s="195">
        <f t="shared" si="5"/>
        <v>0</v>
      </c>
      <c r="H71" s="195">
        <f t="shared" si="5"/>
        <v>1542941.85</v>
      </c>
      <c r="I71" s="195">
        <f t="shared" si="5"/>
        <v>0</v>
      </c>
      <c r="J71" s="195">
        <f t="shared" si="5"/>
        <v>14766.369999999999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1848969.32</v>
      </c>
      <c r="P71" s="195">
        <f t="shared" si="5"/>
        <v>1219741.5900000001</v>
      </c>
      <c r="Q71" s="195">
        <f t="shared" si="5"/>
        <v>243402.16</v>
      </c>
      <c r="R71" s="195">
        <f t="shared" si="5"/>
        <v>278957.00000000006</v>
      </c>
      <c r="S71" s="195">
        <f t="shared" si="5"/>
        <v>76436.86</v>
      </c>
      <c r="T71" s="195">
        <f t="shared" si="5"/>
        <v>-1334.92</v>
      </c>
      <c r="U71" s="195">
        <f t="shared" si="5"/>
        <v>1411487.89</v>
      </c>
      <c r="V71" s="195">
        <f t="shared" si="5"/>
        <v>511.01</v>
      </c>
      <c r="W71" s="195">
        <f t="shared" si="5"/>
        <v>135249.54</v>
      </c>
      <c r="X71" s="195">
        <f t="shared" si="5"/>
        <v>101591.90999999999</v>
      </c>
      <c r="Y71" s="195">
        <f t="shared" si="5"/>
        <v>1099733.74</v>
      </c>
      <c r="Z71" s="195">
        <f t="shared" si="5"/>
        <v>0</v>
      </c>
      <c r="AA71" s="195">
        <f t="shared" si="5"/>
        <v>0</v>
      </c>
      <c r="AB71" s="195">
        <f t="shared" si="5"/>
        <v>479710.34999999992</v>
      </c>
      <c r="AC71" s="195">
        <f t="shared" si="5"/>
        <v>530040.02</v>
      </c>
      <c r="AD71" s="195">
        <f t="shared" si="5"/>
        <v>0</v>
      </c>
      <c r="AE71" s="195">
        <f t="shared" si="5"/>
        <v>-2565.62</v>
      </c>
      <c r="AF71" s="195">
        <f t="shared" si="5"/>
        <v>0</v>
      </c>
      <c r="AG71" s="195">
        <f t="shared" si="5"/>
        <v>3356774.33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2377059.7299999995</v>
      </c>
      <c r="AK71" s="195">
        <f t="shared" si="6"/>
        <v>0</v>
      </c>
      <c r="AL71" s="195">
        <f t="shared" si="6"/>
        <v>13279.699999999999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4764.26</v>
      </c>
      <c r="AW71" s="195">
        <f t="shared" si="6"/>
        <v>0</v>
      </c>
      <c r="AX71" s="195">
        <f t="shared" si="6"/>
        <v>-3658.48</v>
      </c>
      <c r="AY71" s="195">
        <f t="shared" si="6"/>
        <v>77021.62</v>
      </c>
      <c r="AZ71" s="195">
        <f t="shared" si="6"/>
        <v>357617.17</v>
      </c>
      <c r="BA71" s="195">
        <f t="shared" si="6"/>
        <v>56216.67</v>
      </c>
      <c r="BB71" s="195">
        <f t="shared" si="6"/>
        <v>0</v>
      </c>
      <c r="BC71" s="195">
        <f t="shared" si="6"/>
        <v>0</v>
      </c>
      <c r="BD71" s="195">
        <f t="shared" si="6"/>
        <v>435159.81000000006</v>
      </c>
      <c r="BE71" s="195">
        <f t="shared" si="6"/>
        <v>855822.32</v>
      </c>
      <c r="BF71" s="195">
        <f t="shared" si="6"/>
        <v>423457.04</v>
      </c>
      <c r="BG71" s="195">
        <f t="shared" si="6"/>
        <v>-13126.16</v>
      </c>
      <c r="BH71" s="195">
        <f t="shared" si="6"/>
        <v>7699.67</v>
      </c>
      <c r="BI71" s="195">
        <f t="shared" si="6"/>
        <v>0</v>
      </c>
      <c r="BJ71" s="195">
        <f t="shared" si="6"/>
        <v>0</v>
      </c>
      <c r="BK71" s="195">
        <f t="shared" si="6"/>
        <v>-43246.84</v>
      </c>
      <c r="BL71" s="195">
        <f t="shared" si="6"/>
        <v>585821.24000000011</v>
      </c>
      <c r="BM71" s="195">
        <f t="shared" si="6"/>
        <v>4199.67</v>
      </c>
      <c r="BN71" s="195">
        <f t="shared" si="6"/>
        <v>2294038.67</v>
      </c>
      <c r="BO71" s="195">
        <f t="shared" si="6"/>
        <v>2916.71</v>
      </c>
      <c r="BP71" s="195">
        <f t="shared" ref="BP71:CC71" si="7">SUM(BP61:BP69)-BP70</f>
        <v>2969.2000000000003</v>
      </c>
      <c r="BQ71" s="195">
        <f t="shared" si="7"/>
        <v>0</v>
      </c>
      <c r="BR71" s="195">
        <f t="shared" si="7"/>
        <v>22396.44</v>
      </c>
      <c r="BS71" s="195">
        <f t="shared" si="7"/>
        <v>6483.4</v>
      </c>
      <c r="BT71" s="195">
        <f t="shared" si="7"/>
        <v>7987</v>
      </c>
      <c r="BU71" s="195">
        <f t="shared" si="7"/>
        <v>0</v>
      </c>
      <c r="BV71" s="195">
        <f t="shared" si="7"/>
        <v>297190.99</v>
      </c>
      <c r="BW71" s="195">
        <f t="shared" si="7"/>
        <v>0</v>
      </c>
      <c r="BX71" s="195">
        <f t="shared" si="7"/>
        <v>232739.58</v>
      </c>
      <c r="BY71" s="195">
        <f t="shared" si="7"/>
        <v>455819.91</v>
      </c>
      <c r="BZ71" s="195">
        <f t="shared" si="7"/>
        <v>0</v>
      </c>
      <c r="CA71" s="195">
        <f t="shared" si="7"/>
        <v>39915.619999999995</v>
      </c>
      <c r="CB71" s="195">
        <f t="shared" si="7"/>
        <v>0</v>
      </c>
      <c r="CC71" s="195">
        <f t="shared" si="7"/>
        <v>1606253.9000000001</v>
      </c>
      <c r="CD71" s="245">
        <f>CD69-CD70</f>
        <v>0</v>
      </c>
      <c r="CE71" s="195">
        <f>SUM(CE61:CE69)-CE70</f>
        <v>25592232.540000003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648815.31000000006</v>
      </c>
      <c r="D73" s="184"/>
      <c r="E73" s="185">
        <f>7218202.04+376530.6+2159656.43</f>
        <v>9754389.0700000003</v>
      </c>
      <c r="F73" s="185"/>
      <c r="G73" s="184"/>
      <c r="H73" s="184"/>
      <c r="I73" s="185"/>
      <c r="J73" s="185">
        <f>781846.76</f>
        <v>781846.76</v>
      </c>
      <c r="K73" s="185"/>
      <c r="L73" s="185"/>
      <c r="M73" s="184"/>
      <c r="N73" s="184"/>
      <c r="O73" s="184">
        <f>973930.05+1927850.08</f>
        <v>2901780.13</v>
      </c>
      <c r="P73" s="185">
        <f>2996508.63+763619.45</f>
        <v>3760128.08</v>
      </c>
      <c r="Q73" s="185">
        <f>48293.88</f>
        <v>48293.88</v>
      </c>
      <c r="R73" s="185">
        <f>211526.86</f>
        <v>211526.86</v>
      </c>
      <c r="S73" s="185">
        <f>182020.86</f>
        <v>182020.86</v>
      </c>
      <c r="T73" s="185">
        <f>64818.06</f>
        <v>64818.06</v>
      </c>
      <c r="U73" s="185">
        <f>5102127.62+76496.42</f>
        <v>5178624.04</v>
      </c>
      <c r="V73" s="185">
        <f>403626.24</f>
        <v>403626.23999999999</v>
      </c>
      <c r="W73" s="185">
        <f>49750.61</f>
        <v>49750.61</v>
      </c>
      <c r="X73" s="185">
        <f>2381430.88</f>
        <v>2381430.88</v>
      </c>
      <c r="Y73" s="185">
        <f>688201.44+201145.62</f>
        <v>889347.05999999994</v>
      </c>
      <c r="Z73" s="185"/>
      <c r="AA73" s="185">
        <f>5840.7</f>
        <v>5840.7</v>
      </c>
      <c r="AB73" s="185">
        <f>4445387.34</f>
        <v>4445387.34</v>
      </c>
      <c r="AC73" s="185">
        <f>1752805.75</f>
        <v>1752805.75</v>
      </c>
      <c r="AD73" s="185"/>
      <c r="AE73" s="185">
        <f>108359.58</f>
        <v>108359.58</v>
      </c>
      <c r="AF73" s="185"/>
      <c r="AG73" s="185">
        <f>2897160.96</f>
        <v>2897160.96</v>
      </c>
      <c r="AH73" s="185"/>
      <c r="AI73" s="185"/>
      <c r="AJ73" s="185"/>
      <c r="AK73" s="185">
        <f>41333.3</f>
        <v>41333.300000000003</v>
      </c>
      <c r="AL73" s="185">
        <f>40610.18</f>
        <v>40610.18</v>
      </c>
      <c r="AM73" s="185"/>
      <c r="AN73" s="185"/>
      <c r="AO73" s="185">
        <f>1341451.86</f>
        <v>1341451.8600000001</v>
      </c>
      <c r="AP73" s="185"/>
      <c r="AQ73" s="185"/>
      <c r="AR73" s="185"/>
      <c r="AS73" s="185"/>
      <c r="AT73" s="185"/>
      <c r="AU73" s="185"/>
      <c r="AV73" s="185">
        <f>5741.36+243.09</f>
        <v>5984.45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37895331.959999993</v>
      </c>
      <c r="CF73" s="252"/>
    </row>
    <row r="74" spans="1:84" ht="12.65" customHeight="1" x14ac:dyDescent="0.35">
      <c r="A74" s="171" t="s">
        <v>246</v>
      </c>
      <c r="B74" s="175"/>
      <c r="C74" s="184">
        <v>16487.099999999999</v>
      </c>
      <c r="D74" s="184"/>
      <c r="E74" s="185">
        <f>-5321.4-1739+164753.4</f>
        <v>157693</v>
      </c>
      <c r="F74" s="185"/>
      <c r="G74" s="184"/>
      <c r="H74" s="184"/>
      <c r="I74" s="184"/>
      <c r="J74" s="185">
        <f>23657.24</f>
        <v>23657.24</v>
      </c>
      <c r="K74" s="185"/>
      <c r="L74" s="185"/>
      <c r="M74" s="184"/>
      <c r="N74" s="184"/>
      <c r="O74" s="184">
        <f>249395.87+51849.91</f>
        <v>301245.78000000003</v>
      </c>
      <c r="P74" s="185">
        <f>142196.88+6886745.11+1199510.29</f>
        <v>8228452.2800000003</v>
      </c>
      <c r="Q74" s="185">
        <f>481274.47</f>
        <v>481274.47</v>
      </c>
      <c r="R74" s="185">
        <f>454912.47</f>
        <v>454912.47</v>
      </c>
      <c r="S74" s="185">
        <f>407667.78</f>
        <v>407667.78</v>
      </c>
      <c r="T74" s="185">
        <f>792282.17</f>
        <v>792282.17</v>
      </c>
      <c r="U74" s="185">
        <f>9483611.41+41020.22</f>
        <v>9524631.6300000008</v>
      </c>
      <c r="V74" s="185">
        <f>1035838.56</f>
        <v>1035838.56</v>
      </c>
      <c r="W74" s="185">
        <f>881926.01</f>
        <v>881926.01</v>
      </c>
      <c r="X74" s="185">
        <f>14247009.24</f>
        <v>14247009.24</v>
      </c>
      <c r="Y74" s="185">
        <f>5975307.58+2476108.82</f>
        <v>8451416.4000000004</v>
      </c>
      <c r="Z74" s="185"/>
      <c r="AA74" s="185">
        <f>-5922.71</f>
        <v>-5922.71</v>
      </c>
      <c r="AB74" s="185">
        <f>2930460.13</f>
        <v>2930460.13</v>
      </c>
      <c r="AC74" s="185">
        <f>958393.86</f>
        <v>958393.86</v>
      </c>
      <c r="AD74" s="185"/>
      <c r="AE74" s="185">
        <f>7459.92</f>
        <v>7459.92</v>
      </c>
      <c r="AF74" s="185"/>
      <c r="AG74" s="185">
        <f>25803732.22</f>
        <v>25803732.219999999</v>
      </c>
      <c r="AH74" s="185"/>
      <c r="AI74" s="185"/>
      <c r="AJ74" s="185">
        <f>1347965.99+2054241.6+2477</f>
        <v>3404684.59</v>
      </c>
      <c r="AK74" s="185">
        <f>6714.88</f>
        <v>6714.88</v>
      </c>
      <c r="AL74" s="185"/>
      <c r="AM74" s="185"/>
      <c r="AN74" s="185"/>
      <c r="AO74" s="185">
        <f>181180.16</f>
        <v>181180.16</v>
      </c>
      <c r="AP74" s="185"/>
      <c r="AQ74" s="185"/>
      <c r="AR74" s="185"/>
      <c r="AS74" s="185"/>
      <c r="AT74" s="185"/>
      <c r="AU74" s="185"/>
      <c r="AV74" s="185">
        <f>175582.26</f>
        <v>175582.26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78466779.440000013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665302.41</v>
      </c>
      <c r="D75" s="195">
        <f t="shared" si="9"/>
        <v>0</v>
      </c>
      <c r="E75" s="195">
        <f t="shared" si="9"/>
        <v>9912082.0700000003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805504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3203025.91</v>
      </c>
      <c r="P75" s="195">
        <f t="shared" si="9"/>
        <v>11988580.359999999</v>
      </c>
      <c r="Q75" s="195">
        <f t="shared" si="9"/>
        <v>529568.35</v>
      </c>
      <c r="R75" s="195">
        <f t="shared" si="9"/>
        <v>666439.32999999996</v>
      </c>
      <c r="S75" s="195">
        <f t="shared" si="9"/>
        <v>589688.64</v>
      </c>
      <c r="T75" s="195">
        <f t="shared" si="9"/>
        <v>857100.23</v>
      </c>
      <c r="U75" s="195">
        <f t="shared" si="9"/>
        <v>14703255.670000002</v>
      </c>
      <c r="V75" s="195">
        <f t="shared" si="9"/>
        <v>1439464.8</v>
      </c>
      <c r="W75" s="195">
        <f t="shared" si="9"/>
        <v>931676.62</v>
      </c>
      <c r="X75" s="195">
        <f t="shared" si="9"/>
        <v>16628440.120000001</v>
      </c>
      <c r="Y75" s="195">
        <f t="shared" si="9"/>
        <v>9340763.4600000009</v>
      </c>
      <c r="Z75" s="195">
        <f t="shared" si="9"/>
        <v>0</v>
      </c>
      <c r="AA75" s="195">
        <f t="shared" si="9"/>
        <v>-82.010000000000218</v>
      </c>
      <c r="AB75" s="195">
        <f t="shared" si="9"/>
        <v>7375847.4699999997</v>
      </c>
      <c r="AC75" s="195">
        <f t="shared" si="9"/>
        <v>2711199.61</v>
      </c>
      <c r="AD75" s="195">
        <f t="shared" si="9"/>
        <v>0</v>
      </c>
      <c r="AE75" s="195">
        <f t="shared" si="9"/>
        <v>115819.5</v>
      </c>
      <c r="AF75" s="195">
        <f t="shared" si="9"/>
        <v>0</v>
      </c>
      <c r="AG75" s="195">
        <f t="shared" si="9"/>
        <v>28700893.18</v>
      </c>
      <c r="AH75" s="195">
        <f t="shared" si="9"/>
        <v>0</v>
      </c>
      <c r="AI75" s="195">
        <f t="shared" si="9"/>
        <v>0</v>
      </c>
      <c r="AJ75" s="195">
        <f t="shared" si="9"/>
        <v>3404684.59</v>
      </c>
      <c r="AK75" s="195">
        <f t="shared" si="9"/>
        <v>48048.18</v>
      </c>
      <c r="AL75" s="195">
        <f t="shared" si="9"/>
        <v>40610.18</v>
      </c>
      <c r="AM75" s="195">
        <f t="shared" si="9"/>
        <v>0</v>
      </c>
      <c r="AN75" s="195">
        <f t="shared" si="9"/>
        <v>0</v>
      </c>
      <c r="AO75" s="195">
        <f t="shared" si="9"/>
        <v>1522632.02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181566.71000000002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116362111.40000001</v>
      </c>
      <c r="CF75" s="252"/>
    </row>
    <row r="76" spans="1:84" ht="12.65" customHeight="1" x14ac:dyDescent="0.35">
      <c r="A76" s="171" t="s">
        <v>248</v>
      </c>
      <c r="B76" s="175"/>
      <c r="C76" s="184">
        <v>3000</v>
      </c>
      <c r="D76" s="184"/>
      <c r="E76" s="185">
        <v>9343</v>
      </c>
      <c r="F76" s="185"/>
      <c r="G76" s="184"/>
      <c r="H76" s="184">
        <v>3872</v>
      </c>
      <c r="I76" s="185"/>
      <c r="J76" s="185">
        <v>700</v>
      </c>
      <c r="K76" s="185"/>
      <c r="L76" s="185"/>
      <c r="M76" s="185"/>
      <c r="N76" s="185"/>
      <c r="O76" s="185">
        <v>8865</v>
      </c>
      <c r="P76" s="185">
        <v>2450</v>
      </c>
      <c r="Q76" s="185">
        <v>3905</v>
      </c>
      <c r="R76" s="185">
        <v>160</v>
      </c>
      <c r="S76" s="185"/>
      <c r="T76" s="185"/>
      <c r="U76" s="185">
        <v>2741</v>
      </c>
      <c r="V76" s="185"/>
      <c r="W76" s="185"/>
      <c r="X76" s="185"/>
      <c r="Y76" s="185">
        <v>4078</v>
      </c>
      <c r="Z76" s="185"/>
      <c r="AA76" s="185"/>
      <c r="AB76" s="185">
        <v>1062</v>
      </c>
      <c r="AC76" s="185">
        <v>842</v>
      </c>
      <c r="AD76" s="185"/>
      <c r="AE76" s="185"/>
      <c r="AF76" s="185"/>
      <c r="AG76" s="185">
        <v>4626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1663</v>
      </c>
      <c r="AZ76" s="185"/>
      <c r="BA76" s="185"/>
      <c r="BB76" s="185"/>
      <c r="BC76" s="185"/>
      <c r="BD76" s="185">
        <v>2128</v>
      </c>
      <c r="BE76" s="185">
        <v>3107</v>
      </c>
      <c r="BF76" s="185">
        <v>1348</v>
      </c>
      <c r="BG76" s="185"/>
      <c r="BH76" s="185">
        <v>280</v>
      </c>
      <c r="BI76" s="185"/>
      <c r="BJ76" s="185"/>
      <c r="BK76" s="185">
        <v>2500</v>
      </c>
      <c r="BL76" s="185"/>
      <c r="BM76" s="185"/>
      <c r="BN76" s="185">
        <v>2193</v>
      </c>
      <c r="BO76" s="185"/>
      <c r="BP76" s="185"/>
      <c r="BQ76" s="185"/>
      <c r="BR76" s="185">
        <v>408</v>
      </c>
      <c r="BS76" s="185">
        <v>300</v>
      </c>
      <c r="BT76" s="185">
        <v>380</v>
      </c>
      <c r="BU76" s="185"/>
      <c r="BV76" s="185">
        <v>1360</v>
      </c>
      <c r="BW76" s="185"/>
      <c r="BX76" s="185">
        <v>324</v>
      </c>
      <c r="BY76" s="185"/>
      <c r="BZ76" s="185"/>
      <c r="CA76" s="185"/>
      <c r="CB76" s="185"/>
      <c r="CC76" s="185">
        <v>8658</v>
      </c>
      <c r="CD76" s="249" t="s">
        <v>221</v>
      </c>
      <c r="CE76" s="195">
        <f t="shared" si="8"/>
        <v>70293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609</v>
      </c>
      <c r="D77" s="184"/>
      <c r="E77" s="184">
        <v>9582</v>
      </c>
      <c r="F77" s="184"/>
      <c r="G77" s="184"/>
      <c r="H77" s="184">
        <v>11646</v>
      </c>
      <c r="I77" s="184"/>
      <c r="J77" s="184"/>
      <c r="K77" s="184"/>
      <c r="L77" s="184"/>
      <c r="M77" s="184"/>
      <c r="N77" s="184"/>
      <c r="O77" s="184">
        <v>2189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24026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5" customHeight="1" x14ac:dyDescent="0.35">
      <c r="A79" s="171" t="s">
        <v>251</v>
      </c>
      <c r="B79" s="175"/>
      <c r="C79" s="225">
        <v>36033</v>
      </c>
      <c r="D79" s="225"/>
      <c r="E79" s="184">
        <v>9627</v>
      </c>
      <c r="F79" s="184">
        <v>39286</v>
      </c>
      <c r="G79" s="184"/>
      <c r="H79" s="184">
        <v>6500</v>
      </c>
      <c r="I79" s="184"/>
      <c r="J79" s="184"/>
      <c r="K79" s="184"/>
      <c r="L79" s="184"/>
      <c r="M79" s="184"/>
      <c r="N79" s="184"/>
      <c r="O79" s="184"/>
      <c r="P79" s="184">
        <v>21266</v>
      </c>
      <c r="Q79" s="184"/>
      <c r="R79" s="184"/>
      <c r="S79" s="184"/>
      <c r="T79" s="184"/>
      <c r="U79" s="184"/>
      <c r="V79" s="184"/>
      <c r="W79" s="184"/>
      <c r="X79" s="184"/>
      <c r="Y79" s="184">
        <v>17013</v>
      </c>
      <c r="Z79" s="184"/>
      <c r="AA79" s="184"/>
      <c r="AB79" s="184"/>
      <c r="AC79" s="184"/>
      <c r="AD79" s="184"/>
      <c r="AE79" s="184"/>
      <c r="AF79" s="184"/>
      <c r="AG79" s="184">
        <v>82939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212664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f>6.53</f>
        <v>6.53</v>
      </c>
      <c r="D80" s="187"/>
      <c r="E80" s="187">
        <f>1.04+5.12+7.44+7.23+0.02</f>
        <v>20.85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f>13.32</f>
        <v>13.32</v>
      </c>
      <c r="P80" s="187">
        <f>4.9</f>
        <v>4.9000000000000004</v>
      </c>
      <c r="Q80" s="187">
        <f>1.57</f>
        <v>1.57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13.85</f>
        <v>13.85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61.02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1277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1278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1279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1280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86" t="s">
        <v>1276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1396</v>
      </c>
      <c r="D111" s="174">
        <v>7367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362</v>
      </c>
      <c r="D114" s="174">
        <v>429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51</v>
      </c>
    </row>
    <row r="128" spans="1:5" ht="12.65" customHeight="1" x14ac:dyDescent="0.35">
      <c r="A128" s="173" t="s">
        <v>292</v>
      </c>
      <c r="B128" s="172" t="s">
        <v>256</v>
      </c>
      <c r="C128" s="189">
        <v>78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238</v>
      </c>
      <c r="C138" s="189">
        <v>597</v>
      </c>
      <c r="D138" s="174">
        <v>1202</v>
      </c>
      <c r="E138" s="175">
        <f>SUM(B138:D138)</f>
        <v>2037</v>
      </c>
    </row>
    <row r="139" spans="1:6" ht="12.65" customHeight="1" x14ac:dyDescent="0.35">
      <c r="A139" s="173" t="s">
        <v>215</v>
      </c>
      <c r="B139" s="174">
        <v>1493</v>
      </c>
      <c r="C139" s="189">
        <v>489</v>
      </c>
      <c r="D139" s="174">
        <v>5385</v>
      </c>
      <c r="E139" s="175">
        <f>SUM(B139:D139)</f>
        <v>7367</v>
      </c>
    </row>
    <row r="140" spans="1:6" ht="12.65" customHeight="1" x14ac:dyDescent="0.35">
      <c r="A140" s="173" t="s">
        <v>298</v>
      </c>
      <c r="B140" s="174">
        <v>5276</v>
      </c>
      <c r="C140" s="174">
        <v>1958</v>
      </c>
      <c r="D140" s="174">
        <v>19183</v>
      </c>
      <c r="E140" s="175">
        <f>SUM(B140:D140)</f>
        <v>26417</v>
      </c>
    </row>
    <row r="141" spans="1:6" ht="12.65" customHeight="1" x14ac:dyDescent="0.35">
      <c r="A141" s="173" t="s">
        <v>245</v>
      </c>
      <c r="B141" s="174">
        <v>8160416.1100000003</v>
      </c>
      <c r="C141" s="189">
        <v>21301235.390000001</v>
      </c>
      <c r="D141" s="174">
        <v>8433680.5</v>
      </c>
      <c r="E141" s="175">
        <f>SUM(B141:D141)</f>
        <v>37895332</v>
      </c>
      <c r="F141" s="199"/>
    </row>
    <row r="142" spans="1:6" ht="12.65" customHeight="1" x14ac:dyDescent="0.35">
      <c r="A142" s="173" t="s">
        <v>246</v>
      </c>
      <c r="B142" s="174">
        <v>9062400.5099999998</v>
      </c>
      <c r="C142" s="189">
        <v>38372946.590000004</v>
      </c>
      <c r="D142" s="174">
        <v>31031431.899999999</v>
      </c>
      <c r="E142" s="175">
        <f>SUM(B142:D142)</f>
        <v>78466779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f>759011.66</f>
        <v>759011.66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f>66857.11</f>
        <v>66857.11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f>-32304.91</f>
        <v>-32304.91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518873.82</f>
        <v>518873.82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f>366080.76</f>
        <v>366080.76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1678518.44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f>229416.97</f>
        <v>229416.97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6955.96</f>
        <v>6955.96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236372.93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f>153217.99</f>
        <v>153217.99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f>5730.39</f>
        <v>5730.39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158948.38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223618.21</f>
        <v>223618.21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f>12392.55+910652.98+0.55+33.84+147.01</f>
        <v>923226.93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1146845.1400000001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381749.15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381749.15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550000</v>
      </c>
      <c r="C195" s="189"/>
      <c r="D195" s="174"/>
      <c r="E195" s="175">
        <f t="shared" ref="E195:E203" si="10">SUM(B195:C195)-D195</f>
        <v>550000</v>
      </c>
    </row>
    <row r="196" spans="1:8" ht="12.65" customHeight="1" x14ac:dyDescent="0.35">
      <c r="A196" s="173" t="s">
        <v>333</v>
      </c>
      <c r="B196" s="174">
        <v>11949.93</v>
      </c>
      <c r="C196" s="189">
        <v>15002.95</v>
      </c>
      <c r="D196" s="174"/>
      <c r="E196" s="175">
        <f t="shared" si="10"/>
        <v>26952.880000000001</v>
      </c>
    </row>
    <row r="197" spans="1:8" ht="12.65" customHeight="1" x14ac:dyDescent="0.35">
      <c r="A197" s="173" t="s">
        <v>334</v>
      </c>
      <c r="B197" s="174">
        <f>6535121.22+197236.27</f>
        <v>6732357.4899999993</v>
      </c>
      <c r="C197" s="189">
        <f>11660</f>
        <v>11660</v>
      </c>
      <c r="D197" s="174"/>
      <c r="E197" s="175">
        <f t="shared" si="10"/>
        <v>6744017.4899999993</v>
      </c>
    </row>
    <row r="198" spans="1:8" ht="12.65" customHeight="1" x14ac:dyDescent="0.35">
      <c r="A198" s="173" t="s">
        <v>335</v>
      </c>
      <c r="B198" s="174">
        <f>82396.7</f>
        <v>82396.7</v>
      </c>
      <c r="C198" s="189"/>
      <c r="D198" s="174"/>
      <c r="E198" s="175">
        <f t="shared" si="10"/>
        <v>82396.7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f>1449765.82</f>
        <v>1449765.82</v>
      </c>
      <c r="C200" s="189">
        <f>146131.41</f>
        <v>146131.41</v>
      </c>
      <c r="D200" s="174"/>
      <c r="E200" s="175">
        <f t="shared" si="10"/>
        <v>1595897.23</v>
      </c>
    </row>
    <row r="201" spans="1:8" ht="12.65" customHeight="1" x14ac:dyDescent="0.35">
      <c r="A201" s="173" t="s">
        <v>338</v>
      </c>
      <c r="B201" s="174">
        <f>127089.58</f>
        <v>127089.58</v>
      </c>
      <c r="C201" s="189">
        <f>106850.41</f>
        <v>106850.41</v>
      </c>
      <c r="D201" s="174"/>
      <c r="E201" s="175">
        <f t="shared" si="10"/>
        <v>233939.99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f>747864.29</f>
        <v>747864.29</v>
      </c>
      <c r="C203" s="189">
        <f>455341.44+3994.05</f>
        <v>459335.49</v>
      </c>
      <c r="D203" s="174"/>
      <c r="E203" s="175">
        <f t="shared" si="10"/>
        <v>1207199.78</v>
      </c>
    </row>
    <row r="204" spans="1:8" ht="12.65" customHeight="1" x14ac:dyDescent="0.35">
      <c r="A204" s="173" t="s">
        <v>203</v>
      </c>
      <c r="B204" s="175">
        <f>SUM(B195:B203)</f>
        <v>9701423.8099999987</v>
      </c>
      <c r="C204" s="191">
        <f>SUM(C195:C203)</f>
        <v>738980.26</v>
      </c>
      <c r="D204" s="175">
        <f>SUM(D195:D203)</f>
        <v>0</v>
      </c>
      <c r="E204" s="175">
        <f>SUM(E195:E203)</f>
        <v>10440404.069999998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66.39</v>
      </c>
      <c r="C209" s="189">
        <v>796.66</v>
      </c>
      <c r="D209" s="174"/>
      <c r="E209" s="175">
        <f t="shared" ref="E209:E216" si="11">SUM(B209:C209)-D209</f>
        <v>863.05</v>
      </c>
      <c r="H209" s="259"/>
    </row>
    <row r="210" spans="1:8" ht="12.65" customHeight="1" x14ac:dyDescent="0.35">
      <c r="A210" s="173" t="s">
        <v>334</v>
      </c>
      <c r="B210" s="174">
        <f>634990.16-12971.01</f>
        <v>622019.15</v>
      </c>
      <c r="C210" s="189">
        <f>405020.58+16456.92</f>
        <v>421477.5</v>
      </c>
      <c r="D210" s="174"/>
      <c r="E210" s="175">
        <f t="shared" si="11"/>
        <v>1043496.65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v>632290.80000000005</v>
      </c>
      <c r="C213" s="189">
        <f>359157.35</f>
        <v>359157.35</v>
      </c>
      <c r="D213" s="174"/>
      <c r="E213" s="175">
        <f t="shared" si="11"/>
        <v>991448.15</v>
      </c>
      <c r="H213" s="259"/>
    </row>
    <row r="214" spans="1:8" ht="12.65" customHeight="1" x14ac:dyDescent="0.35">
      <c r="A214" s="173" t="s">
        <v>338</v>
      </c>
      <c r="B214" s="174">
        <f>-110138.26+6861.9</f>
        <v>-103276.36</v>
      </c>
      <c r="C214" s="189">
        <f>38531.96+36367.5</f>
        <v>74899.459999999992</v>
      </c>
      <c r="D214" s="174"/>
      <c r="E214" s="175">
        <f t="shared" si="11"/>
        <v>-28376.900000000009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1151099.98</v>
      </c>
      <c r="C217" s="191">
        <f>SUM(C208:C216)</f>
        <v>856330.97</v>
      </c>
      <c r="D217" s="175">
        <f>SUM(D208:D216)</f>
        <v>0</v>
      </c>
      <c r="E217" s="175">
        <f>SUM(E208:E216)</f>
        <v>2007430.9500000002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7" t="s">
        <v>1255</v>
      </c>
      <c r="C220" s="287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203580</v>
      </c>
      <c r="D221" s="172">
        <f>C221</f>
        <v>203580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14308681.33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55807444.25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f>1469077.4</f>
        <v>1469077.4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440966.23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24346192.780000001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96372361.99000001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69524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254040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323564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96899505.99000001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-333274.87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>
        <v>1610939.79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46895731.57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33395221.149999999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34889.410000000003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488426.16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442579.17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15744070.080000004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f>550000</f>
        <v>550000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f>26952.88</f>
        <v>26952.880000000001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f>6535121.22+208896.27</f>
        <v>6744017.4899999993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f>82396.7</f>
        <v>82396.7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f>1595897.23+233939.99</f>
        <v>1829837.22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f>1203205.73+3994.05</f>
        <v>1207199.78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10440404.069999998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f>2007430.95</f>
        <v>2007430.95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8432973.1199999992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761942.2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761942.2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24938985.400000002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1961253.61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-1329418.17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832209.57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1464045.0100000002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804283.53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10436306.12</f>
        <v>10436306.119999999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f>24665963.81</f>
        <v>24665963.809999999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35906553.459999993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35906553.459999993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-12431613.07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24938985.399999991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24938985.400000002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37895331.960000001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78466779.439999998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116362111.40000001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f>203580.24</f>
        <v>203580.24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96372361.94</f>
        <v>96372361.939999998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323563.57</f>
        <v>323563.57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96899505.749999985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19462605.650000021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529626.88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529626.88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19992232.53000002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f>10317197.05</f>
        <v>10317197.050000001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1678518.44</f>
        <v>1678518.44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>2122158.13</f>
        <v>2122158.13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>1837354.45</f>
        <v>1837354.45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f>424774.79</f>
        <v>424774.79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5938813.68</f>
        <v>5938813.6799999997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f>1477526.45</f>
        <v>1477526.45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f>236372.93</f>
        <v>236372.93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f>158948.38</f>
        <v>158948.38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29832.95</f>
        <v>29832.95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f>-381749.15</f>
        <v>-381749.15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1559517.47</f>
        <v>1559517.47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25399265.569999997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-5407033.0399999768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-5407033.0399999768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-5407033.0399999768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ASTRIA TOPPENISH HOSPITAL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1396</v>
      </c>
      <c r="C414" s="194">
        <f>E138</f>
        <v>2037</v>
      </c>
      <c r="D414" s="179"/>
    </row>
    <row r="415" spans="1:5" ht="12.65" customHeight="1" x14ac:dyDescent="0.35">
      <c r="A415" s="179" t="s">
        <v>464</v>
      </c>
      <c r="B415" s="179">
        <f>D111</f>
        <v>7367</v>
      </c>
      <c r="C415" s="179">
        <f>E139</f>
        <v>7367</v>
      </c>
      <c r="D415" s="194">
        <f>SUM(C59:H59)+N59</f>
        <v>6696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362</v>
      </c>
    </row>
    <row r="424" spans="1:7" ht="12.65" customHeight="1" x14ac:dyDescent="0.35">
      <c r="A424" s="179" t="s">
        <v>1244</v>
      </c>
      <c r="B424" s="179">
        <f>D114</f>
        <v>429</v>
      </c>
      <c r="D424" s="179">
        <f>J59</f>
        <v>429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10317197.050000001</v>
      </c>
      <c r="C427" s="179">
        <f t="shared" ref="C427:C434" si="13">CE61</f>
        <v>10317197.050000001</v>
      </c>
      <c r="D427" s="179"/>
    </row>
    <row r="428" spans="1:7" ht="12.65" customHeight="1" x14ac:dyDescent="0.35">
      <c r="A428" s="179" t="s">
        <v>3</v>
      </c>
      <c r="B428" s="179">
        <f t="shared" si="12"/>
        <v>1678518.44</v>
      </c>
      <c r="C428" s="179">
        <f t="shared" si="13"/>
        <v>1678517</v>
      </c>
      <c r="D428" s="179">
        <f>D173</f>
        <v>1678518.44</v>
      </c>
    </row>
    <row r="429" spans="1:7" ht="12.65" customHeight="1" x14ac:dyDescent="0.35">
      <c r="A429" s="179" t="s">
        <v>236</v>
      </c>
      <c r="B429" s="179">
        <f t="shared" si="12"/>
        <v>2122158.13</v>
      </c>
      <c r="C429" s="179">
        <f t="shared" si="13"/>
        <v>2122158.16</v>
      </c>
      <c r="D429" s="179"/>
    </row>
    <row r="430" spans="1:7" ht="12.65" customHeight="1" x14ac:dyDescent="0.35">
      <c r="A430" s="179" t="s">
        <v>237</v>
      </c>
      <c r="B430" s="179">
        <f t="shared" si="12"/>
        <v>1837354.45</v>
      </c>
      <c r="C430" s="179">
        <f t="shared" si="13"/>
        <v>1837354.3900000004</v>
      </c>
      <c r="D430" s="179"/>
    </row>
    <row r="431" spans="1:7" ht="12.65" customHeight="1" x14ac:dyDescent="0.35">
      <c r="A431" s="179" t="s">
        <v>444</v>
      </c>
      <c r="B431" s="179">
        <f t="shared" si="12"/>
        <v>424774.79</v>
      </c>
      <c r="C431" s="179">
        <f t="shared" si="13"/>
        <v>424774.79</v>
      </c>
      <c r="D431" s="179"/>
    </row>
    <row r="432" spans="1:7" ht="12.65" customHeight="1" x14ac:dyDescent="0.35">
      <c r="A432" s="179" t="s">
        <v>445</v>
      </c>
      <c r="B432" s="179">
        <f t="shared" si="12"/>
        <v>5938813.6799999997</v>
      </c>
      <c r="C432" s="179">
        <f t="shared" si="13"/>
        <v>5938813.6800000025</v>
      </c>
      <c r="D432" s="179"/>
    </row>
    <row r="433" spans="1:7" ht="12.65" customHeight="1" x14ac:dyDescent="0.35">
      <c r="A433" s="179" t="s">
        <v>6</v>
      </c>
      <c r="B433" s="179">
        <f t="shared" si="12"/>
        <v>1477526.45</v>
      </c>
      <c r="C433" s="179">
        <f t="shared" si="13"/>
        <v>1477527</v>
      </c>
      <c r="D433" s="179">
        <f>C217</f>
        <v>856330.97</v>
      </c>
    </row>
    <row r="434" spans="1:7" ht="12.65" customHeight="1" x14ac:dyDescent="0.35">
      <c r="A434" s="179" t="s">
        <v>474</v>
      </c>
      <c r="B434" s="179">
        <f t="shared" si="12"/>
        <v>236372.93</v>
      </c>
      <c r="C434" s="179">
        <f t="shared" si="13"/>
        <v>236372.92999999996</v>
      </c>
      <c r="D434" s="179">
        <f>D177</f>
        <v>236372.93</v>
      </c>
    </row>
    <row r="435" spans="1:7" ht="12.65" customHeight="1" x14ac:dyDescent="0.35">
      <c r="A435" s="179" t="s">
        <v>447</v>
      </c>
      <c r="B435" s="179">
        <f t="shared" si="12"/>
        <v>158948.38</v>
      </c>
      <c r="C435" s="179"/>
      <c r="D435" s="179">
        <f>D181</f>
        <v>158948.38</v>
      </c>
    </row>
    <row r="436" spans="1:7" ht="12.65" customHeight="1" x14ac:dyDescent="0.35">
      <c r="A436" s="179" t="s">
        <v>475</v>
      </c>
      <c r="B436" s="179">
        <f t="shared" si="12"/>
        <v>29832.95</v>
      </c>
      <c r="C436" s="179"/>
      <c r="D436" s="179">
        <f>D186</f>
        <v>1146845.1400000001</v>
      </c>
    </row>
    <row r="437" spans="1:7" ht="12.65" customHeight="1" x14ac:dyDescent="0.35">
      <c r="A437" s="194" t="s">
        <v>449</v>
      </c>
      <c r="B437" s="194">
        <f t="shared" si="12"/>
        <v>-381749.15</v>
      </c>
      <c r="C437" s="194"/>
      <c r="D437" s="194">
        <f>D190</f>
        <v>381749.15</v>
      </c>
    </row>
    <row r="438" spans="1:7" ht="12.65" customHeight="1" x14ac:dyDescent="0.35">
      <c r="A438" s="194" t="s">
        <v>476</v>
      </c>
      <c r="B438" s="194">
        <f>C386+C387+C388</f>
        <v>-192967.82</v>
      </c>
      <c r="C438" s="194">
        <f>CD69</f>
        <v>0</v>
      </c>
      <c r="D438" s="194">
        <f>D181+D186+D190</f>
        <v>1687542.67</v>
      </c>
    </row>
    <row r="439" spans="1:7" ht="12.65" customHeight="1" x14ac:dyDescent="0.35">
      <c r="A439" s="179" t="s">
        <v>451</v>
      </c>
      <c r="B439" s="194">
        <f>C389</f>
        <v>1559517.47</v>
      </c>
      <c r="C439" s="194">
        <f>SUM(C69:CC69)</f>
        <v>1559517.54</v>
      </c>
      <c r="D439" s="179"/>
    </row>
    <row r="440" spans="1:7" ht="12.65" customHeight="1" x14ac:dyDescent="0.35">
      <c r="A440" s="179" t="s">
        <v>477</v>
      </c>
      <c r="B440" s="194">
        <f>B438+B439</f>
        <v>1366549.65</v>
      </c>
      <c r="C440" s="194">
        <f>CE69</f>
        <v>1559517.54</v>
      </c>
      <c r="D440" s="179"/>
    </row>
    <row r="441" spans="1:7" ht="12.65" customHeight="1" x14ac:dyDescent="0.35">
      <c r="A441" s="179" t="s">
        <v>478</v>
      </c>
      <c r="B441" s="179">
        <f>D390</f>
        <v>25399265.569999997</v>
      </c>
      <c r="C441" s="179">
        <f>SUM(C427:C437)+C440</f>
        <v>25592232.540000003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203580</v>
      </c>
      <c r="C444" s="179">
        <f>C363</f>
        <v>203580.24</v>
      </c>
      <c r="D444" s="179"/>
    </row>
    <row r="445" spans="1:7" ht="12.65" customHeight="1" x14ac:dyDescent="0.35">
      <c r="A445" s="179" t="s">
        <v>343</v>
      </c>
      <c r="B445" s="179">
        <f>D229</f>
        <v>96372361.99000001</v>
      </c>
      <c r="C445" s="179">
        <f>C364</f>
        <v>96372361.939999998</v>
      </c>
      <c r="D445" s="179"/>
    </row>
    <row r="446" spans="1:7" ht="12.65" customHeight="1" x14ac:dyDescent="0.35">
      <c r="A446" s="179" t="s">
        <v>351</v>
      </c>
      <c r="B446" s="179">
        <f>D236</f>
        <v>323564</v>
      </c>
      <c r="C446" s="179">
        <f>C365</f>
        <v>323563.57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96899505.99000001</v>
      </c>
      <c r="C448" s="179">
        <f>D367</f>
        <v>96899505.749999985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69524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254040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529626.88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37895331.960000001</v>
      </c>
      <c r="C463" s="194">
        <f>CE73</f>
        <v>37895331.959999993</v>
      </c>
      <c r="D463" s="194">
        <f>E141+E147+E153</f>
        <v>37895332</v>
      </c>
    </row>
    <row r="464" spans="1:7" ht="12.65" customHeight="1" x14ac:dyDescent="0.35">
      <c r="A464" s="179" t="s">
        <v>246</v>
      </c>
      <c r="B464" s="194">
        <f>C360</f>
        <v>78466779.439999998</v>
      </c>
      <c r="C464" s="194">
        <f>CE74</f>
        <v>78466779.440000013</v>
      </c>
      <c r="D464" s="194">
        <f>E142+E148+E154</f>
        <v>78466779</v>
      </c>
    </row>
    <row r="465" spans="1:7" ht="12.65" customHeight="1" x14ac:dyDescent="0.35">
      <c r="A465" s="179" t="s">
        <v>247</v>
      </c>
      <c r="B465" s="194">
        <f>D361</f>
        <v>116362111.40000001</v>
      </c>
      <c r="C465" s="194">
        <f>CE75</f>
        <v>116362111.40000001</v>
      </c>
      <c r="D465" s="194">
        <f>D463+D464</f>
        <v>116362111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550000</v>
      </c>
      <c r="C468" s="179">
        <f>E195</f>
        <v>550000</v>
      </c>
      <c r="D468" s="179"/>
    </row>
    <row r="469" spans="1:7" ht="12.65" customHeight="1" x14ac:dyDescent="0.35">
      <c r="A469" s="179" t="s">
        <v>333</v>
      </c>
      <c r="B469" s="179">
        <f t="shared" si="14"/>
        <v>26952.880000000001</v>
      </c>
      <c r="C469" s="179">
        <f>E196</f>
        <v>26952.880000000001</v>
      </c>
      <c r="D469" s="179"/>
    </row>
    <row r="470" spans="1:7" ht="12.65" customHeight="1" x14ac:dyDescent="0.35">
      <c r="A470" s="179" t="s">
        <v>334</v>
      </c>
      <c r="B470" s="179">
        <f t="shared" si="14"/>
        <v>6744017.4899999993</v>
      </c>
      <c r="C470" s="179">
        <f>E197</f>
        <v>6744017.4899999993</v>
      </c>
      <c r="D470" s="179"/>
    </row>
    <row r="471" spans="1:7" ht="12.65" customHeight="1" x14ac:dyDescent="0.35">
      <c r="A471" s="179" t="s">
        <v>494</v>
      </c>
      <c r="B471" s="179">
        <f t="shared" si="14"/>
        <v>82396.7</v>
      </c>
      <c r="C471" s="179">
        <f>E198</f>
        <v>82396.7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1829837.22</v>
      </c>
      <c r="C473" s="179">
        <f>SUM(E200:E201)</f>
        <v>1829837.22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1207199.78</v>
      </c>
      <c r="C475" s="179">
        <f>E203</f>
        <v>1207199.78</v>
      </c>
      <c r="D475" s="179"/>
    </row>
    <row r="476" spans="1:7" ht="12.65" customHeight="1" x14ac:dyDescent="0.35">
      <c r="A476" s="179" t="s">
        <v>203</v>
      </c>
      <c r="B476" s="179">
        <f>D275</f>
        <v>10440404.069999998</v>
      </c>
      <c r="C476" s="179">
        <f>E204</f>
        <v>10440404.069999998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2007430.95</v>
      </c>
      <c r="C478" s="179">
        <f>E217</f>
        <v>2007430.9500000002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24938985.400000002</v>
      </c>
    </row>
    <row r="482" spans="1:12" ht="12.65" customHeight="1" x14ac:dyDescent="0.35">
      <c r="A482" s="180" t="s">
        <v>499</v>
      </c>
      <c r="C482" s="180">
        <f>D339</f>
        <v>24938985.399999991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199</v>
      </c>
      <c r="B493" s="261" t="str">
        <f>RIGHT('Prior Year'!C82,4)</f>
        <v>2017</v>
      </c>
      <c r="C493" s="261" t="str">
        <f>RIGHT(C82,4)</f>
        <v>2019</v>
      </c>
      <c r="D493" s="261" t="str">
        <f>RIGHT('Prior Year'!C82,4)</f>
        <v>2017</v>
      </c>
      <c r="E493" s="261" t="str">
        <f>RIGHT(C82,4)</f>
        <v>2019</v>
      </c>
      <c r="F493" s="261" t="str">
        <f>RIGHT('Prior Year'!C82,4)</f>
        <v>2017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278652.01</v>
      </c>
      <c r="C496" s="240">
        <f>C71</f>
        <v>831362.23999999987</v>
      </c>
      <c r="D496" s="240">
        <f>'Prior Year'!C59</f>
        <v>76</v>
      </c>
      <c r="E496" s="180">
        <f>C59</f>
        <v>187</v>
      </c>
      <c r="F496" s="263">
        <f t="shared" ref="F496:G511" si="15">IF(B496=0,"",IF(D496=0,"",B496/D496))</f>
        <v>3666.473815789474</v>
      </c>
      <c r="G496" s="264">
        <f t="shared" si="15"/>
        <v>4445.7873796791437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61.84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449045.38999999996</v>
      </c>
      <c r="C498" s="240">
        <f>E71</f>
        <v>2317658.0599999996</v>
      </c>
      <c r="D498" s="240">
        <f>'Prior Year'!E59</f>
        <v>575</v>
      </c>
      <c r="E498" s="180">
        <f>E59</f>
        <v>2938</v>
      </c>
      <c r="F498" s="263">
        <f t="shared" si="15"/>
        <v>780.94850434782597</v>
      </c>
      <c r="G498" s="263">
        <f t="shared" si="15"/>
        <v>788.85570456092569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289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16553</v>
      </c>
      <c r="C501" s="240">
        <f>H71</f>
        <v>1542941.85</v>
      </c>
      <c r="D501" s="240">
        <f>'Prior Year'!H59</f>
        <v>0</v>
      </c>
      <c r="E501" s="180">
        <f>H59</f>
        <v>3571</v>
      </c>
      <c r="F501" s="263" t="str">
        <f t="shared" si="15"/>
        <v/>
      </c>
      <c r="G501" s="263">
        <f t="shared" si="15"/>
        <v>432.0755670680482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4056.46</v>
      </c>
      <c r="C503" s="240">
        <f>J71</f>
        <v>14766.369999999999</v>
      </c>
      <c r="D503" s="240">
        <f>'Prior Year'!J59</f>
        <v>0</v>
      </c>
      <c r="E503" s="180">
        <f>J59</f>
        <v>429</v>
      </c>
      <c r="F503" s="263" t="str">
        <f t="shared" si="15"/>
        <v/>
      </c>
      <c r="G503" s="263">
        <f t="shared" si="15"/>
        <v>34.420442890442885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577472.00000000012</v>
      </c>
      <c r="C508" s="240">
        <f>O71</f>
        <v>1848969.32</v>
      </c>
      <c r="D508" s="240">
        <f>'Prior Year'!O59</f>
        <v>141</v>
      </c>
      <c r="E508" s="180">
        <f>O59</f>
        <v>671</v>
      </c>
      <c r="F508" s="263">
        <f t="shared" si="15"/>
        <v>4095.5460992907811</v>
      </c>
      <c r="G508" s="263">
        <f t="shared" si="15"/>
        <v>2755.5429508196721</v>
      </c>
      <c r="H508" s="265">
        <f t="shared" si="16"/>
        <v>-0.32718546342407306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256859.21</v>
      </c>
      <c r="C509" s="240">
        <f>P71</f>
        <v>1219741.5900000001</v>
      </c>
      <c r="D509" s="240">
        <f>'Prior Year'!P59</f>
        <v>27525</v>
      </c>
      <c r="E509" s="180">
        <f>P59</f>
        <v>0</v>
      </c>
      <c r="F509" s="263">
        <f t="shared" si="15"/>
        <v>9.3318514078110812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61959.98</v>
      </c>
      <c r="C510" s="240">
        <f>Q71</f>
        <v>243402.16</v>
      </c>
      <c r="D510" s="240">
        <f>'Prior Year'!Q59</f>
        <v>20940</v>
      </c>
      <c r="E510" s="180">
        <f>Q59</f>
        <v>0</v>
      </c>
      <c r="F510" s="263">
        <f t="shared" si="15"/>
        <v>2.9589293218720156</v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136457.65000000002</v>
      </c>
      <c r="C511" s="240">
        <f>R71</f>
        <v>278957.00000000006</v>
      </c>
      <c r="D511" s="240">
        <f>'Prior Year'!R59</f>
        <v>46770</v>
      </c>
      <c r="E511" s="180">
        <f>R59</f>
        <v>0</v>
      </c>
      <c r="F511" s="263">
        <f t="shared" si="15"/>
        <v>2.9176320290784696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86711.950000000012</v>
      </c>
      <c r="C512" s="240">
        <f>S71</f>
        <v>76436.86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Year'!T71</f>
        <v>435.54999999999995</v>
      </c>
      <c r="C513" s="240">
        <f>T71</f>
        <v>-1334.92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477399.36</v>
      </c>
      <c r="C514" s="240">
        <f>U71</f>
        <v>1411487.89</v>
      </c>
      <c r="D514" s="240">
        <f>'Prior Year'!U59</f>
        <v>26433</v>
      </c>
      <c r="E514" s="180">
        <f>U59</f>
        <v>0</v>
      </c>
      <c r="F514" s="263">
        <f t="shared" si="17"/>
        <v>18.06073317444104</v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0</v>
      </c>
      <c r="C515" s="240">
        <f>V71</f>
        <v>511.01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11781</v>
      </c>
      <c r="C516" s="240">
        <f>W71</f>
        <v>135249.54</v>
      </c>
      <c r="D516" s="240">
        <f>'Prior Year'!W59</f>
        <v>74</v>
      </c>
      <c r="E516" s="180">
        <f>W59</f>
        <v>0</v>
      </c>
      <c r="F516" s="263">
        <f t="shared" si="17"/>
        <v>159.20270270270271</v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23222.95</v>
      </c>
      <c r="C517" s="240">
        <f>X71</f>
        <v>101591.90999999999</v>
      </c>
      <c r="D517" s="240">
        <f>'Prior Year'!X59</f>
        <v>1197</v>
      </c>
      <c r="E517" s="180">
        <f>X59</f>
        <v>3597</v>
      </c>
      <c r="F517" s="263">
        <f t="shared" si="17"/>
        <v>19.400960735171264</v>
      </c>
      <c r="G517" s="263">
        <f t="shared" si="17"/>
        <v>28.243511259382817</v>
      </c>
      <c r="H517" s="265">
        <f t="shared" si="16"/>
        <v>0.45577900212855083</v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398803.32000000007</v>
      </c>
      <c r="C518" s="240">
        <f>Y71</f>
        <v>1099733.74</v>
      </c>
      <c r="D518" s="240">
        <f>'Prior Year'!Y59</f>
        <v>3860</v>
      </c>
      <c r="E518" s="180">
        <f>Y59</f>
        <v>0</v>
      </c>
      <c r="F518" s="263">
        <f t="shared" si="17"/>
        <v>103.31692227979276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214047.03999999998</v>
      </c>
      <c r="C521" s="240">
        <f>AB71</f>
        <v>479710.34999999992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168177.29</v>
      </c>
      <c r="C522" s="240">
        <f>AC71</f>
        <v>530040.02</v>
      </c>
      <c r="D522" s="240">
        <f>'Prior Year'!AC59</f>
        <v>3370</v>
      </c>
      <c r="E522" s="180">
        <f>AC59</f>
        <v>0</v>
      </c>
      <c r="F522" s="263">
        <f t="shared" si="17"/>
        <v>49.904240356083086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3973.75</v>
      </c>
      <c r="C524" s="240">
        <f>AE71</f>
        <v>-2565.62</v>
      </c>
      <c r="D524" s="240">
        <f>'Prior Year'!AE59</f>
        <v>42</v>
      </c>
      <c r="E524" s="180">
        <f>AE59</f>
        <v>0</v>
      </c>
      <c r="F524" s="263">
        <f t="shared" si="17"/>
        <v>94.613095238095241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816249.5</v>
      </c>
      <c r="C526" s="240">
        <f>AG71</f>
        <v>3356774.33</v>
      </c>
      <c r="D526" s="240">
        <f>'Prior Year'!AG59</f>
        <v>6762</v>
      </c>
      <c r="E526" s="180">
        <f>AG59</f>
        <v>18929</v>
      </c>
      <c r="F526" s="263">
        <f t="shared" si="17"/>
        <v>120.71125406684413</v>
      </c>
      <c r="G526" s="263">
        <f t="shared" si="17"/>
        <v>177.33500607533415</v>
      </c>
      <c r="H526" s="265">
        <f t="shared" si="16"/>
        <v>0.46908428254033785</v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0</v>
      </c>
      <c r="C529" s="240">
        <f>AJ71</f>
        <v>2377059.7299999995</v>
      </c>
      <c r="D529" s="240">
        <f>'Prior Year'!AJ59</f>
        <v>0</v>
      </c>
      <c r="E529" s="180">
        <f>AJ59</f>
        <v>12378</v>
      </c>
      <c r="F529" s="263" t="str">
        <f t="shared" si="18"/>
        <v/>
      </c>
      <c r="G529" s="263">
        <f t="shared" si="18"/>
        <v>192.03907981903373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532.87</v>
      </c>
      <c r="C531" s="240">
        <f>AL71</f>
        <v>13279.699999999999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365990.33</v>
      </c>
      <c r="C541" s="240">
        <f>AV71</f>
        <v>4764.26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13171.51</v>
      </c>
      <c r="C543" s="240">
        <f>AX71</f>
        <v>-3658.48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96407.97</v>
      </c>
      <c r="C544" s="240">
        <f>AY71</f>
        <v>77021.62</v>
      </c>
      <c r="D544" s="240">
        <f>'Prior Year'!AY59</f>
        <v>0</v>
      </c>
      <c r="E544" s="180">
        <f>AY59</f>
        <v>24026</v>
      </c>
      <c r="F544" s="263" t="str">
        <f t="shared" ref="F544:G550" si="19">IF(B544=0,"",IF(D544=0,"",B544/D544))</f>
        <v/>
      </c>
      <c r="G544" s="263">
        <f t="shared" si="19"/>
        <v>3.205761258636477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357617.17</v>
      </c>
      <c r="D545" s="240">
        <f>'Prior Year'!AZ59</f>
        <v>0</v>
      </c>
      <c r="E545" s="180">
        <f>AZ59</f>
        <v>24026</v>
      </c>
      <c r="F545" s="263" t="str">
        <f t="shared" si="19"/>
        <v/>
      </c>
      <c r="G545" s="263">
        <f t="shared" si="19"/>
        <v>14.884590443686006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34363.5</v>
      </c>
      <c r="C546" s="240">
        <f>BA71</f>
        <v>56216.67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53440.31</v>
      </c>
      <c r="C549" s="240">
        <f>BD71</f>
        <v>435159.81000000006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257427.6</v>
      </c>
      <c r="C550" s="240">
        <f>BE71</f>
        <v>855822.32</v>
      </c>
      <c r="D550" s="240">
        <f>'Prior Year'!BE59</f>
        <v>67629</v>
      </c>
      <c r="E550" s="180">
        <f>BE59</f>
        <v>70293</v>
      </c>
      <c r="F550" s="263">
        <f t="shared" si="19"/>
        <v>3.8064676396220558</v>
      </c>
      <c r="G550" s="263">
        <f t="shared" si="19"/>
        <v>12.175071771015606</v>
      </c>
      <c r="H550" s="265">
        <f t="shared" si="16"/>
        <v>2.1985223371620384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102722.87</v>
      </c>
      <c r="C551" s="240">
        <f>BF71</f>
        <v>423457.04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17330.079999999998</v>
      </c>
      <c r="C552" s="240">
        <f>BG71</f>
        <v>-13126.16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77707.8</v>
      </c>
      <c r="C553" s="240">
        <f>BH71</f>
        <v>7699.67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3212.87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121542.01</v>
      </c>
      <c r="C556" s="240">
        <f>BK71</f>
        <v>-43246.84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126457.74</v>
      </c>
      <c r="C557" s="240">
        <f>BL71</f>
        <v>585821.24000000011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4199.67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704863.80000000016</v>
      </c>
      <c r="C559" s="240">
        <f>BN71</f>
        <v>2294038.67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2916.71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40.4</v>
      </c>
      <c r="C561" s="240">
        <f>BP71</f>
        <v>2969.2000000000003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22424.5</v>
      </c>
      <c r="C563" s="240">
        <f>BR71</f>
        <v>22396.44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Year'!BS71</f>
        <v>1283</v>
      </c>
      <c r="C564" s="240">
        <f>BS71</f>
        <v>6483.4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1625</v>
      </c>
      <c r="C565" s="240">
        <f>BT71</f>
        <v>7987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126743.66999999998</v>
      </c>
      <c r="C567" s="240">
        <f>BV71</f>
        <v>297190.99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4470.79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104979.48000000001</v>
      </c>
      <c r="C569" s="240">
        <f>BX71</f>
        <v>232739.58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99895.400000000009</v>
      </c>
      <c r="C570" s="240">
        <f>BY71</f>
        <v>455819.91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0</v>
      </c>
      <c r="C572" s="240">
        <f>CA71</f>
        <v>39915.619999999995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40100</v>
      </c>
      <c r="C574" s="240">
        <f>CC71</f>
        <v>1606253.9000000001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860719.34000000008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67186</v>
      </c>
      <c r="E612" s="180">
        <f>SUM(C624:D647)+SUM(C668:D713)</f>
        <v>21567534.23305361</v>
      </c>
      <c r="F612" s="180">
        <f>CE64-(AX64+BD64+BE64+BG64+BJ64+BN64+BP64+BQ64+CB64+CC64+CD64)</f>
        <v>1538603.8600000003</v>
      </c>
      <c r="G612" s="180">
        <f>CE77-(AX77+AY77+BD77+BE77+BG77+BJ77+BN77+BP77+BQ77+CB77+CC77+CD77)</f>
        <v>24026</v>
      </c>
      <c r="H612" s="197">
        <f>CE60-(AX60+AY60+AZ60+BD60+BE60+BG60+BJ60+BN60+BO60+BP60+BQ60+BR60+CB60+CC60+CD60)</f>
        <v>165.51199999999989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212664</v>
      </c>
      <c r="K612" s="180">
        <f>CE75-(AW75+AX75+AY75+AZ75+BA75+BB75+BC75+BD75+BE75+BF75+BG75+BH75+BI75+BJ75+BK75+BL75+BM75+BN75+BO75+BP75+BQ75+BR75+BS75+BT75+BU75+BV75+BW75+BX75+CB75+CC75+CD75)</f>
        <v>116362111.40000001</v>
      </c>
      <c r="L612" s="197">
        <f>CE80-(AW80+AX80+AY80+AZ80+BA80+BB80+BC80+BD80+BE80+BF80+BG80+BH80+BI80+BJ80+BK80+BL80+BM80+BN80+BO80+BP80+BQ80+BR80+BS80+BT80+BU80+BV80+BW80+BX80+BY80+BZ80+CA80+CB80+CC80+CD80)</f>
        <v>61.02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855822.32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0</v>
      </c>
      <c r="D615" s="266">
        <f>SUM(C614:C615)</f>
        <v>855822.32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-3658.48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-13126.16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2294038.67</v>
      </c>
      <c r="D619" s="180">
        <f>(D615/D612)*BN76</f>
        <v>27934.664182418954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1606253.9000000001</v>
      </c>
      <c r="D620" s="180">
        <f>(D615/D612)*CC76</f>
        <v>110286.51276396867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2969.2000000000003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4024698.3069463875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435159.81000000006</v>
      </c>
      <c r="D624" s="180">
        <f>(D615/D612)*BD76</f>
        <v>27106.687359866635</v>
      </c>
      <c r="E624" s="180">
        <f>(E623/E612)*SUM(C624:D624)</f>
        <v>86263.138343880957</v>
      </c>
      <c r="F624" s="180">
        <f>SUM(C624:E624)</f>
        <v>548529.63570374763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77021.62</v>
      </c>
      <c r="D625" s="180">
        <f>(D615/D612)*AY76</f>
        <v>21183.46855237698</v>
      </c>
      <c r="E625" s="180">
        <f>(E623/E612)*SUM(C625:D625)</f>
        <v>18325.96389366256</v>
      </c>
      <c r="F625" s="180">
        <f>(F624/F612)*AY64</f>
        <v>-251.09089640926115</v>
      </c>
      <c r="G625" s="180">
        <f>SUM(C625:F625)</f>
        <v>116279.96154963027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22396.44</v>
      </c>
      <c r="D626" s="180">
        <f>(D615/D612)*BR76</f>
        <v>5197.1468246360846</v>
      </c>
      <c r="E626" s="180">
        <f>(E623/E612)*SUM(C626:D626)</f>
        <v>5149.214600781338</v>
      </c>
      <c r="F626" s="180">
        <f>(F624/F612)*BR64</f>
        <v>203.68559114795286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2916.71</v>
      </c>
      <c r="D627" s="180">
        <f>(D615/D612)*BO76</f>
        <v>0</v>
      </c>
      <c r="E627" s="180">
        <f>(E623/E612)*SUM(C627:D627)</f>
        <v>544.28464895458592</v>
      </c>
      <c r="F627" s="180">
        <f>(F624/F612)*BO64</f>
        <v>678.82956828611395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357617.17</v>
      </c>
      <c r="D628" s="180">
        <f>(D615/D612)*AZ76</f>
        <v>0</v>
      </c>
      <c r="E628" s="180">
        <f>(E623/E612)*SUM(C628:D628)</f>
        <v>66734.620800004952</v>
      </c>
      <c r="F628" s="180">
        <f>(F624/F612)*AZ64</f>
        <v>78416.72439644493</v>
      </c>
      <c r="G628" s="180">
        <f>(G625/G612)*AZ77</f>
        <v>0</v>
      </c>
      <c r="H628" s="180">
        <f>SUM(C626:G628)</f>
        <v>539854.82643025601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423457.04</v>
      </c>
      <c r="D629" s="180">
        <f>(D615/D612)*BF76</f>
        <v>17170.965489238828</v>
      </c>
      <c r="E629" s="180">
        <f>(E623/E612)*SUM(C629:D629)</f>
        <v>82225.198695540414</v>
      </c>
      <c r="F629" s="180">
        <f>(F624/F612)*BF64</f>
        <v>8932.1406302804935</v>
      </c>
      <c r="G629" s="180">
        <f>(G625/G612)*BF77</f>
        <v>0</v>
      </c>
      <c r="H629" s="180">
        <f>(H628/H612)*BF60</f>
        <v>19739.966948353664</v>
      </c>
      <c r="I629" s="180">
        <f>SUM(C629:H629)</f>
        <v>551525.31176341348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56216.67</v>
      </c>
      <c r="D630" s="180">
        <f>(D615/D612)*BA76</f>
        <v>0</v>
      </c>
      <c r="E630" s="180">
        <f>(E623/E612)*SUM(C630:D630)</f>
        <v>10490.542596399984</v>
      </c>
      <c r="F630" s="180">
        <f>(F624/F612)*BA64</f>
        <v>-784.32482195140506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-43246.84</v>
      </c>
      <c r="D635" s="180">
        <f>(D615/D612)*BK76</f>
        <v>31845.262405858361</v>
      </c>
      <c r="E635" s="180">
        <f>(E623/E612)*SUM(C635:D635)</f>
        <v>-2127.6382150970962</v>
      </c>
      <c r="F635" s="180">
        <f>(F624/F612)*BK64</f>
        <v>10.691773368328471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7699.67</v>
      </c>
      <c r="D636" s="180">
        <f>(D615/D612)*BH76</f>
        <v>3566.6693894561363</v>
      </c>
      <c r="E636" s="180">
        <f>(E623/E612)*SUM(C636:D636)</f>
        <v>2102.401534466353</v>
      </c>
      <c r="F636" s="180">
        <f>(F624/F612)*BH64</f>
        <v>140.18380147250545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585821.24000000011</v>
      </c>
      <c r="D637" s="180">
        <f>(D615/D612)*BL76</f>
        <v>0</v>
      </c>
      <c r="E637" s="180">
        <f>(E623/E612)*SUM(C637:D637)</f>
        <v>109319.57855376101</v>
      </c>
      <c r="F637" s="180">
        <f>(F624/F612)*BL64</f>
        <v>2995.6323993970609</v>
      </c>
      <c r="G637" s="180">
        <f>(G625/G612)*BL77</f>
        <v>0</v>
      </c>
      <c r="H637" s="180">
        <f>(H628/H612)*BL60</f>
        <v>40347.553065289954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4199.67</v>
      </c>
      <c r="D638" s="180">
        <f>(D615/D612)*BM76</f>
        <v>0</v>
      </c>
      <c r="E638" s="180">
        <f>(E623/E612)*SUM(C638:D638)</f>
        <v>783.69666908095269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6483.4</v>
      </c>
      <c r="D639" s="180">
        <f>(D615/D612)*BS76</f>
        <v>3821.4314887030032</v>
      </c>
      <c r="E639" s="180">
        <f>(E623/E612)*SUM(C639:D639)</f>
        <v>1922.9754035762473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7987</v>
      </c>
      <c r="D640" s="180">
        <f>(D615/D612)*BT76</f>
        <v>4840.4798856904708</v>
      </c>
      <c r="E640" s="180">
        <f>(E623/E612)*SUM(C640:D640)</f>
        <v>2393.7245686252832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297190.99</v>
      </c>
      <c r="D642" s="180">
        <f>(D615/D612)*BV76</f>
        <v>17323.822748786948</v>
      </c>
      <c r="E642" s="180">
        <f>(E623/E612)*SUM(C642:D642)</f>
        <v>58691.328396717814</v>
      </c>
      <c r="F642" s="180">
        <f>(F624/F612)*BV64</f>
        <v>117.04265411211195</v>
      </c>
      <c r="G642" s="180">
        <f>(G625/G612)*BV77</f>
        <v>0</v>
      </c>
      <c r="H642" s="180">
        <f>(H628/H612)*BV60</f>
        <v>9980.8821648979192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232739.58</v>
      </c>
      <c r="D644" s="180">
        <f>(D615/D612)*BX76</f>
        <v>4127.1460077992433</v>
      </c>
      <c r="E644" s="180">
        <f>(E623/E612)*SUM(C644:D644)</f>
        <v>44201.488257035184</v>
      </c>
      <c r="F644" s="180">
        <f>(F624/F612)*BX64</f>
        <v>100.29018893779535</v>
      </c>
      <c r="G644" s="180">
        <f>(G625/G612)*BX77</f>
        <v>0</v>
      </c>
      <c r="H644" s="180">
        <f>(H628/H612)*BX60</f>
        <v>6132.0452516366304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455819.91</v>
      </c>
      <c r="D645" s="180">
        <f>(D615/D612)*BY76</f>
        <v>0</v>
      </c>
      <c r="E645" s="180">
        <f>(E623/E612)*SUM(C645:D645)</f>
        <v>85060.146432405323</v>
      </c>
      <c r="F645" s="180">
        <f>(F624/F612)*BY64</f>
        <v>43.843757547083541</v>
      </c>
      <c r="G645" s="180">
        <f>(G625/G612)*BY77</f>
        <v>0</v>
      </c>
      <c r="H645" s="180">
        <f>(H628/H612)*BY60</f>
        <v>15167.026819207624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39915.619999999995</v>
      </c>
      <c r="D647" s="180">
        <f>(D615/D612)*CA76</f>
        <v>0</v>
      </c>
      <c r="E647" s="180">
        <f>(E623/E612)*SUM(C647:D647)</f>
        <v>7448.6182100738997</v>
      </c>
      <c r="F647" s="180">
        <f>(F624/F612)*CA64</f>
        <v>144.95748754792788</v>
      </c>
      <c r="G647" s="180">
        <f>(G625/G612)*CA77</f>
        <v>0</v>
      </c>
      <c r="H647" s="180">
        <f>(H628/H612)*CA60</f>
        <v>32.617261976790587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7711695.1500000013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831362.23999999987</v>
      </c>
      <c r="D668" s="180">
        <f>(D615/D612)*C76</f>
        <v>38214.314887030036</v>
      </c>
      <c r="E668" s="180">
        <f>(E623/E612)*SUM(C668:D668)</f>
        <v>162270.90451770154</v>
      </c>
      <c r="F668" s="180">
        <f>(F624/F612)*C64</f>
        <v>26736.371130382624</v>
      </c>
      <c r="G668" s="180">
        <f>(G625/G612)*C77</f>
        <v>2947.4109957431465</v>
      </c>
      <c r="H668" s="180">
        <f>(H628/H612)*C60</f>
        <v>22244.97266817118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2317658.0599999996</v>
      </c>
      <c r="D670" s="180">
        <f>(D615/D612)*E76</f>
        <v>119012.11466317387</v>
      </c>
      <c r="E670" s="180">
        <f>(E623/E612)*SUM(C670:D670)</f>
        <v>454704.84574560198</v>
      </c>
      <c r="F670" s="180">
        <f>(F624/F612)*E64</f>
        <v>6879.5768316849753</v>
      </c>
      <c r="G670" s="180">
        <f>(G625/G612)*E77</f>
        <v>46374.535568490683</v>
      </c>
      <c r="H670" s="180">
        <f>(H628/H612)*E60</f>
        <v>97721.316882464598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1542941.85</v>
      </c>
      <c r="D673" s="180">
        <f>(D615/D612)*H76</f>
        <v>49321.942414193429</v>
      </c>
      <c r="E673" s="180">
        <f>(E623/E612)*SUM(C673:D673)</f>
        <v>297130.92467103584</v>
      </c>
      <c r="F673" s="180">
        <f>(F624/F612)*H64</f>
        <v>2799.6224961657508</v>
      </c>
      <c r="G673" s="180">
        <f>(G625/G612)*H77</f>
        <v>56363.79056884184</v>
      </c>
      <c r="H673" s="180">
        <f>(H628/H612)*H60</f>
        <v>42891.699499479626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14766.369999999999</v>
      </c>
      <c r="D675" s="180">
        <f>(D615/D612)*J76</f>
        <v>8916.6734736403414</v>
      </c>
      <c r="E675" s="180">
        <f>(E623/E612)*SUM(C675:D675)</f>
        <v>4419.4715975282179</v>
      </c>
      <c r="F675" s="180">
        <f>(F624/F612)*J64</f>
        <v>-14.360274467364817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1848969.32</v>
      </c>
      <c r="D680" s="180">
        <f>(D615/D612)*O76</f>
        <v>112923.30049117375</v>
      </c>
      <c r="E680" s="180">
        <f>(E623/E612)*SUM(C680:D680)</f>
        <v>366107.03026033822</v>
      </c>
      <c r="F680" s="180">
        <f>(F624/F612)*O64</f>
        <v>37910.318878344202</v>
      </c>
      <c r="G680" s="180">
        <f>(G625/G612)*O77</f>
        <v>10594.224416554593</v>
      </c>
      <c r="H680" s="180">
        <f>(H628/H612)*O60</f>
        <v>50752.459635886153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1219741.5900000001</v>
      </c>
      <c r="D681" s="180">
        <f>(D615/D612)*P76</f>
        <v>31208.357157741193</v>
      </c>
      <c r="E681" s="180">
        <f>(E623/E612)*SUM(C681:D681)</f>
        <v>233438.65274521944</v>
      </c>
      <c r="F681" s="180">
        <f>(F624/F612)*P64</f>
        <v>116441.80425669195</v>
      </c>
      <c r="G681" s="180">
        <f>(G625/G612)*P77</f>
        <v>0</v>
      </c>
      <c r="H681" s="180">
        <f>(H628/H612)*P60</f>
        <v>31540.892331556497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243402.16</v>
      </c>
      <c r="D682" s="180">
        <f>(D615/D612)*Q76</f>
        <v>49742.299877950762</v>
      </c>
      <c r="E682" s="180">
        <f>(E623/E612)*SUM(C682:D682)</f>
        <v>54703.425927724085</v>
      </c>
      <c r="F682" s="180">
        <f>(F624/F612)*Q64</f>
        <v>7680.6469885850429</v>
      </c>
      <c r="G682" s="180">
        <f>(G625/G612)*Q77</f>
        <v>0</v>
      </c>
      <c r="H682" s="180">
        <f>(H628/H612)*Q60</f>
        <v>4892.5892965185885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278957.00000000006</v>
      </c>
      <c r="D683" s="180">
        <f>(D615/D612)*R76</f>
        <v>2038.0967939749351</v>
      </c>
      <c r="E683" s="180">
        <f>(E623/E612)*SUM(C683:D683)</f>
        <v>52436.244130019288</v>
      </c>
      <c r="F683" s="180">
        <f>(F624/F612)*R64</f>
        <v>4521.3973011032649</v>
      </c>
      <c r="G683" s="180">
        <f>(G625/G612)*R77</f>
        <v>0</v>
      </c>
      <c r="H683" s="180">
        <f>(H628/H612)*R60</f>
        <v>0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76436.86</v>
      </c>
      <c r="D684" s="180">
        <f>(D615/D612)*S76</f>
        <v>0</v>
      </c>
      <c r="E684" s="180">
        <f>(E623/E612)*SUM(C684:D684)</f>
        <v>14263.814198974471</v>
      </c>
      <c r="F684" s="180">
        <f>(F624/F612)*S64</f>
        <v>-2267.9786109444722</v>
      </c>
      <c r="G684" s="180">
        <f>(G625/G612)*S77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-1334.92</v>
      </c>
      <c r="D685" s="180">
        <f>(D615/D612)*T76</f>
        <v>0</v>
      </c>
      <c r="E685" s="180">
        <f>(E623/E612)*SUM(C685:D685)</f>
        <v>-249.1082293345776</v>
      </c>
      <c r="F685" s="180">
        <f>(F624/F612)*T64</f>
        <v>-475.91404150880442</v>
      </c>
      <c r="G685" s="180">
        <f>(G625/G612)*T77</f>
        <v>0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1411487.89</v>
      </c>
      <c r="D686" s="180">
        <f>(D615/D612)*U76</f>
        <v>34915.145701783105</v>
      </c>
      <c r="E686" s="180">
        <f>(E623/E612)*SUM(C686:D686)</f>
        <v>269911.97909075371</v>
      </c>
      <c r="F686" s="180">
        <f>(F624/F612)*U64</f>
        <v>143404.46022843319</v>
      </c>
      <c r="G686" s="180">
        <f>(G625/G612)*U77</f>
        <v>0</v>
      </c>
      <c r="H686" s="180">
        <f>(H628/H612)*U60</f>
        <v>32747.731024697747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511.01</v>
      </c>
      <c r="D687" s="180">
        <f>(D615/D612)*V76</f>
        <v>0</v>
      </c>
      <c r="E687" s="180">
        <f>(E623/E612)*SUM(C687:D687)</f>
        <v>95.359119851573496</v>
      </c>
      <c r="F687" s="180">
        <f>(F624/F612)*V64</f>
        <v>0</v>
      </c>
      <c r="G687" s="180">
        <f>(G625/G612)*V77</f>
        <v>0</v>
      </c>
      <c r="H687" s="180">
        <f>(H628/H612)*V60</f>
        <v>65.234523953581174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135249.54</v>
      </c>
      <c r="D688" s="180">
        <f>(D615/D612)*W76</f>
        <v>0</v>
      </c>
      <c r="E688" s="180">
        <f>(E623/E612)*SUM(C688:D688)</f>
        <v>25238.795903661736</v>
      </c>
      <c r="F688" s="180">
        <f>(F624/F612)*W64</f>
        <v>82.560882848866541</v>
      </c>
      <c r="G688" s="180">
        <f>(G625/G612)*W77</f>
        <v>0</v>
      </c>
      <c r="H688" s="180">
        <f>(H628/H612)*W60</f>
        <v>521.87619162864939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101591.90999999999</v>
      </c>
      <c r="D689" s="180">
        <f>(D615/D612)*X76</f>
        <v>0</v>
      </c>
      <c r="E689" s="180">
        <f>(E623/E612)*SUM(C689:D689)</f>
        <v>18957.975620125373</v>
      </c>
      <c r="F689" s="180">
        <f>(F624/F612)*X64</f>
        <v>8663.0958256741997</v>
      </c>
      <c r="G689" s="180">
        <f>(G625/G612)*X77</f>
        <v>0</v>
      </c>
      <c r="H689" s="180">
        <f>(H628/H612)*X60</f>
        <v>2250.5910763985503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1099733.74</v>
      </c>
      <c r="D690" s="180">
        <f>(D615/D612)*Y76</f>
        <v>51945.992036436161</v>
      </c>
      <c r="E690" s="180">
        <f>(E623/E612)*SUM(C690:D690)</f>
        <v>214913.92653351318</v>
      </c>
      <c r="F690" s="180">
        <f>(F624/F612)*Y64</f>
        <v>3315.1271156189664</v>
      </c>
      <c r="G690" s="180">
        <f>(G625/G612)*Y77</f>
        <v>0</v>
      </c>
      <c r="H690" s="180">
        <f>(H628/H612)*Y60</f>
        <v>36466.098890051879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479710.34999999992</v>
      </c>
      <c r="D693" s="180">
        <f>(D615/D612)*AB76</f>
        <v>13527.867470008632</v>
      </c>
      <c r="E693" s="180">
        <f>(E623/E612)*SUM(C693:D693)</f>
        <v>92042.743380949527</v>
      </c>
      <c r="F693" s="180">
        <f>(F624/F612)*AB64</f>
        <v>2876.43641713741</v>
      </c>
      <c r="G693" s="180">
        <f>(G625/G612)*AB77</f>
        <v>0</v>
      </c>
      <c r="H693" s="180">
        <f>(H628/H612)*AB60</f>
        <v>11416.041691876706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530040.02</v>
      </c>
      <c r="D694" s="180">
        <f>(D615/D612)*AC76</f>
        <v>10725.484378293097</v>
      </c>
      <c r="E694" s="180">
        <f>(E623/E612)*SUM(C694:D694)</f>
        <v>100911.76795680365</v>
      </c>
      <c r="F694" s="180">
        <f>(F624/F612)*AC64</f>
        <v>15200.938767322121</v>
      </c>
      <c r="G694" s="180">
        <f>(G625/G612)*AC77</f>
        <v>0</v>
      </c>
      <c r="H694" s="180">
        <f>(H628/H612)*AC60</f>
        <v>18265.666707002729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-2565.62</v>
      </c>
      <c r="D696" s="180">
        <f>(D615/D612)*AE76</f>
        <v>0</v>
      </c>
      <c r="E696" s="180">
        <f>(E623/E612)*SUM(C696:D696)</f>
        <v>-478.7680575205847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3356774.33</v>
      </c>
      <c r="D698" s="180">
        <f>(D615/D612)*AG76</f>
        <v>58926.473555800309</v>
      </c>
      <c r="E698" s="180">
        <f>(E623/E612)*SUM(C698:D698)</f>
        <v>637400.87728888565</v>
      </c>
      <c r="F698" s="180">
        <f>(F624/F612)*AG64</f>
        <v>59128.822281785608</v>
      </c>
      <c r="G698" s="180">
        <f>(G625/G612)*AG77</f>
        <v>0</v>
      </c>
      <c r="H698" s="180">
        <f>(H628/H612)*AG60</f>
        <v>74139.036473245011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2377059.7299999995</v>
      </c>
      <c r="D701" s="180">
        <f>(D615/D612)*AJ76</f>
        <v>0</v>
      </c>
      <c r="E701" s="180">
        <f>(E623/E612)*SUM(C701:D701)</f>
        <v>443580.99388939334</v>
      </c>
      <c r="F701" s="180">
        <f>(F624/F612)*AJ64</f>
        <v>24898.102698708364</v>
      </c>
      <c r="G701" s="180">
        <f>(G625/G612)*AJ77</f>
        <v>0</v>
      </c>
      <c r="H701" s="180">
        <f>(H628/H612)*AJ60</f>
        <v>22505.910763985506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13279.699999999999</v>
      </c>
      <c r="D703" s="180">
        <f>(D615/D612)*AL76</f>
        <v>0</v>
      </c>
      <c r="E703" s="180">
        <f>(E623/E612)*SUM(C703:D703)</f>
        <v>2478.1129603979189</v>
      </c>
      <c r="F703" s="180">
        <f>(F624/F612)*AL64</f>
        <v>0</v>
      </c>
      <c r="G703" s="180">
        <f>(G625/G612)*AL77</f>
        <v>0</v>
      </c>
      <c r="H703" s="180">
        <f>(H628/H612)*AL60</f>
        <v>32.617261976790587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15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15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15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15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15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15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15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15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15" ht="12.65" customHeight="1" x14ac:dyDescent="0.35">
      <c r="A713" s="196">
        <v>7490</v>
      </c>
      <c r="B713" s="198" t="s">
        <v>740</v>
      </c>
      <c r="C713" s="180">
        <f>AV71</f>
        <v>4764.26</v>
      </c>
      <c r="D713" s="180">
        <f>(D615/D612)*AV76</f>
        <v>0</v>
      </c>
      <c r="E713" s="180">
        <f>(E623/E612)*SUM(C713:D713)</f>
        <v>889.05430489434173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15" ht="12.65" customHeight="1" x14ac:dyDescent="0.35">
      <c r="C715" s="180">
        <f>SUM(C614:C647)+SUM(C668:C713)</f>
        <v>25592232.540000003</v>
      </c>
      <c r="D715" s="180">
        <f>SUM(D616:D647)+SUM(D668:D713)</f>
        <v>855822.31999999983</v>
      </c>
      <c r="E715" s="180">
        <f>SUM(E624:E647)+SUM(E668:E713)</f>
        <v>4024698.306946387</v>
      </c>
      <c r="F715" s="180">
        <f>SUM(F625:F648)+SUM(F668:F713)</f>
        <v>548529.63570374739</v>
      </c>
      <c r="G715" s="180">
        <f>SUM(G626:G647)+SUM(G668:G713)</f>
        <v>116279.96154963027</v>
      </c>
      <c r="H715" s="180">
        <f>SUM(H629:H647)+SUM(H668:H713)</f>
        <v>539854.82643025648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15" ht="12.65" customHeight="1" x14ac:dyDescent="0.35">
      <c r="C716" s="180">
        <f>CE71</f>
        <v>25592232.540000003</v>
      </c>
      <c r="D716" s="180">
        <f>D615</f>
        <v>855822.32</v>
      </c>
      <c r="E716" s="180">
        <f>E623</f>
        <v>4024698.3069463875</v>
      </c>
      <c r="F716" s="180">
        <f>F624</f>
        <v>548529.63570374763</v>
      </c>
      <c r="G716" s="180">
        <f>G625</f>
        <v>116279.96154963027</v>
      </c>
      <c r="H716" s="180">
        <f>H628</f>
        <v>539854.82643025601</v>
      </c>
      <c r="I716" s="180">
        <f>I629</f>
        <v>551525.31176341348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7711695.1500000013</v>
      </c>
      <c r="N716" s="198" t="s">
        <v>743</v>
      </c>
    </row>
    <row r="717" spans="1:15" ht="12.65" customHeight="1" x14ac:dyDescent="0.35">
      <c r="O717" s="198"/>
    </row>
    <row r="718" spans="1:15" ht="12.65" customHeight="1" x14ac:dyDescent="0.35">
      <c r="O718" s="198"/>
    </row>
    <row r="719" spans="1:15" ht="12.65" customHeight="1" x14ac:dyDescent="0.3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710" transitionEvaluation="1" transitionEntry="1" codeName="Sheet10">
    <pageSetUpPr autoPageBreaks="0" fitToPage="1"/>
  </sheetPr>
  <dimension ref="A1:CF817"/>
  <sheetViews>
    <sheetView showGridLines="0" topLeftCell="A40" zoomScale="75" workbookViewId="0">
      <pane xSplit="1" ySplit="7" topLeftCell="B710" activePane="bottomRight" state="frozen"/>
      <selection activeCell="A40" sqref="A40"/>
      <selection pane="topRight" activeCell="B40" sqref="B40"/>
      <selection pane="bottomLeft" activeCell="A47" sqref="A47"/>
      <selection pane="bottomRight" activeCell="C226" sqref="C22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81" width="11.75" style="180"/>
    <col min="82" max="82" width="18.3125" style="180" customWidth="1"/>
    <col min="83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684071</v>
      </c>
      <c r="C48" s="245">
        <f>ROUND(((B48/CE61)*C61),0)</f>
        <v>45294</v>
      </c>
      <c r="D48" s="245">
        <f>ROUND(((B48/CE61)*D61),0)</f>
        <v>0</v>
      </c>
      <c r="E48" s="195">
        <f>ROUND(((B48/CE61)*E61),0)</f>
        <v>73794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98509</v>
      </c>
      <c r="P48" s="195">
        <f>ROUND(((B48/CE61)*P61),0)</f>
        <v>31375</v>
      </c>
      <c r="Q48" s="195">
        <f>ROUND(((B48/CE61)*Q61),0)</f>
        <v>7241</v>
      </c>
      <c r="R48" s="195">
        <f>ROUND(((B48/CE61)*R61),0)</f>
        <v>0</v>
      </c>
      <c r="S48" s="195">
        <f>ROUND(((B48/CE61)*S61),0)</f>
        <v>-131</v>
      </c>
      <c r="T48" s="195">
        <f>ROUND(((B48/CE61)*T61),0)</f>
        <v>0</v>
      </c>
      <c r="U48" s="195">
        <f>ROUND(((B48/CE61)*U61),0)</f>
        <v>51956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3425</v>
      </c>
      <c r="Y48" s="195">
        <f>ROUND(((B48/CE61)*Y61),0)</f>
        <v>56271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21666</v>
      </c>
      <c r="AC48" s="195">
        <f>ROUND(((B48/CE61)*AC61),0)</f>
        <v>28829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138623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55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10867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7287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8155</v>
      </c>
      <c r="BE48" s="195">
        <f>ROUND(((B48/CE61)*BE61),0)</f>
        <v>8038</v>
      </c>
      <c r="BF48" s="195">
        <f>ROUND(((B48/CE61)*BF61),0)</f>
        <v>15458</v>
      </c>
      <c r="BG48" s="195">
        <f>ROUND(((B48/CE61)*BG61),0)</f>
        <v>0</v>
      </c>
      <c r="BH48" s="195">
        <f>ROUND(((B48/CE61)*BH61),0)</f>
        <v>517</v>
      </c>
      <c r="BI48" s="195">
        <f>ROUND(((B48/CE61)*BI61),0)</f>
        <v>0</v>
      </c>
      <c r="BJ48" s="195">
        <f>ROUND(((B48/CE61)*BJ61),0)</f>
        <v>591</v>
      </c>
      <c r="BK48" s="195">
        <f>ROUND(((B48/CE61)*BK61),0)</f>
        <v>950</v>
      </c>
      <c r="BL48" s="195">
        <f>ROUND(((B48/CE61)*BL61),0)</f>
        <v>22690</v>
      </c>
      <c r="BM48" s="195">
        <f>ROUND(((B48/CE61)*BM61),0)</f>
        <v>0</v>
      </c>
      <c r="BN48" s="195">
        <f>ROUND(((B48/CE61)*BN61),0)</f>
        <v>9591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865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10514</v>
      </c>
      <c r="BW48" s="195">
        <f>ROUND(((B48/CE61)*BW61),0)</f>
        <v>710</v>
      </c>
      <c r="BX48" s="195">
        <f>ROUND(((B48/CE61)*BX61),0)</f>
        <v>18338</v>
      </c>
      <c r="BY48" s="195">
        <f>ROUND(((B48/CE61)*BY61),0)</f>
        <v>12595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684073</v>
      </c>
    </row>
    <row r="49" spans="1:84" ht="12.65" customHeight="1" x14ac:dyDescent="0.35">
      <c r="A49" s="175" t="s">
        <v>206</v>
      </c>
      <c r="B49" s="195">
        <f>B47+B48</f>
        <v>684071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289117</v>
      </c>
      <c r="C52" s="195">
        <f>ROUND((B52/(CE76+CF76)*C76),0)</f>
        <v>12825</v>
      </c>
      <c r="D52" s="195">
        <f>ROUND((B52/(CE76+CF76)*D76),0)</f>
        <v>0</v>
      </c>
      <c r="E52" s="195">
        <f>ROUND((B52/(CE76+CF76)*E76),0)</f>
        <v>39942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16553</v>
      </c>
      <c r="I52" s="195">
        <f>ROUND((B52/(CE76+CF76)*I76),0)</f>
        <v>0</v>
      </c>
      <c r="J52" s="195">
        <f>ROUND((B52/(CE76+CF76)*J76),0)</f>
        <v>2993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37898</v>
      </c>
      <c r="P52" s="195">
        <f>ROUND((B52/(CE76+CF76)*P76),0)</f>
        <v>10474</v>
      </c>
      <c r="Q52" s="195">
        <f>ROUND((B52/(CE76+CF76)*Q76),0)</f>
        <v>11992</v>
      </c>
      <c r="R52" s="195">
        <f>ROUND((B52/(CE76+CF76)*R76),0)</f>
        <v>684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11718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17434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4540</v>
      </c>
      <c r="AC52" s="195">
        <f>ROUND((B52/(CE76+CF76)*AC76),0)</f>
        <v>3600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19776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7109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9097</v>
      </c>
      <c r="BE52" s="195">
        <f>ROUND((B52/(CE76+CF76)*BE76),0)</f>
        <v>13283</v>
      </c>
      <c r="BF52" s="195">
        <f>ROUND((B52/(CE76+CF76)*BF76),0)</f>
        <v>5763</v>
      </c>
      <c r="BG52" s="195">
        <f>ROUND((B52/(CE76+CF76)*BG76),0)</f>
        <v>0</v>
      </c>
      <c r="BH52" s="195">
        <f>ROUND((B52/(CE76+CF76)*BH76),0)</f>
        <v>2394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6045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3048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1744</v>
      </c>
      <c r="BS52" s="195">
        <f>ROUND((B52/(CE76+CF76)*BS76),0)</f>
        <v>1283</v>
      </c>
      <c r="BT52" s="195">
        <f>ROUND((B52/(CE76+CF76)*BT76),0)</f>
        <v>1625</v>
      </c>
      <c r="BU52" s="195">
        <f>ROUND((B52/(CE76+CF76)*BU76),0)</f>
        <v>0</v>
      </c>
      <c r="BV52" s="195">
        <f>ROUND((B52/(CE76+CF76)*BV76),0)</f>
        <v>5814</v>
      </c>
      <c r="BW52" s="195">
        <f>ROUND((B52/(CE76+CF76)*BW76),0)</f>
        <v>0</v>
      </c>
      <c r="BX52" s="195">
        <f>ROUND((B52/(CE76+CF76)*BX76),0)</f>
        <v>1385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40100</v>
      </c>
      <c r="CD52" s="195"/>
      <c r="CE52" s="195">
        <f>SUM(C52:CD52)</f>
        <v>289119</v>
      </c>
    </row>
    <row r="53" spans="1:84" ht="12.65" customHeight="1" x14ac:dyDescent="0.35">
      <c r="A53" s="175" t="s">
        <v>206</v>
      </c>
      <c r="B53" s="195">
        <f>B51+B52</f>
        <v>289117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76</v>
      </c>
      <c r="D59" s="184"/>
      <c r="E59" s="184">
        <v>575</v>
      </c>
      <c r="F59" s="184">
        <v>289</v>
      </c>
      <c r="G59" s="184"/>
      <c r="H59" s="184"/>
      <c r="I59" s="184"/>
      <c r="J59" s="184"/>
      <c r="K59" s="184"/>
      <c r="L59" s="184"/>
      <c r="M59" s="184"/>
      <c r="N59" s="184"/>
      <c r="O59" s="184">
        <v>141</v>
      </c>
      <c r="P59" s="185">
        <v>27525</v>
      </c>
      <c r="Q59" s="185">
        <v>20940</v>
      </c>
      <c r="R59" s="185">
        <v>46770</v>
      </c>
      <c r="S59" s="248"/>
      <c r="T59" s="248"/>
      <c r="U59" s="224">
        <f>25046+141+1163+83</f>
        <v>26433</v>
      </c>
      <c r="V59" s="185"/>
      <c r="W59" s="185">
        <v>74</v>
      </c>
      <c r="X59" s="185">
        <v>1197</v>
      </c>
      <c r="Y59" s="185">
        <f>2916+944</f>
        <v>3860</v>
      </c>
      <c r="Z59" s="185"/>
      <c r="AA59" s="185"/>
      <c r="AB59" s="248"/>
      <c r="AC59" s="185">
        <v>3370</v>
      </c>
      <c r="AD59" s="185"/>
      <c r="AE59" s="185">
        <v>42</v>
      </c>
      <c r="AF59" s="185"/>
      <c r="AG59" s="185">
        <v>6762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67629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6.4</v>
      </c>
      <c r="D60" s="187"/>
      <c r="E60" s="187">
        <v>13.5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14.6</v>
      </c>
      <c r="P60" s="221">
        <v>5.75</v>
      </c>
      <c r="Q60" s="221">
        <v>1.02</v>
      </c>
      <c r="R60" s="221"/>
      <c r="S60" s="221"/>
      <c r="T60" s="221"/>
      <c r="U60" s="221">
        <v>10.48</v>
      </c>
      <c r="V60" s="221"/>
      <c r="W60" s="221"/>
      <c r="X60" s="221">
        <v>0.66</v>
      </c>
      <c r="Y60" s="221">
        <f>7.45+2.74</f>
        <v>10.190000000000001</v>
      </c>
      <c r="Z60" s="221"/>
      <c r="AA60" s="221"/>
      <c r="AB60" s="221">
        <v>3.51</v>
      </c>
      <c r="AC60" s="221">
        <v>5.24</v>
      </c>
      <c r="AD60" s="221"/>
      <c r="AE60" s="221"/>
      <c r="AF60" s="221"/>
      <c r="AG60" s="221">
        <v>19.46</v>
      </c>
      <c r="AH60" s="221"/>
      <c r="AI60" s="221"/>
      <c r="AJ60" s="221"/>
      <c r="AK60" s="221"/>
      <c r="AL60" s="221">
        <v>0.02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2.58</v>
      </c>
      <c r="AW60" s="221"/>
      <c r="AX60" s="221"/>
      <c r="AY60" s="221">
        <v>3.19</v>
      </c>
      <c r="AZ60" s="221"/>
      <c r="BA60" s="221"/>
      <c r="BB60" s="221"/>
      <c r="BC60" s="221"/>
      <c r="BD60" s="221">
        <v>2.1800000000000002</v>
      </c>
      <c r="BE60" s="221">
        <f>2.09</f>
        <v>2.09</v>
      </c>
      <c r="BF60" s="221">
        <v>6.48</v>
      </c>
      <c r="BG60" s="221"/>
      <c r="BH60" s="221">
        <v>0.22</v>
      </c>
      <c r="BI60" s="221"/>
      <c r="BJ60" s="221">
        <v>0.59</v>
      </c>
      <c r="BK60" s="221">
        <v>0.17</v>
      </c>
      <c r="BL60" s="221">
        <v>8.6199999999999992</v>
      </c>
      <c r="BM60" s="221"/>
      <c r="BN60" s="221"/>
      <c r="BO60" s="221"/>
      <c r="BP60" s="221"/>
      <c r="BQ60" s="221"/>
      <c r="BR60" s="221">
        <v>0.33</v>
      </c>
      <c r="BS60" s="221"/>
      <c r="BT60" s="221"/>
      <c r="BU60" s="221"/>
      <c r="BV60" s="221">
        <v>2.85</v>
      </c>
      <c r="BW60" s="221">
        <v>0.22</v>
      </c>
      <c r="BX60" s="221">
        <v>1.08</v>
      </c>
      <c r="BY60" s="221">
        <f>1.56</f>
        <v>1.56</v>
      </c>
      <c r="BZ60" s="221"/>
      <c r="CA60" s="221"/>
      <c r="CB60" s="221"/>
      <c r="CC60" s="221">
        <v>0.01</v>
      </c>
      <c r="CD60" s="249" t="s">
        <v>221</v>
      </c>
      <c r="CE60" s="251">
        <f t="shared" ref="CE60:CE70" si="0">SUM(C60:CD60)</f>
        <v>123.00000000000001</v>
      </c>
    </row>
    <row r="61" spans="1:84" ht="12.65" customHeight="1" x14ac:dyDescent="0.35">
      <c r="A61" s="171" t="s">
        <v>235</v>
      </c>
      <c r="B61" s="175"/>
      <c r="C61" s="184">
        <f>4297.58+194945.64+1754</f>
        <v>200997.22</v>
      </c>
      <c r="D61" s="184"/>
      <c r="E61" s="184">
        <f>324960.51+193.04+2317.5</f>
        <v>327471.05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f>17315.4+419831.96</f>
        <v>437147.36000000004</v>
      </c>
      <c r="P61" s="185">
        <v>139232.44</v>
      </c>
      <c r="Q61" s="185">
        <f>1087.44+31044.72</f>
        <v>32132.16</v>
      </c>
      <c r="R61" s="185"/>
      <c r="S61" s="185">
        <v>-579.67999999999995</v>
      </c>
      <c r="T61" s="185"/>
      <c r="U61" s="185">
        <v>230561.72</v>
      </c>
      <c r="V61" s="185"/>
      <c r="W61" s="185"/>
      <c r="X61" s="185">
        <f>13694.47+1505.93</f>
        <v>15200.4</v>
      </c>
      <c r="Y61" s="185">
        <v>249709.27</v>
      </c>
      <c r="Z61" s="185"/>
      <c r="AA61" s="185"/>
      <c r="AB61" s="185">
        <v>96147.93</v>
      </c>
      <c r="AC61" s="185">
        <v>127933.71</v>
      </c>
      <c r="AD61" s="185"/>
      <c r="AE61" s="185"/>
      <c r="AF61" s="185"/>
      <c r="AG61" s="185">
        <f>182005.78+433153.88</f>
        <v>615159.66</v>
      </c>
      <c r="AH61" s="185"/>
      <c r="AI61" s="185"/>
      <c r="AJ61" s="185"/>
      <c r="AK61" s="185"/>
      <c r="AL61" s="185">
        <v>244.02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2158.8+5010.5+41053.33</f>
        <v>48222.630000000005</v>
      </c>
      <c r="AW61" s="185"/>
      <c r="AX61" s="185"/>
      <c r="AY61" s="185">
        <v>32337.05</v>
      </c>
      <c r="AZ61" s="185"/>
      <c r="BA61" s="185"/>
      <c r="BB61" s="185"/>
      <c r="BC61" s="185"/>
      <c r="BD61" s="185">
        <f>33190.82+2997.49</f>
        <v>36188.31</v>
      </c>
      <c r="BE61" s="185">
        <f>33702.83+1967.95</f>
        <v>35670.78</v>
      </c>
      <c r="BF61" s="185">
        <f>61852.7+6743.11</f>
        <v>68595.81</v>
      </c>
      <c r="BG61" s="185"/>
      <c r="BH61" s="185">
        <v>2294.8000000000002</v>
      </c>
      <c r="BI61" s="185"/>
      <c r="BJ61" s="185">
        <v>2623.64</v>
      </c>
      <c r="BK61" s="185">
        <v>4214.01</v>
      </c>
      <c r="BL61" s="185">
        <v>100690.16</v>
      </c>
      <c r="BM61" s="185"/>
      <c r="BN61" s="185">
        <f>38630.89+3931.73</f>
        <v>42562.62</v>
      </c>
      <c r="BO61" s="185"/>
      <c r="BP61" s="185"/>
      <c r="BQ61" s="185"/>
      <c r="BR61" s="185">
        <f>526.31+3312.23</f>
        <v>3838.54</v>
      </c>
      <c r="BS61" s="185"/>
      <c r="BT61" s="185"/>
      <c r="BU61" s="185"/>
      <c r="BV61" s="185">
        <f>40988.94+5666.56</f>
        <v>46655.5</v>
      </c>
      <c r="BW61" s="185">
        <f>2776.13+372.61</f>
        <v>3148.7400000000002</v>
      </c>
      <c r="BX61" s="185">
        <v>81376.800000000003</v>
      </c>
      <c r="BY61" s="185">
        <f>53775.39+2116.74</f>
        <v>55892.13</v>
      </c>
      <c r="BZ61" s="185"/>
      <c r="CA61" s="185"/>
      <c r="CB61" s="185"/>
      <c r="CC61" s="185"/>
      <c r="CD61" s="249" t="s">
        <v>221</v>
      </c>
      <c r="CE61" s="195">
        <f t="shared" si="0"/>
        <v>3035668.7799999993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45294</v>
      </c>
      <c r="D62" s="195">
        <f t="shared" si="1"/>
        <v>0</v>
      </c>
      <c r="E62" s="195">
        <f t="shared" si="1"/>
        <v>73794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98509</v>
      </c>
      <c r="P62" s="195">
        <f t="shared" si="1"/>
        <v>31375</v>
      </c>
      <c r="Q62" s="195">
        <f t="shared" si="1"/>
        <v>7241</v>
      </c>
      <c r="R62" s="195">
        <f t="shared" si="1"/>
        <v>0</v>
      </c>
      <c r="S62" s="195">
        <f t="shared" si="1"/>
        <v>-131</v>
      </c>
      <c r="T62" s="195">
        <f t="shared" si="1"/>
        <v>0</v>
      </c>
      <c r="U62" s="195">
        <f t="shared" si="1"/>
        <v>51956</v>
      </c>
      <c r="V62" s="195">
        <f t="shared" si="1"/>
        <v>0</v>
      </c>
      <c r="W62" s="195">
        <f t="shared" si="1"/>
        <v>0</v>
      </c>
      <c r="X62" s="195">
        <f t="shared" si="1"/>
        <v>3425</v>
      </c>
      <c r="Y62" s="195">
        <f t="shared" si="1"/>
        <v>56271</v>
      </c>
      <c r="Z62" s="195">
        <f t="shared" si="1"/>
        <v>0</v>
      </c>
      <c r="AA62" s="195">
        <f t="shared" si="1"/>
        <v>0</v>
      </c>
      <c r="AB62" s="195">
        <f t="shared" si="1"/>
        <v>21666</v>
      </c>
      <c r="AC62" s="195">
        <f t="shared" si="1"/>
        <v>28829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138623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55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10867</v>
      </c>
      <c r="AW62" s="195">
        <f t="shared" si="1"/>
        <v>0</v>
      </c>
      <c r="AX62" s="195">
        <f t="shared" si="1"/>
        <v>0</v>
      </c>
      <c r="AY62" s="195">
        <f>ROUND(AY47+AY48,0)</f>
        <v>7287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8155</v>
      </c>
      <c r="BE62" s="195">
        <f t="shared" si="1"/>
        <v>8038</v>
      </c>
      <c r="BF62" s="195">
        <f t="shared" si="1"/>
        <v>15458</v>
      </c>
      <c r="BG62" s="195">
        <f t="shared" si="1"/>
        <v>0</v>
      </c>
      <c r="BH62" s="195">
        <f t="shared" si="1"/>
        <v>517</v>
      </c>
      <c r="BI62" s="195">
        <f t="shared" si="1"/>
        <v>0</v>
      </c>
      <c r="BJ62" s="195">
        <f t="shared" si="1"/>
        <v>591</v>
      </c>
      <c r="BK62" s="195">
        <f t="shared" si="1"/>
        <v>950</v>
      </c>
      <c r="BL62" s="195">
        <f t="shared" si="1"/>
        <v>22690</v>
      </c>
      <c r="BM62" s="195">
        <f t="shared" si="1"/>
        <v>0</v>
      </c>
      <c r="BN62" s="195">
        <f t="shared" si="1"/>
        <v>9591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865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10514</v>
      </c>
      <c r="BW62" s="195">
        <f t="shared" si="2"/>
        <v>710</v>
      </c>
      <c r="BX62" s="195">
        <f t="shared" si="2"/>
        <v>18338</v>
      </c>
      <c r="BY62" s="195">
        <f t="shared" si="2"/>
        <v>12595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684073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33000</v>
      </c>
      <c r="Q63" s="185"/>
      <c r="R63" s="185">
        <v>133692.64000000001</v>
      </c>
      <c r="S63" s="185"/>
      <c r="T63" s="185"/>
      <c r="U63" s="185">
        <v>1095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276841.53000000003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444629.17000000004</v>
      </c>
      <c r="CF63" s="252"/>
    </row>
    <row r="64" spans="1:84" ht="12.65" customHeight="1" x14ac:dyDescent="0.35">
      <c r="A64" s="171" t="s">
        <v>237</v>
      </c>
      <c r="B64" s="175"/>
      <c r="C64" s="184">
        <v>15572.79</v>
      </c>
      <c r="D64" s="184">
        <v>61.84</v>
      </c>
      <c r="E64" s="185">
        <f>822.17+751.8</f>
        <v>1573.9699999999998</v>
      </c>
      <c r="F64" s="185"/>
      <c r="G64" s="184"/>
      <c r="H64" s="184"/>
      <c r="I64" s="185"/>
      <c r="J64" s="185">
        <v>905.93</v>
      </c>
      <c r="K64" s="185"/>
      <c r="L64" s="185"/>
      <c r="M64" s="184"/>
      <c r="N64" s="184"/>
      <c r="O64" s="184">
        <v>111.64</v>
      </c>
      <c r="P64" s="185">
        <f>16010.5+903.5+4639.51</f>
        <v>21553.510000000002</v>
      </c>
      <c r="Q64" s="185">
        <v>3655.03</v>
      </c>
      <c r="R64" s="185">
        <f>37.04+2043.97</f>
        <v>2081.0100000000002</v>
      </c>
      <c r="S64" s="185">
        <v>74868.639999999999</v>
      </c>
      <c r="T64" s="185">
        <f>-179.13+614.68</f>
        <v>435.54999999999995</v>
      </c>
      <c r="U64" s="185">
        <v>82175.12</v>
      </c>
      <c r="V64" s="185"/>
      <c r="W64" s="185"/>
      <c r="X64" s="185">
        <v>3219.3</v>
      </c>
      <c r="Y64" s="185">
        <f>102+7658.86+340.67</f>
        <v>8101.53</v>
      </c>
      <c r="Z64" s="185"/>
      <c r="AA64" s="185"/>
      <c r="AB64" s="185">
        <f>78151.81+871.56</f>
        <v>79023.37</v>
      </c>
      <c r="AC64" s="185">
        <f>1897.48+5917.1</f>
        <v>7814.58</v>
      </c>
      <c r="AD64" s="185"/>
      <c r="AE64" s="185"/>
      <c r="AF64" s="185"/>
      <c r="AG64" s="185">
        <f>27837.09+5919.87</f>
        <v>33756.959999999999</v>
      </c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22543.92+36+6.75</f>
        <v>22586.67</v>
      </c>
      <c r="AW64" s="185"/>
      <c r="AX64" s="185">
        <v>2515.5100000000002</v>
      </c>
      <c r="AY64" s="185">
        <f>40464.77+5790.5</f>
        <v>46255.27</v>
      </c>
      <c r="AZ64" s="185"/>
      <c r="BA64" s="185">
        <f>2047.46+832.93</f>
        <v>2880.39</v>
      </c>
      <c r="BB64" s="185"/>
      <c r="BC64" s="185"/>
      <c r="BD64" s="185"/>
      <c r="BE64" s="185">
        <v>2563.38</v>
      </c>
      <c r="BF64" s="185">
        <v>10445.08</v>
      </c>
      <c r="BG64" s="185"/>
      <c r="BH64" s="185"/>
      <c r="BI64" s="185"/>
      <c r="BJ64" s="185"/>
      <c r="BK64" s="185"/>
      <c r="BL64" s="185">
        <v>3077.58</v>
      </c>
      <c r="BM64" s="185"/>
      <c r="BN64" s="185">
        <v>2724.92</v>
      </c>
      <c r="BO64" s="185"/>
      <c r="BP64" s="185">
        <v>40.4</v>
      </c>
      <c r="BQ64" s="185"/>
      <c r="BR64" s="185">
        <v>2040</v>
      </c>
      <c r="BS64" s="185"/>
      <c r="BT64" s="185"/>
      <c r="BU64" s="185"/>
      <c r="BV64" s="185">
        <v>124.31</v>
      </c>
      <c r="BW64" s="185">
        <v>108.19</v>
      </c>
      <c r="BX64" s="185">
        <v>153.30000000000001</v>
      </c>
      <c r="BY64" s="185"/>
      <c r="BZ64" s="185"/>
      <c r="CA64" s="185"/>
      <c r="CB64" s="185"/>
      <c r="CC64" s="185"/>
      <c r="CD64" s="249" t="s">
        <v>221</v>
      </c>
      <c r="CE64" s="195">
        <f t="shared" si="0"/>
        <v>430425.77000000008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127774.99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127774.99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>
        <f>2627.51</f>
        <v>2627.51</v>
      </c>
      <c r="F66" s="184"/>
      <c r="G66" s="184"/>
      <c r="H66" s="184"/>
      <c r="I66" s="184"/>
      <c r="J66" s="184">
        <v>41.74</v>
      </c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f>52143.94+7742.39</f>
        <v>59886.33</v>
      </c>
      <c r="V66" s="185"/>
      <c r="W66" s="185">
        <v>11781</v>
      </c>
      <c r="X66" s="185"/>
      <c r="Y66" s="185">
        <f>12221.35+4549.5</f>
        <v>16770.849999999999</v>
      </c>
      <c r="Z66" s="185"/>
      <c r="AA66" s="185"/>
      <c r="AB66" s="185"/>
      <c r="AC66" s="185"/>
      <c r="AD66" s="185"/>
      <c r="AE66" s="185">
        <v>3973.75</v>
      </c>
      <c r="AF66" s="185"/>
      <c r="AG66" s="185">
        <v>465.64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661+6390+210.75+210.75</f>
        <v>7472.5</v>
      </c>
      <c r="AW66" s="185"/>
      <c r="AX66" s="185"/>
      <c r="AY66" s="185">
        <v>3419.65</v>
      </c>
      <c r="AZ66" s="185"/>
      <c r="BA66" s="185">
        <v>31483.11</v>
      </c>
      <c r="BB66" s="185"/>
      <c r="BC66" s="185"/>
      <c r="BD66" s="185"/>
      <c r="BE66" s="185">
        <f>19161.8+33236.17</f>
        <v>52397.97</v>
      </c>
      <c r="BF66" s="185">
        <v>1657.5</v>
      </c>
      <c r="BG66" s="185">
        <v>5135.87</v>
      </c>
      <c r="BH66" s="185"/>
      <c r="BI66" s="185"/>
      <c r="BJ66" s="185"/>
      <c r="BK66" s="185">
        <f>30022.97+90500-10364.97</f>
        <v>110158</v>
      </c>
      <c r="BL66" s="185"/>
      <c r="BM66" s="185"/>
      <c r="BN66" s="185">
        <f>882.81+5912.54+173346.44+445702.27</f>
        <v>625844.06000000006</v>
      </c>
      <c r="BO66" s="185"/>
      <c r="BP66" s="185"/>
      <c r="BQ66" s="185"/>
      <c r="BR66" s="185">
        <v>13509.77</v>
      </c>
      <c r="BS66" s="185"/>
      <c r="BT66" s="185"/>
      <c r="BU66" s="185"/>
      <c r="BV66" s="185">
        <v>33512.68</v>
      </c>
      <c r="BW66" s="185">
        <v>503.86</v>
      </c>
      <c r="BX66" s="185">
        <v>3604.16</v>
      </c>
      <c r="BY66" s="185">
        <v>2653.78</v>
      </c>
      <c r="BZ66" s="185"/>
      <c r="CA66" s="185"/>
      <c r="CB66" s="185"/>
      <c r="CC66" s="185"/>
      <c r="CD66" s="249" t="s">
        <v>221</v>
      </c>
      <c r="CE66" s="195">
        <f t="shared" si="0"/>
        <v>986899.7300000001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12825</v>
      </c>
      <c r="D67" s="195">
        <f>ROUND(D51+D52,0)</f>
        <v>0</v>
      </c>
      <c r="E67" s="195">
        <f t="shared" ref="E67:BP67" si="3">ROUND(E51+E52,0)</f>
        <v>39942</v>
      </c>
      <c r="F67" s="195">
        <f t="shared" si="3"/>
        <v>0</v>
      </c>
      <c r="G67" s="195">
        <f t="shared" si="3"/>
        <v>0</v>
      </c>
      <c r="H67" s="195">
        <f t="shared" si="3"/>
        <v>16553</v>
      </c>
      <c r="I67" s="195">
        <f t="shared" si="3"/>
        <v>0</v>
      </c>
      <c r="J67" s="195">
        <f>ROUND(J51+J52,0)</f>
        <v>2993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37898</v>
      </c>
      <c r="P67" s="195">
        <f t="shared" si="3"/>
        <v>10474</v>
      </c>
      <c r="Q67" s="195">
        <f t="shared" si="3"/>
        <v>11992</v>
      </c>
      <c r="R67" s="195">
        <f t="shared" si="3"/>
        <v>684</v>
      </c>
      <c r="S67" s="195">
        <f t="shared" si="3"/>
        <v>0</v>
      </c>
      <c r="T67" s="195">
        <f t="shared" si="3"/>
        <v>0</v>
      </c>
      <c r="U67" s="195">
        <f t="shared" si="3"/>
        <v>11718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17434</v>
      </c>
      <c r="Z67" s="195">
        <f t="shared" si="3"/>
        <v>0</v>
      </c>
      <c r="AA67" s="195">
        <f t="shared" si="3"/>
        <v>0</v>
      </c>
      <c r="AB67" s="195">
        <f t="shared" si="3"/>
        <v>4540</v>
      </c>
      <c r="AC67" s="195">
        <f t="shared" si="3"/>
        <v>3600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19776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7109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9097</v>
      </c>
      <c r="BE67" s="195">
        <f t="shared" si="3"/>
        <v>13283</v>
      </c>
      <c r="BF67" s="195">
        <f t="shared" si="3"/>
        <v>5763</v>
      </c>
      <c r="BG67" s="195">
        <f t="shared" si="3"/>
        <v>0</v>
      </c>
      <c r="BH67" s="195">
        <f t="shared" si="3"/>
        <v>2394</v>
      </c>
      <c r="BI67" s="195">
        <f t="shared" si="3"/>
        <v>0</v>
      </c>
      <c r="BJ67" s="195">
        <f t="shared" si="3"/>
        <v>0</v>
      </c>
      <c r="BK67" s="195">
        <f t="shared" si="3"/>
        <v>6045</v>
      </c>
      <c r="BL67" s="195">
        <f t="shared" si="3"/>
        <v>0</v>
      </c>
      <c r="BM67" s="195">
        <f t="shared" si="3"/>
        <v>0</v>
      </c>
      <c r="BN67" s="195">
        <f t="shared" si="3"/>
        <v>3048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1744</v>
      </c>
      <c r="BS67" s="195">
        <f t="shared" si="4"/>
        <v>1283</v>
      </c>
      <c r="BT67" s="195">
        <f t="shared" si="4"/>
        <v>1625</v>
      </c>
      <c r="BU67" s="195">
        <f t="shared" si="4"/>
        <v>0</v>
      </c>
      <c r="BV67" s="195">
        <f t="shared" si="4"/>
        <v>5814</v>
      </c>
      <c r="BW67" s="195">
        <f t="shared" si="4"/>
        <v>0</v>
      </c>
      <c r="BX67" s="195">
        <f t="shared" si="4"/>
        <v>1385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40100</v>
      </c>
      <c r="CD67" s="249" t="s">
        <v>221</v>
      </c>
      <c r="CE67" s="195">
        <f t="shared" si="0"/>
        <v>289119</v>
      </c>
      <c r="CF67" s="252"/>
    </row>
    <row r="68" spans="1:84" ht="12.65" customHeight="1" x14ac:dyDescent="0.35">
      <c r="A68" s="171" t="s">
        <v>240</v>
      </c>
      <c r="B68" s="175"/>
      <c r="C68" s="184">
        <v>3032</v>
      </c>
      <c r="D68" s="184"/>
      <c r="E68" s="184">
        <v>3032.16</v>
      </c>
      <c r="F68" s="184"/>
      <c r="G68" s="184"/>
      <c r="H68" s="184"/>
      <c r="I68" s="184"/>
      <c r="J68" s="184">
        <v>115.79</v>
      </c>
      <c r="K68" s="185"/>
      <c r="L68" s="185"/>
      <c r="M68" s="184"/>
      <c r="N68" s="184"/>
      <c r="O68" s="184">
        <v>3032.16</v>
      </c>
      <c r="P68" s="185">
        <v>8195.9599999999991</v>
      </c>
      <c r="Q68" s="185">
        <v>6939.79</v>
      </c>
      <c r="R68" s="185"/>
      <c r="S68" s="185"/>
      <c r="T68" s="185"/>
      <c r="U68" s="185">
        <v>25348</v>
      </c>
      <c r="V68" s="185"/>
      <c r="W68" s="185"/>
      <c r="X68" s="185"/>
      <c r="Y68" s="185">
        <f>32144.74+5122.65</f>
        <v>37267.39</v>
      </c>
      <c r="Z68" s="185"/>
      <c r="AA68" s="185"/>
      <c r="AB68" s="185"/>
      <c r="AC68" s="185"/>
      <c r="AD68" s="185"/>
      <c r="AE68" s="185"/>
      <c r="AF68" s="185"/>
      <c r="AG68" s="185">
        <v>3398.46</v>
      </c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>
        <v>10448</v>
      </c>
      <c r="AY68" s="185"/>
      <c r="AZ68" s="185"/>
      <c r="BA68" s="185"/>
      <c r="BB68" s="185"/>
      <c r="BC68" s="185"/>
      <c r="BD68" s="185"/>
      <c r="BE68" s="185">
        <v>452.6</v>
      </c>
      <c r="BF68" s="185"/>
      <c r="BG68" s="185"/>
      <c r="BH68" s="185"/>
      <c r="BI68" s="185"/>
      <c r="BJ68" s="185"/>
      <c r="BK68" s="185"/>
      <c r="BL68" s="185"/>
      <c r="BM68" s="185"/>
      <c r="BN68" s="185">
        <v>-1035.98</v>
      </c>
      <c r="BO68" s="185"/>
      <c r="BP68" s="185"/>
      <c r="BQ68" s="185"/>
      <c r="BR68" s="185"/>
      <c r="BS68" s="185"/>
      <c r="BT68" s="185"/>
      <c r="BU68" s="185"/>
      <c r="BV68" s="185">
        <v>3874.98</v>
      </c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104101.31000000001</v>
      </c>
      <c r="CF68" s="252"/>
    </row>
    <row r="69" spans="1:84" ht="12.65" customHeight="1" x14ac:dyDescent="0.35">
      <c r="A69" s="171" t="s">
        <v>241</v>
      </c>
      <c r="B69" s="175"/>
      <c r="C69" s="184">
        <v>931</v>
      </c>
      <c r="D69" s="184"/>
      <c r="E69" s="185">
        <f>25.64+579.06</f>
        <v>604.69999999999993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f>779.81+1048.24-1054.21</f>
        <v>773.83999999999992</v>
      </c>
      <c r="P69" s="185">
        <v>13028.3</v>
      </c>
      <c r="Q69" s="185"/>
      <c r="R69" s="224"/>
      <c r="S69" s="185">
        <f>7421.08+751.63+4381.28</f>
        <v>12553.99</v>
      </c>
      <c r="T69" s="184"/>
      <c r="U69" s="185">
        <f>35+1129.84+13494.35</f>
        <v>14659.19</v>
      </c>
      <c r="V69" s="185"/>
      <c r="W69" s="184"/>
      <c r="X69" s="185">
        <v>1378.25</v>
      </c>
      <c r="Y69" s="185">
        <f>283.34+41+678.23+12246.71</f>
        <v>13249.279999999999</v>
      </c>
      <c r="Z69" s="185"/>
      <c r="AA69" s="185"/>
      <c r="AB69" s="185">
        <f>539.92+12129.82</f>
        <v>12669.74</v>
      </c>
      <c r="AC69" s="185"/>
      <c r="AD69" s="185"/>
      <c r="AE69" s="185"/>
      <c r="AF69" s="185"/>
      <c r="AG69" s="185">
        <f>3477.64+890.6+701.54</f>
        <v>5069.78</v>
      </c>
      <c r="AH69" s="185"/>
      <c r="AI69" s="185"/>
      <c r="AJ69" s="185"/>
      <c r="AK69" s="185"/>
      <c r="AL69" s="185">
        <v>233.85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>
        <v>208</v>
      </c>
      <c r="AY69" s="185"/>
      <c r="AZ69" s="185"/>
      <c r="BA69" s="185"/>
      <c r="BB69" s="185"/>
      <c r="BC69" s="185"/>
      <c r="BD69" s="185"/>
      <c r="BE69" s="185">
        <f>694.12+16552.76</f>
        <v>17246.879999999997</v>
      </c>
      <c r="BF69" s="185">
        <v>803.48</v>
      </c>
      <c r="BG69" s="185">
        <v>12194.21</v>
      </c>
      <c r="BH69" s="224">
        <f>784.22+71717.78</f>
        <v>72502</v>
      </c>
      <c r="BI69" s="185"/>
      <c r="BJ69" s="185">
        <v>-1.77</v>
      </c>
      <c r="BK69" s="185">
        <v>175</v>
      </c>
      <c r="BL69" s="185"/>
      <c r="BM69" s="185"/>
      <c r="BN69" s="185">
        <v>22129.18</v>
      </c>
      <c r="BO69" s="185"/>
      <c r="BP69" s="185"/>
      <c r="BQ69" s="185"/>
      <c r="BR69" s="185">
        <f>323.54+103.65</f>
        <v>427.19000000000005</v>
      </c>
      <c r="BS69" s="185"/>
      <c r="BT69" s="185"/>
      <c r="BU69" s="185"/>
      <c r="BV69" s="185">
        <v>26248.2</v>
      </c>
      <c r="BW69" s="185"/>
      <c r="BX69" s="185">
        <v>122.22</v>
      </c>
      <c r="BY69" s="185">
        <f>35+28719.49</f>
        <v>28754.49</v>
      </c>
      <c r="BZ69" s="185"/>
      <c r="CA69" s="185"/>
      <c r="CB69" s="185"/>
      <c r="CC69" s="185"/>
      <c r="CD69" s="188">
        <v>886922.92</v>
      </c>
      <c r="CE69" s="195">
        <f t="shared" si="0"/>
        <v>1142883.9200000002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26203.58</v>
      </c>
      <c r="CE70" s="195">
        <f t="shared" si="0"/>
        <v>26203.58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278652.01</v>
      </c>
      <c r="D71" s="195">
        <f t="shared" ref="D71:AI71" si="5">SUM(D61:D69)-D70</f>
        <v>61.84</v>
      </c>
      <c r="E71" s="195">
        <f t="shared" si="5"/>
        <v>449045.38999999996</v>
      </c>
      <c r="F71" s="195">
        <f t="shared" si="5"/>
        <v>0</v>
      </c>
      <c r="G71" s="195">
        <f t="shared" si="5"/>
        <v>0</v>
      </c>
      <c r="H71" s="195">
        <f t="shared" si="5"/>
        <v>16553</v>
      </c>
      <c r="I71" s="195">
        <f t="shared" si="5"/>
        <v>0</v>
      </c>
      <c r="J71" s="195">
        <f t="shared" si="5"/>
        <v>4056.46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577472.00000000012</v>
      </c>
      <c r="P71" s="195">
        <f t="shared" si="5"/>
        <v>256859.21</v>
      </c>
      <c r="Q71" s="195">
        <f t="shared" si="5"/>
        <v>61959.98</v>
      </c>
      <c r="R71" s="195">
        <f t="shared" si="5"/>
        <v>136457.65000000002</v>
      </c>
      <c r="S71" s="195">
        <f t="shared" si="5"/>
        <v>86711.950000000012</v>
      </c>
      <c r="T71" s="195">
        <f t="shared" si="5"/>
        <v>435.54999999999995</v>
      </c>
      <c r="U71" s="195">
        <f t="shared" si="5"/>
        <v>477399.36</v>
      </c>
      <c r="V71" s="195">
        <f t="shared" si="5"/>
        <v>0</v>
      </c>
      <c r="W71" s="195">
        <f t="shared" si="5"/>
        <v>11781</v>
      </c>
      <c r="X71" s="195">
        <f t="shared" si="5"/>
        <v>23222.95</v>
      </c>
      <c r="Y71" s="195">
        <f t="shared" si="5"/>
        <v>398803.32000000007</v>
      </c>
      <c r="Z71" s="195">
        <f t="shared" si="5"/>
        <v>0</v>
      </c>
      <c r="AA71" s="195">
        <f t="shared" si="5"/>
        <v>0</v>
      </c>
      <c r="AB71" s="195">
        <f t="shared" si="5"/>
        <v>214047.03999999998</v>
      </c>
      <c r="AC71" s="195">
        <f t="shared" si="5"/>
        <v>168177.29</v>
      </c>
      <c r="AD71" s="195">
        <f t="shared" si="5"/>
        <v>0</v>
      </c>
      <c r="AE71" s="195">
        <f t="shared" si="5"/>
        <v>3973.75</v>
      </c>
      <c r="AF71" s="195">
        <f t="shared" si="5"/>
        <v>0</v>
      </c>
      <c r="AG71" s="195">
        <f t="shared" si="5"/>
        <v>816249.5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532.87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365990.33</v>
      </c>
      <c r="AW71" s="195">
        <f t="shared" si="6"/>
        <v>0</v>
      </c>
      <c r="AX71" s="195">
        <f t="shared" si="6"/>
        <v>13171.51</v>
      </c>
      <c r="AY71" s="195">
        <f t="shared" si="6"/>
        <v>96407.97</v>
      </c>
      <c r="AZ71" s="195">
        <f t="shared" si="6"/>
        <v>0</v>
      </c>
      <c r="BA71" s="195">
        <f t="shared" si="6"/>
        <v>34363.5</v>
      </c>
      <c r="BB71" s="195">
        <f t="shared" si="6"/>
        <v>0</v>
      </c>
      <c r="BC71" s="195">
        <f t="shared" si="6"/>
        <v>0</v>
      </c>
      <c r="BD71" s="195">
        <f t="shared" si="6"/>
        <v>53440.31</v>
      </c>
      <c r="BE71" s="195">
        <f t="shared" si="6"/>
        <v>257427.6</v>
      </c>
      <c r="BF71" s="195">
        <f t="shared" si="6"/>
        <v>102722.87</v>
      </c>
      <c r="BG71" s="195">
        <f t="shared" si="6"/>
        <v>17330.079999999998</v>
      </c>
      <c r="BH71" s="195">
        <f t="shared" si="6"/>
        <v>77707.8</v>
      </c>
      <c r="BI71" s="195">
        <f t="shared" si="6"/>
        <v>0</v>
      </c>
      <c r="BJ71" s="195">
        <f t="shared" si="6"/>
        <v>3212.87</v>
      </c>
      <c r="BK71" s="195">
        <f t="shared" si="6"/>
        <v>121542.01</v>
      </c>
      <c r="BL71" s="195">
        <f t="shared" si="6"/>
        <v>126457.74</v>
      </c>
      <c r="BM71" s="195">
        <f t="shared" si="6"/>
        <v>0</v>
      </c>
      <c r="BN71" s="195">
        <f t="shared" si="6"/>
        <v>704863.80000000016</v>
      </c>
      <c r="BO71" s="195">
        <f t="shared" si="6"/>
        <v>0</v>
      </c>
      <c r="BP71" s="195">
        <f t="shared" ref="BP71:CC71" si="7">SUM(BP61:BP69)-BP70</f>
        <v>40.4</v>
      </c>
      <c r="BQ71" s="195">
        <f t="shared" si="7"/>
        <v>0</v>
      </c>
      <c r="BR71" s="195">
        <f t="shared" si="7"/>
        <v>22424.5</v>
      </c>
      <c r="BS71" s="195">
        <f t="shared" si="7"/>
        <v>1283</v>
      </c>
      <c r="BT71" s="195">
        <f t="shared" si="7"/>
        <v>1625</v>
      </c>
      <c r="BU71" s="195">
        <f t="shared" si="7"/>
        <v>0</v>
      </c>
      <c r="BV71" s="195">
        <f t="shared" si="7"/>
        <v>126743.66999999998</v>
      </c>
      <c r="BW71" s="195">
        <f t="shared" si="7"/>
        <v>4470.79</v>
      </c>
      <c r="BX71" s="195">
        <f t="shared" si="7"/>
        <v>104979.48000000001</v>
      </c>
      <c r="BY71" s="195">
        <f t="shared" si="7"/>
        <v>99895.400000000009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40100</v>
      </c>
      <c r="CD71" s="245">
        <f>CD69-CD70</f>
        <v>860719.34000000008</v>
      </c>
      <c r="CE71" s="195">
        <f>SUM(CE61:CE69)-CE70</f>
        <v>7219372.0899999999</v>
      </c>
      <c r="CF71" s="252"/>
    </row>
    <row r="72" spans="1:84" ht="14.2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f>215997.76</f>
        <v>215997.76</v>
      </c>
      <c r="D73" s="184"/>
      <c r="E73" s="185">
        <v>1056703.33</v>
      </c>
      <c r="F73" s="185">
        <v>337822.16</v>
      </c>
      <c r="G73" s="184"/>
      <c r="H73" s="184"/>
      <c r="I73" s="185"/>
      <c r="J73" s="185">
        <v>257889.76</v>
      </c>
      <c r="K73" s="185"/>
      <c r="L73" s="185"/>
      <c r="M73" s="184"/>
      <c r="N73" s="184"/>
      <c r="O73" s="184">
        <v>736933.17</v>
      </c>
      <c r="P73" s="185">
        <f>1081819.28+21927.94</f>
        <v>1103747.22</v>
      </c>
      <c r="Q73" s="185">
        <v>44317.64</v>
      </c>
      <c r="R73" s="185">
        <v>211361.55</v>
      </c>
      <c r="S73" s="185">
        <v>238046.44</v>
      </c>
      <c r="T73" s="185">
        <v>613936.48</v>
      </c>
      <c r="U73" s="185">
        <f>1499712.47+20466.27+40173.88</f>
        <v>1560352.6199999999</v>
      </c>
      <c r="V73" s="185">
        <v>84737.24</v>
      </c>
      <c r="W73" s="185">
        <v>18556.59</v>
      </c>
      <c r="X73" s="185">
        <v>976855.96</v>
      </c>
      <c r="Y73" s="185">
        <f>215191.62+97573.55</f>
        <v>312765.17</v>
      </c>
      <c r="Z73" s="185"/>
      <c r="AA73" s="185"/>
      <c r="AB73" s="185">
        <v>1226957.31</v>
      </c>
      <c r="AC73" s="185">
        <v>535335.63</v>
      </c>
      <c r="AD73" s="185"/>
      <c r="AE73" s="185">
        <v>10896.32</v>
      </c>
      <c r="AF73" s="185"/>
      <c r="AG73" s="185">
        <v>931713.75</v>
      </c>
      <c r="AH73" s="185"/>
      <c r="AI73" s="185"/>
      <c r="AJ73" s="185"/>
      <c r="AK73" s="185"/>
      <c r="AL73" s="185">
        <v>10596.73</v>
      </c>
      <c r="AM73" s="185"/>
      <c r="AN73" s="185"/>
      <c r="AO73" s="185">
        <v>25794.26</v>
      </c>
      <c r="AP73" s="185"/>
      <c r="AQ73" s="185">
        <f>2734.95+17345.99+47544.73</f>
        <v>67625.670000000013</v>
      </c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10578942.760000002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117457.95</v>
      </c>
      <c r="P74" s="185">
        <f>986604.01+52748.83+159355.34</f>
        <v>1198708.18</v>
      </c>
      <c r="Q74" s="185">
        <f>78476.34</f>
        <v>78476.34</v>
      </c>
      <c r="R74" s="185">
        <v>145407.01</v>
      </c>
      <c r="S74" s="185">
        <v>178482.82</v>
      </c>
      <c r="T74" s="185">
        <v>458758</v>
      </c>
      <c r="U74" s="185">
        <f>2937562.02+25949.4+10414.08</f>
        <v>2973925.5</v>
      </c>
      <c r="V74" s="185">
        <v>314776.09000000003</v>
      </c>
      <c r="W74" s="185">
        <v>166049.10999999999</v>
      </c>
      <c r="X74" s="185">
        <v>4461899.46</v>
      </c>
      <c r="Y74" s="185">
        <f>2331718.83+654294.99</f>
        <v>2986013.8200000003</v>
      </c>
      <c r="Z74" s="185"/>
      <c r="AA74" s="185"/>
      <c r="AB74" s="185">
        <v>1074617.04</v>
      </c>
      <c r="AC74" s="185">
        <v>412462.61</v>
      </c>
      <c r="AD74" s="185"/>
      <c r="AE74" s="185">
        <v>3028.26</v>
      </c>
      <c r="AF74" s="185"/>
      <c r="AG74" s="185">
        <v>7840356.7800000003</v>
      </c>
      <c r="AH74" s="185"/>
      <c r="AI74" s="185"/>
      <c r="AJ74" s="185"/>
      <c r="AK74" s="185"/>
      <c r="AL74" s="185">
        <v>2348.44</v>
      </c>
      <c r="AM74" s="185"/>
      <c r="AN74" s="185"/>
      <c r="AO74" s="185">
        <v>354016.54</v>
      </c>
      <c r="AP74" s="185"/>
      <c r="AQ74" s="185"/>
      <c r="AR74" s="185"/>
      <c r="AS74" s="185"/>
      <c r="AT74" s="185"/>
      <c r="AU74" s="185"/>
      <c r="AV74" s="185">
        <f>272799.91+190297.86</f>
        <v>463097.76999999996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23229881.719999999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215997.76</v>
      </c>
      <c r="D75" s="195">
        <f t="shared" si="9"/>
        <v>0</v>
      </c>
      <c r="E75" s="195">
        <f t="shared" si="9"/>
        <v>1056703.33</v>
      </c>
      <c r="F75" s="195">
        <f t="shared" si="9"/>
        <v>337822.16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257889.76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854391.12</v>
      </c>
      <c r="P75" s="195">
        <f t="shared" si="9"/>
        <v>2302455.4</v>
      </c>
      <c r="Q75" s="195">
        <f t="shared" si="9"/>
        <v>122793.98</v>
      </c>
      <c r="R75" s="195">
        <f t="shared" si="9"/>
        <v>356768.56</v>
      </c>
      <c r="S75" s="195">
        <f t="shared" si="9"/>
        <v>416529.26</v>
      </c>
      <c r="T75" s="195">
        <f t="shared" si="9"/>
        <v>1072694.48</v>
      </c>
      <c r="U75" s="195">
        <f t="shared" si="9"/>
        <v>4534278.12</v>
      </c>
      <c r="V75" s="195">
        <f t="shared" si="9"/>
        <v>399513.33</v>
      </c>
      <c r="W75" s="195">
        <f t="shared" si="9"/>
        <v>184605.69999999998</v>
      </c>
      <c r="X75" s="195">
        <f t="shared" si="9"/>
        <v>5438755.4199999999</v>
      </c>
      <c r="Y75" s="195">
        <f t="shared" si="9"/>
        <v>3298778.99</v>
      </c>
      <c r="Z75" s="195">
        <f t="shared" si="9"/>
        <v>0</v>
      </c>
      <c r="AA75" s="195">
        <f t="shared" si="9"/>
        <v>0</v>
      </c>
      <c r="AB75" s="195">
        <f t="shared" si="9"/>
        <v>2301574.35</v>
      </c>
      <c r="AC75" s="195">
        <f t="shared" si="9"/>
        <v>947798.24</v>
      </c>
      <c r="AD75" s="195">
        <f t="shared" si="9"/>
        <v>0</v>
      </c>
      <c r="AE75" s="195">
        <f t="shared" si="9"/>
        <v>13924.58</v>
      </c>
      <c r="AF75" s="195">
        <f t="shared" si="9"/>
        <v>0</v>
      </c>
      <c r="AG75" s="195">
        <f t="shared" si="9"/>
        <v>8772070.5300000012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12945.17</v>
      </c>
      <c r="AM75" s="195">
        <f t="shared" si="9"/>
        <v>0</v>
      </c>
      <c r="AN75" s="195">
        <f t="shared" si="9"/>
        <v>0</v>
      </c>
      <c r="AO75" s="195">
        <f t="shared" si="9"/>
        <v>379810.8</v>
      </c>
      <c r="AP75" s="195">
        <f t="shared" si="9"/>
        <v>0</v>
      </c>
      <c r="AQ75" s="195">
        <f t="shared" si="9"/>
        <v>67625.670000000013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463097.76999999996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33808824.480000004</v>
      </c>
      <c r="CF75" s="252"/>
    </row>
    <row r="76" spans="1:84" ht="12.65" customHeight="1" x14ac:dyDescent="0.35">
      <c r="A76" s="171" t="s">
        <v>248</v>
      </c>
      <c r="B76" s="175"/>
      <c r="C76" s="184">
        <v>3000</v>
      </c>
      <c r="D76" s="184"/>
      <c r="E76" s="185">
        <v>9343</v>
      </c>
      <c r="F76" s="185"/>
      <c r="G76" s="184"/>
      <c r="H76" s="184">
        <v>3872</v>
      </c>
      <c r="I76" s="185"/>
      <c r="J76" s="185">
        <v>700</v>
      </c>
      <c r="K76" s="185"/>
      <c r="L76" s="185"/>
      <c r="M76" s="185"/>
      <c r="N76" s="185"/>
      <c r="O76" s="185">
        <v>8865</v>
      </c>
      <c r="P76" s="185">
        <v>2450</v>
      </c>
      <c r="Q76" s="185">
        <v>2805</v>
      </c>
      <c r="R76" s="185">
        <v>160</v>
      </c>
      <c r="S76" s="185"/>
      <c r="T76" s="185"/>
      <c r="U76" s="185">
        <v>2741</v>
      </c>
      <c r="V76" s="185"/>
      <c r="W76" s="185"/>
      <c r="X76" s="185"/>
      <c r="Y76" s="185">
        <v>4078</v>
      </c>
      <c r="Z76" s="185"/>
      <c r="AA76" s="185"/>
      <c r="AB76" s="185">
        <v>1062</v>
      </c>
      <c r="AC76" s="185">
        <v>842</v>
      </c>
      <c r="AD76" s="185"/>
      <c r="AE76" s="185"/>
      <c r="AF76" s="185"/>
      <c r="AG76" s="185">
        <v>4626</v>
      </c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1663</v>
      </c>
      <c r="AZ76" s="185"/>
      <c r="BA76" s="185"/>
      <c r="BB76" s="185"/>
      <c r="BC76" s="185"/>
      <c r="BD76" s="185">
        <v>2128</v>
      </c>
      <c r="BE76" s="185">
        <v>3107</v>
      </c>
      <c r="BF76" s="185">
        <v>1348</v>
      </c>
      <c r="BG76" s="185"/>
      <c r="BH76" s="185">
        <v>560</v>
      </c>
      <c r="BI76" s="185"/>
      <c r="BJ76" s="185"/>
      <c r="BK76" s="185">
        <v>1414</v>
      </c>
      <c r="BL76" s="185"/>
      <c r="BM76" s="185"/>
      <c r="BN76" s="185">
        <v>713</v>
      </c>
      <c r="BO76" s="185"/>
      <c r="BP76" s="185"/>
      <c r="BQ76" s="185"/>
      <c r="BR76" s="185">
        <v>408</v>
      </c>
      <c r="BS76" s="185">
        <v>300</v>
      </c>
      <c r="BT76" s="185">
        <v>380</v>
      </c>
      <c r="BU76" s="185"/>
      <c r="BV76" s="185">
        <v>1360</v>
      </c>
      <c r="BW76" s="185"/>
      <c r="BX76" s="185">
        <v>324</v>
      </c>
      <c r="BY76" s="185"/>
      <c r="BZ76" s="185"/>
      <c r="CA76" s="185"/>
      <c r="CB76" s="185"/>
      <c r="CC76" s="185">
        <v>9380</v>
      </c>
      <c r="CD76" s="249" t="s">
        <v>221</v>
      </c>
      <c r="CE76" s="195">
        <f t="shared" si="8"/>
        <v>67629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495</v>
      </c>
      <c r="D77" s="184"/>
      <c r="E77" s="184">
        <v>1979</v>
      </c>
      <c r="F77" s="184">
        <v>1111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>
        <v>3</v>
      </c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51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3639</v>
      </c>
      <c r="CF77" s="195">
        <f>AY59-CE77</f>
        <v>-3639</v>
      </c>
    </row>
    <row r="78" spans="1:84" ht="12.65" customHeight="1" x14ac:dyDescent="0.35">
      <c r="A78" s="171" t="s">
        <v>250</v>
      </c>
      <c r="B78" s="175"/>
      <c r="C78" s="184">
        <v>550</v>
      </c>
      <c r="D78" s="184"/>
      <c r="E78" s="184">
        <f>271+216</f>
        <v>487</v>
      </c>
      <c r="F78" s="184">
        <v>600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350</v>
      </c>
      <c r="Q78" s="184">
        <v>67</v>
      </c>
      <c r="R78" s="184"/>
      <c r="S78" s="184">
        <v>35</v>
      </c>
      <c r="T78" s="184"/>
      <c r="U78" s="184">
        <v>135</v>
      </c>
      <c r="V78" s="184"/>
      <c r="W78" s="184"/>
      <c r="X78" s="184"/>
      <c r="Y78" s="184">
        <v>200</v>
      </c>
      <c r="Z78" s="184"/>
      <c r="AA78" s="184"/>
      <c r="AB78" s="184">
        <v>40</v>
      </c>
      <c r="AC78" s="184"/>
      <c r="AD78" s="184"/>
      <c r="AE78" s="184"/>
      <c r="AF78" s="184"/>
      <c r="AG78" s="184">
        <v>800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>
        <v>120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30</v>
      </c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3414</v>
      </c>
      <c r="CF78" s="195"/>
    </row>
    <row r="79" spans="1:84" ht="12.65" customHeight="1" x14ac:dyDescent="0.35">
      <c r="A79" s="171" t="s">
        <v>251</v>
      </c>
      <c r="B79" s="175"/>
      <c r="C79" s="225">
        <v>12541</v>
      </c>
      <c r="D79" s="225"/>
      <c r="E79" s="184"/>
      <c r="F79" s="184">
        <v>13796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6271</v>
      </c>
      <c r="Q79" s="184">
        <v>627</v>
      </c>
      <c r="R79" s="184"/>
      <c r="S79" s="184">
        <v>627</v>
      </c>
      <c r="T79" s="184"/>
      <c r="U79" s="184"/>
      <c r="V79" s="184"/>
      <c r="W79" s="184"/>
      <c r="X79" s="184"/>
      <c r="Y79" s="184">
        <v>4389</v>
      </c>
      <c r="Z79" s="184"/>
      <c r="AA79" s="184"/>
      <c r="AB79" s="184"/>
      <c r="AC79" s="184"/>
      <c r="AD79" s="184"/>
      <c r="AE79" s="184"/>
      <c r="AF79" s="184"/>
      <c r="AG79" s="184">
        <v>24456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62707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9.4</v>
      </c>
      <c r="D80" s="187"/>
      <c r="E80" s="187">
        <v>5.0999999999999996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13.6</v>
      </c>
      <c r="P80" s="187">
        <v>7</v>
      </c>
      <c r="Q80" s="187">
        <v>3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11.7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49.8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/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1272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 t="s">
        <v>148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375</v>
      </c>
      <c r="D111" s="174">
        <v>940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141</v>
      </c>
      <c r="D114" s="174">
        <v>258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36</v>
      </c>
    </row>
    <row r="128" spans="1:5" ht="12.65" customHeight="1" x14ac:dyDescent="0.35">
      <c r="A128" s="173" t="s">
        <v>292</v>
      </c>
      <c r="B128" s="172" t="s">
        <v>256</v>
      </c>
      <c r="C128" s="189">
        <v>63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69</v>
      </c>
      <c r="C138" s="189">
        <v>112</v>
      </c>
      <c r="D138" s="174">
        <v>197</v>
      </c>
      <c r="E138" s="175">
        <f>SUM(B138:D138)</f>
        <v>378</v>
      </c>
    </row>
    <row r="139" spans="1:6" ht="12.65" customHeight="1" x14ac:dyDescent="0.35">
      <c r="A139" s="173" t="s">
        <v>215</v>
      </c>
      <c r="B139" s="174">
        <v>234</v>
      </c>
      <c r="C139" s="189">
        <v>302</v>
      </c>
      <c r="D139" s="174">
        <v>404</v>
      </c>
      <c r="E139" s="175">
        <f>SUM(B139:D139)</f>
        <v>940</v>
      </c>
    </row>
    <row r="140" spans="1:6" ht="12.65" customHeight="1" x14ac:dyDescent="0.35">
      <c r="A140" s="173" t="s">
        <v>298</v>
      </c>
      <c r="B140" s="174">
        <v>391</v>
      </c>
      <c r="C140" s="174">
        <v>318</v>
      </c>
      <c r="D140" s="174">
        <v>2196</v>
      </c>
      <c r="E140" s="175">
        <f>SUM(B140:D140)</f>
        <v>2905</v>
      </c>
    </row>
    <row r="141" spans="1:6" ht="12.65" customHeight="1" x14ac:dyDescent="0.35">
      <c r="A141" s="173" t="s">
        <v>245</v>
      </c>
      <c r="B141" s="174">
        <v>2657040</v>
      </c>
      <c r="C141" s="189">
        <v>3321423</v>
      </c>
      <c r="D141" s="174">
        <v>4633384</v>
      </c>
      <c r="E141" s="175">
        <f>SUM(B141:D141)</f>
        <v>10611847</v>
      </c>
      <c r="F141" s="199"/>
    </row>
    <row r="142" spans="1:6" ht="12.65" customHeight="1" x14ac:dyDescent="0.35">
      <c r="A142" s="173" t="s">
        <v>246</v>
      </c>
      <c r="B142" s="174">
        <v>2870601</v>
      </c>
      <c r="C142" s="189">
        <v>4608461</v>
      </c>
      <c r="D142" s="174">
        <v>15717856</v>
      </c>
      <c r="E142" s="175">
        <f>SUM(B142:D142)</f>
        <v>23196918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210599.21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f>6096.18+80727.91</f>
        <v>86824.09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386483.26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164.07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684070.63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-1035.98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105137.45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104101.47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48658.69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f>2798+5586.18+150.58</f>
        <v>8534.76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57193.450000000004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15910.85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34282.73+37672.22</f>
        <v>71954.950000000012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320666.68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408532.47999999998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357092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357092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389000</v>
      </c>
      <c r="C195" s="189"/>
      <c r="D195" s="174"/>
      <c r="E195" s="175">
        <f t="shared" ref="E195:E203" si="10">SUM(B195:C195)-D195</f>
        <v>389000</v>
      </c>
    </row>
    <row r="196" spans="1:8" ht="12.65" customHeight="1" x14ac:dyDescent="0.35">
      <c r="A196" s="173" t="s">
        <v>333</v>
      </c>
      <c r="B196" s="174">
        <v>332879.92</v>
      </c>
      <c r="C196" s="189"/>
      <c r="D196" s="174"/>
      <c r="E196" s="175">
        <f t="shared" si="10"/>
        <v>332879.92</v>
      </c>
    </row>
    <row r="197" spans="1:8" ht="12.65" customHeight="1" x14ac:dyDescent="0.35">
      <c r="A197" s="173" t="s">
        <v>334</v>
      </c>
      <c r="B197" s="174">
        <f>10061441+1038672.72</f>
        <v>11100113.720000001</v>
      </c>
      <c r="C197" s="189"/>
      <c r="D197" s="174"/>
      <c r="E197" s="175">
        <f t="shared" si="10"/>
        <v>11100113.720000001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37513.589999999997</v>
      </c>
      <c r="C199" s="189">
        <v>0</v>
      </c>
      <c r="D199" s="174"/>
      <c r="E199" s="175">
        <f t="shared" si="10"/>
        <v>37513.589999999997</v>
      </c>
    </row>
    <row r="200" spans="1:8" ht="12.65" customHeight="1" x14ac:dyDescent="0.35">
      <c r="A200" s="173" t="s">
        <v>337</v>
      </c>
      <c r="B200" s="174">
        <v>2140179.33</v>
      </c>
      <c r="C200" s="189">
        <v>22926.58</v>
      </c>
      <c r="D200" s="174"/>
      <c r="E200" s="175">
        <f t="shared" si="10"/>
        <v>2163105.91</v>
      </c>
    </row>
    <row r="201" spans="1:8" ht="12.65" customHeight="1" x14ac:dyDescent="0.35">
      <c r="A201" s="173" t="s">
        <v>338</v>
      </c>
      <c r="B201" s="174">
        <f>618043.91+1925</f>
        <v>619968.91</v>
      </c>
      <c r="C201" s="189">
        <v>35399.47</v>
      </c>
      <c r="D201" s="174"/>
      <c r="E201" s="175">
        <f t="shared" si="10"/>
        <v>655368.38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60103.71</v>
      </c>
      <c r="C203" s="189"/>
      <c r="D203" s="174"/>
      <c r="E203" s="175">
        <f t="shared" si="10"/>
        <v>60103.71</v>
      </c>
    </row>
    <row r="204" spans="1:8" ht="12.65" customHeight="1" x14ac:dyDescent="0.35">
      <c r="A204" s="173" t="s">
        <v>203</v>
      </c>
      <c r="B204" s="175">
        <f>SUM(B195:B203)</f>
        <v>14679759.180000002</v>
      </c>
      <c r="C204" s="191">
        <f>SUM(C195:C203)</f>
        <v>58326.05</v>
      </c>
      <c r="D204" s="175">
        <f>SUM(D195:D203)</f>
        <v>0</v>
      </c>
      <c r="E204" s="175">
        <f>SUM(E195:E203)</f>
        <v>14738085.230000002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115793.66</v>
      </c>
      <c r="C209" s="189">
        <v>8188.22</v>
      </c>
      <c r="D209" s="174"/>
      <c r="E209" s="175">
        <f t="shared" ref="E209:E216" si="11">SUM(B209:C209)-D209</f>
        <v>123981.88</v>
      </c>
      <c r="H209" s="259"/>
    </row>
    <row r="210" spans="1:8" ht="12.65" customHeight="1" x14ac:dyDescent="0.35">
      <c r="A210" s="173" t="s">
        <v>334</v>
      </c>
      <c r="B210" s="174">
        <f>1579232.27+108989.43</f>
        <v>1688221.7</v>
      </c>
      <c r="C210" s="189">
        <f>100440.95+15031.38</f>
        <v>115472.33</v>
      </c>
      <c r="D210" s="174"/>
      <c r="E210" s="175">
        <f t="shared" si="11"/>
        <v>1803694.03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2938.51</v>
      </c>
      <c r="C212" s="189">
        <v>773.09</v>
      </c>
      <c r="D212" s="174"/>
      <c r="E212" s="175">
        <f t="shared" si="11"/>
        <v>3711.6000000000004</v>
      </c>
      <c r="H212" s="259"/>
    </row>
    <row r="213" spans="1:8" ht="12.65" customHeight="1" x14ac:dyDescent="0.35">
      <c r="A213" s="173" t="s">
        <v>337</v>
      </c>
      <c r="B213" s="174">
        <v>1049647.6000000001</v>
      </c>
      <c r="C213" s="189">
        <v>58471.49</v>
      </c>
      <c r="D213" s="174"/>
      <c r="E213" s="175">
        <f t="shared" si="11"/>
        <v>1108119.0900000001</v>
      </c>
      <c r="H213" s="259"/>
    </row>
    <row r="214" spans="1:8" ht="12.65" customHeight="1" x14ac:dyDescent="0.35">
      <c r="A214" s="173" t="s">
        <v>338</v>
      </c>
      <c r="B214" s="174">
        <f>1925+347629.01</f>
        <v>349554.01</v>
      </c>
      <c r="C214" s="189">
        <v>30441.119999999999</v>
      </c>
      <c r="D214" s="174"/>
      <c r="E214" s="175">
        <f t="shared" si="11"/>
        <v>379995.13</v>
      </c>
      <c r="H214" s="259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3206155.4799999995</v>
      </c>
      <c r="C217" s="191">
        <f>SUM(C208:C216)</f>
        <v>213346.25</v>
      </c>
      <c r="D217" s="175">
        <f>SUM(D208:D216)</f>
        <v>0</v>
      </c>
      <c r="E217" s="175">
        <f>SUM(E208:E216)</f>
        <v>3419501.7300000004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7" t="s">
        <v>1255</v>
      </c>
      <c r="C220" s="287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809925</v>
      </c>
      <c r="D221" s="172">
        <f>C221</f>
        <v>809925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4337977.38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6977282.7699999996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-88238.98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10158205.24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5099132.79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26484359.199999996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987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85870.49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86857.49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27381141.689999994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2470960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f>11000861-3592628</f>
        <v>7408233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f>653028+1877906</f>
        <v>2530934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243930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12654057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6552420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58326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/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60104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6670850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225591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6445259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267467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-48839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218628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19317944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1177160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1085037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3395623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-10026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5647794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4195248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7840232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12035480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12035480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2339498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-704828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19317944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19317944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f>1868413+8710530</f>
        <v>10578943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23229882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33808825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809925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26484359-86995.49</f>
        <v>26397363.510000002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86995.49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27294284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6514541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26204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26204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6540745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f>2819722+215947</f>
        <v>3035669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684071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444629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430426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127775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986900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289117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104101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57193.45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408532.47999999998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357092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51712.76+204248+64105</f>
        <v>320065.76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7245571.6899999995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-704826.68999999948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-704826.68999999948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-704826.68999999948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ASTRIA TOPPENISH HOSPITAL   H-0     FYE 12/31/2017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375</v>
      </c>
      <c r="C414" s="194">
        <f>E138</f>
        <v>378</v>
      </c>
      <c r="D414" s="179"/>
    </row>
    <row r="415" spans="1:5" ht="12.65" customHeight="1" x14ac:dyDescent="0.35">
      <c r="A415" s="179" t="s">
        <v>464</v>
      </c>
      <c r="B415" s="179">
        <f>D111</f>
        <v>940</v>
      </c>
      <c r="C415" s="179">
        <f>E139</f>
        <v>940</v>
      </c>
      <c r="D415" s="194">
        <f>SUM(C59:H59)+N59</f>
        <v>940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141</v>
      </c>
    </row>
    <row r="424" spans="1:7" ht="12.65" customHeight="1" x14ac:dyDescent="0.35">
      <c r="A424" s="179" t="s">
        <v>1244</v>
      </c>
      <c r="B424" s="179">
        <f>D114</f>
        <v>258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3035669</v>
      </c>
      <c r="C427" s="179">
        <f t="shared" ref="C427:C434" si="13">CE61</f>
        <v>3035668.7799999993</v>
      </c>
      <c r="D427" s="179"/>
    </row>
    <row r="428" spans="1:7" ht="12.65" customHeight="1" x14ac:dyDescent="0.35">
      <c r="A428" s="179" t="s">
        <v>3</v>
      </c>
      <c r="B428" s="179">
        <f t="shared" si="12"/>
        <v>684071</v>
      </c>
      <c r="C428" s="179">
        <f t="shared" si="13"/>
        <v>684073</v>
      </c>
      <c r="D428" s="179">
        <f>D173</f>
        <v>684070.63</v>
      </c>
    </row>
    <row r="429" spans="1:7" ht="12.65" customHeight="1" x14ac:dyDescent="0.35">
      <c r="A429" s="179" t="s">
        <v>236</v>
      </c>
      <c r="B429" s="179">
        <f t="shared" si="12"/>
        <v>444629</v>
      </c>
      <c r="C429" s="179">
        <f t="shared" si="13"/>
        <v>444629.17000000004</v>
      </c>
      <c r="D429" s="179"/>
    </row>
    <row r="430" spans="1:7" ht="12.65" customHeight="1" x14ac:dyDescent="0.35">
      <c r="A430" s="179" t="s">
        <v>237</v>
      </c>
      <c r="B430" s="179">
        <f t="shared" si="12"/>
        <v>430426</v>
      </c>
      <c r="C430" s="179">
        <f t="shared" si="13"/>
        <v>430425.77000000008</v>
      </c>
      <c r="D430" s="179"/>
    </row>
    <row r="431" spans="1:7" ht="12.65" customHeight="1" x14ac:dyDescent="0.35">
      <c r="A431" s="179" t="s">
        <v>444</v>
      </c>
      <c r="B431" s="179">
        <f t="shared" si="12"/>
        <v>127775</v>
      </c>
      <c r="C431" s="179">
        <f t="shared" si="13"/>
        <v>127774.99</v>
      </c>
      <c r="D431" s="179"/>
    </row>
    <row r="432" spans="1:7" ht="12.65" customHeight="1" x14ac:dyDescent="0.35">
      <c r="A432" s="179" t="s">
        <v>445</v>
      </c>
      <c r="B432" s="179">
        <f t="shared" si="12"/>
        <v>986900</v>
      </c>
      <c r="C432" s="179">
        <f t="shared" si="13"/>
        <v>986899.7300000001</v>
      </c>
      <c r="D432" s="179"/>
    </row>
    <row r="433" spans="1:7" ht="12.65" customHeight="1" x14ac:dyDescent="0.35">
      <c r="A433" s="179" t="s">
        <v>6</v>
      </c>
      <c r="B433" s="179">
        <f t="shared" si="12"/>
        <v>289117</v>
      </c>
      <c r="C433" s="179">
        <f t="shared" si="13"/>
        <v>289119</v>
      </c>
      <c r="D433" s="179">
        <f>C217</f>
        <v>213346.25</v>
      </c>
    </row>
    <row r="434" spans="1:7" ht="12.65" customHeight="1" x14ac:dyDescent="0.35">
      <c r="A434" s="179" t="s">
        <v>474</v>
      </c>
      <c r="B434" s="179">
        <f t="shared" si="12"/>
        <v>104101</v>
      </c>
      <c r="C434" s="179">
        <f t="shared" si="13"/>
        <v>104101.31000000001</v>
      </c>
      <c r="D434" s="179">
        <f>D177</f>
        <v>104101.47</v>
      </c>
    </row>
    <row r="435" spans="1:7" ht="12.65" customHeight="1" x14ac:dyDescent="0.35">
      <c r="A435" s="179" t="s">
        <v>447</v>
      </c>
      <c r="B435" s="179">
        <f t="shared" si="12"/>
        <v>57193.45</v>
      </c>
      <c r="C435" s="179"/>
      <c r="D435" s="179">
        <f>D181</f>
        <v>57193.450000000004</v>
      </c>
    </row>
    <row r="436" spans="1:7" ht="12.65" customHeight="1" x14ac:dyDescent="0.35">
      <c r="A436" s="179" t="s">
        <v>475</v>
      </c>
      <c r="B436" s="179">
        <f t="shared" si="12"/>
        <v>408532.47999999998</v>
      </c>
      <c r="C436" s="179"/>
      <c r="D436" s="179">
        <f>D186</f>
        <v>408532.47999999998</v>
      </c>
    </row>
    <row r="437" spans="1:7" ht="12.65" customHeight="1" x14ac:dyDescent="0.35">
      <c r="A437" s="194" t="s">
        <v>449</v>
      </c>
      <c r="B437" s="194">
        <f t="shared" si="12"/>
        <v>357092</v>
      </c>
      <c r="C437" s="194"/>
      <c r="D437" s="194">
        <f>D190</f>
        <v>357092</v>
      </c>
    </row>
    <row r="438" spans="1:7" ht="12.65" customHeight="1" x14ac:dyDescent="0.35">
      <c r="A438" s="194" t="s">
        <v>476</v>
      </c>
      <c r="B438" s="194">
        <f>C386+C387+C388</f>
        <v>822817.92999999993</v>
      </c>
      <c r="C438" s="194">
        <f>CD69</f>
        <v>886922.92</v>
      </c>
      <c r="D438" s="194">
        <f>D181+D186+D190</f>
        <v>822817.92999999993</v>
      </c>
    </row>
    <row r="439" spans="1:7" ht="12.65" customHeight="1" x14ac:dyDescent="0.35">
      <c r="A439" s="179" t="s">
        <v>451</v>
      </c>
      <c r="B439" s="194">
        <f>C389</f>
        <v>320065.76</v>
      </c>
      <c r="C439" s="194">
        <f>SUM(C69:CC69)</f>
        <v>255961.00000000003</v>
      </c>
      <c r="D439" s="179"/>
    </row>
    <row r="440" spans="1:7" ht="12.65" customHeight="1" x14ac:dyDescent="0.35">
      <c r="A440" s="179" t="s">
        <v>477</v>
      </c>
      <c r="B440" s="194">
        <f>B438+B439</f>
        <v>1142883.69</v>
      </c>
      <c r="C440" s="194">
        <f>CE69</f>
        <v>1142883.9200000002</v>
      </c>
      <c r="D440" s="179"/>
    </row>
    <row r="441" spans="1:7" ht="12.65" customHeight="1" x14ac:dyDescent="0.35">
      <c r="A441" s="179" t="s">
        <v>478</v>
      </c>
      <c r="B441" s="179">
        <f>D390</f>
        <v>7245571.6899999995</v>
      </c>
      <c r="C441" s="179">
        <f>SUM(C427:C437)+C440</f>
        <v>7245575.6699999999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809925</v>
      </c>
      <c r="C444" s="179">
        <f>C363</f>
        <v>809925</v>
      </c>
      <c r="D444" s="179"/>
    </row>
    <row r="445" spans="1:7" ht="12.65" customHeight="1" x14ac:dyDescent="0.35">
      <c r="A445" s="179" t="s">
        <v>343</v>
      </c>
      <c r="B445" s="179">
        <f>D229</f>
        <v>26484359.199999996</v>
      </c>
      <c r="C445" s="179">
        <f>C364</f>
        <v>26397363.510000002</v>
      </c>
      <c r="D445" s="179"/>
    </row>
    <row r="446" spans="1:7" ht="12.65" customHeight="1" x14ac:dyDescent="0.35">
      <c r="A446" s="179" t="s">
        <v>351</v>
      </c>
      <c r="B446" s="179">
        <f>D236</f>
        <v>86857.49</v>
      </c>
      <c r="C446" s="179">
        <f>C365</f>
        <v>86995.49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27381141.689999994</v>
      </c>
      <c r="C448" s="179">
        <f>D367</f>
        <v>27294284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987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85870.49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26204</v>
      </c>
      <c r="C458" s="194">
        <f>CE70</f>
        <v>26203.58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10578943</v>
      </c>
      <c r="C463" s="194">
        <f>CE73</f>
        <v>10578942.760000002</v>
      </c>
      <c r="D463" s="194">
        <f>E141+E147+E153</f>
        <v>10611847</v>
      </c>
    </row>
    <row r="464" spans="1:7" ht="12.65" customHeight="1" x14ac:dyDescent="0.35">
      <c r="A464" s="179" t="s">
        <v>246</v>
      </c>
      <c r="B464" s="194">
        <f>C360</f>
        <v>23229882</v>
      </c>
      <c r="C464" s="194">
        <f>CE74</f>
        <v>23229881.719999999</v>
      </c>
      <c r="D464" s="194">
        <f>E142+E148+E154</f>
        <v>23196918</v>
      </c>
    </row>
    <row r="465" spans="1:7" ht="12.65" customHeight="1" x14ac:dyDescent="0.35">
      <c r="A465" s="179" t="s">
        <v>247</v>
      </c>
      <c r="B465" s="194">
        <f>D361</f>
        <v>33808825</v>
      </c>
      <c r="C465" s="194">
        <f>CE75</f>
        <v>33808824.480000004</v>
      </c>
      <c r="D465" s="194">
        <f>D463+D464</f>
        <v>33808765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0</v>
      </c>
      <c r="C468" s="179">
        <f>E195</f>
        <v>389000</v>
      </c>
      <c r="D468" s="179"/>
    </row>
    <row r="469" spans="1:7" ht="12.65" customHeight="1" x14ac:dyDescent="0.35">
      <c r="A469" s="179" t="s">
        <v>333</v>
      </c>
      <c r="B469" s="179">
        <f t="shared" si="14"/>
        <v>6552420</v>
      </c>
      <c r="C469" s="179">
        <f>E196</f>
        <v>332879.92</v>
      </c>
      <c r="D469" s="179"/>
    </row>
    <row r="470" spans="1:7" ht="12.65" customHeight="1" x14ac:dyDescent="0.35">
      <c r="A470" s="179" t="s">
        <v>334</v>
      </c>
      <c r="B470" s="179">
        <f t="shared" si="14"/>
        <v>58326</v>
      </c>
      <c r="C470" s="179">
        <f>E197</f>
        <v>11100113.720000001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37513.589999999997</v>
      </c>
      <c r="D472" s="179"/>
    </row>
    <row r="473" spans="1:7" ht="12.65" customHeight="1" x14ac:dyDescent="0.35">
      <c r="A473" s="179" t="s">
        <v>495</v>
      </c>
      <c r="B473" s="179">
        <f t="shared" si="14"/>
        <v>0</v>
      </c>
      <c r="C473" s="179">
        <f>SUM(E200:E201)</f>
        <v>2818474.29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60104</v>
      </c>
      <c r="C475" s="179">
        <f>E203</f>
        <v>60103.71</v>
      </c>
      <c r="D475" s="179"/>
    </row>
    <row r="476" spans="1:7" ht="12.65" customHeight="1" x14ac:dyDescent="0.35">
      <c r="A476" s="179" t="s">
        <v>203</v>
      </c>
      <c r="B476" s="179">
        <f>D275</f>
        <v>6670850</v>
      </c>
      <c r="C476" s="179">
        <f>E204</f>
        <v>14738085.230000002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225591</v>
      </c>
      <c r="C478" s="179">
        <f>E217</f>
        <v>3419501.7300000004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19317944</v>
      </c>
    </row>
    <row r="482" spans="1:12" ht="12.65" customHeight="1" x14ac:dyDescent="0.35">
      <c r="A482" s="180" t="s">
        <v>499</v>
      </c>
      <c r="C482" s="180">
        <f>D339</f>
        <v>19317944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79" t="str">
        <f>C84&amp;"   "&amp;"H-"&amp;FIXED(C82,0,TRUE)&amp;"     FYE "&amp;C82</f>
        <v>ASTRIA TOPPENISH HOSPITAL   H-0     FYE 12/31/2017</v>
      </c>
      <c r="B493" s="261" t="s">
        <v>1267</v>
      </c>
      <c r="C493" s="261" t="str">
        <f>RIGHT(C82,4)</f>
        <v>2017</v>
      </c>
      <c r="D493" s="261" t="s">
        <v>1267</v>
      </c>
      <c r="E493" s="261" t="str">
        <f>RIGHT(C82,4)</f>
        <v>2017</v>
      </c>
      <c r="F493" s="261" t="s">
        <v>1267</v>
      </c>
      <c r="G493" s="261" t="str">
        <f>RIGHT(C82,4)</f>
        <v>2017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v>954977.53999999992</v>
      </c>
      <c r="C496" s="240">
        <f>C71</f>
        <v>278652.01</v>
      </c>
      <c r="D496" s="240">
        <v>138</v>
      </c>
      <c r="E496" s="180">
        <f>C59</f>
        <v>76</v>
      </c>
      <c r="F496" s="263">
        <f t="shared" ref="F496:G511" si="15">IF(B496=0,"",IF(D496=0,"",B496/D496))</f>
        <v>6920.127101449275</v>
      </c>
      <c r="G496" s="264">
        <f t="shared" si="15"/>
        <v>3666.473815789474</v>
      </c>
      <c r="H496" s="265">
        <f>IF(B496=0,"",IF(C496=0,"",IF(D496=0,"",IF(E496=0,"",IF(G496/F496-1&lt;-0.25,G496/F496-1,IF(G496/F496-1&gt;0.25,G496/F496-1,""))))))</f>
        <v>-0.47017247486370473</v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v>0</v>
      </c>
      <c r="C497" s="240">
        <f>D71</f>
        <v>61.84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v>1420558.81</v>
      </c>
      <c r="C498" s="240">
        <f>E71</f>
        <v>449045.38999999996</v>
      </c>
      <c r="D498" s="240">
        <v>1880</v>
      </c>
      <c r="E498" s="180">
        <f>E59</f>
        <v>575</v>
      </c>
      <c r="F498" s="263">
        <f t="shared" si="15"/>
        <v>755.61638829787239</v>
      </c>
      <c r="G498" s="263">
        <f t="shared" si="15"/>
        <v>780.94850434782597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v>0</v>
      </c>
      <c r="C499" s="240">
        <f>F71</f>
        <v>0</v>
      </c>
      <c r="D499" s="240">
        <v>901</v>
      </c>
      <c r="E499" s="180">
        <f>F59</f>
        <v>289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v>77735</v>
      </c>
      <c r="C501" s="240">
        <f>H71</f>
        <v>16553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v>16800.239999999998</v>
      </c>
      <c r="C503" s="240">
        <f>J71</f>
        <v>4056.46</v>
      </c>
      <c r="D503" s="240">
        <v>805</v>
      </c>
      <c r="E503" s="180">
        <f>J59</f>
        <v>0</v>
      </c>
      <c r="F503" s="263">
        <f t="shared" si="15"/>
        <v>20.869863354037264</v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v>1675568.2899999998</v>
      </c>
      <c r="C508" s="240">
        <f>O71</f>
        <v>577472.00000000012</v>
      </c>
      <c r="D508" s="240">
        <v>435</v>
      </c>
      <c r="E508" s="180">
        <f>O59</f>
        <v>141</v>
      </c>
      <c r="F508" s="263">
        <f t="shared" si="15"/>
        <v>3851.881126436781</v>
      </c>
      <c r="G508" s="263">
        <f t="shared" si="15"/>
        <v>4095.5460992907811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v>833875.77999999991</v>
      </c>
      <c r="C509" s="240">
        <f>P71</f>
        <v>256859.21</v>
      </c>
      <c r="D509" s="240">
        <v>34440</v>
      </c>
      <c r="E509" s="180">
        <f>P59</f>
        <v>27525</v>
      </c>
      <c r="F509" s="263">
        <f t="shared" si="15"/>
        <v>24.21242102206736</v>
      </c>
      <c r="G509" s="263">
        <f t="shared" si="15"/>
        <v>9.3318514078110812</v>
      </c>
      <c r="H509" s="265">
        <f t="shared" si="16"/>
        <v>-0.61458412608528612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v>258018.85</v>
      </c>
      <c r="C510" s="240">
        <f>Q71</f>
        <v>61959.98</v>
      </c>
      <c r="D510" s="240">
        <v>30360</v>
      </c>
      <c r="E510" s="180">
        <f>Q59</f>
        <v>20940</v>
      </c>
      <c r="F510" s="263">
        <f t="shared" si="15"/>
        <v>8.4986445981554688</v>
      </c>
      <c r="G510" s="263">
        <f t="shared" si="15"/>
        <v>2.9589293218720156</v>
      </c>
      <c r="H510" s="265">
        <f t="shared" si="16"/>
        <v>-0.65183514998212577</v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v>17471.8</v>
      </c>
      <c r="C511" s="240">
        <f>R71</f>
        <v>136457.65000000002</v>
      </c>
      <c r="D511" s="240">
        <v>79635</v>
      </c>
      <c r="E511" s="180">
        <f>R59</f>
        <v>46770</v>
      </c>
      <c r="F511" s="263">
        <f t="shared" si="15"/>
        <v>0.21939850568217492</v>
      </c>
      <c r="G511" s="263">
        <f t="shared" si="15"/>
        <v>2.9176320290784696</v>
      </c>
      <c r="H511" s="265">
        <f t="shared" si="16"/>
        <v>12.298322247030296</v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v>424288.91000000003</v>
      </c>
      <c r="C512" s="240">
        <f>S71</f>
        <v>86711.950000000012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v>1578.02</v>
      </c>
      <c r="C513" s="240">
        <f>T71</f>
        <v>435.54999999999995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1486827.9800000002</v>
      </c>
      <c r="C514" s="240">
        <f>U71</f>
        <v>477399.36</v>
      </c>
      <c r="D514" s="240">
        <v>84784</v>
      </c>
      <c r="E514" s="180">
        <f>U59</f>
        <v>26433</v>
      </c>
      <c r="F514" s="263">
        <f t="shared" si="17"/>
        <v>17.536657624080018</v>
      </c>
      <c r="G514" s="263">
        <f t="shared" si="17"/>
        <v>18.06073317444104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v>472</v>
      </c>
      <c r="C515" s="240">
        <f>V71</f>
        <v>0</v>
      </c>
      <c r="D515" s="240">
        <v>56</v>
      </c>
      <c r="E515" s="180">
        <f>V59</f>
        <v>0</v>
      </c>
      <c r="F515" s="263">
        <f t="shared" si="17"/>
        <v>8.4285714285714288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v>8862.43</v>
      </c>
      <c r="C516" s="240">
        <f>W71</f>
        <v>11781</v>
      </c>
      <c r="D516" s="240">
        <v>0</v>
      </c>
      <c r="E516" s="180">
        <f>W59</f>
        <v>74</v>
      </c>
      <c r="F516" s="263" t="str">
        <f t="shared" si="17"/>
        <v/>
      </c>
      <c r="G516" s="263">
        <f t="shared" si="17"/>
        <v>159.20270270270271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v>46826.26</v>
      </c>
      <c r="C517" s="240">
        <f>X71</f>
        <v>23222.95</v>
      </c>
      <c r="D517" s="240">
        <v>3422</v>
      </c>
      <c r="E517" s="180">
        <f>X59</f>
        <v>1197</v>
      </c>
      <c r="F517" s="263">
        <f t="shared" si="17"/>
        <v>13.683886616014027</v>
      </c>
      <c r="G517" s="263">
        <f t="shared" si="17"/>
        <v>19.400960735171264</v>
      </c>
      <c r="H517" s="265">
        <f t="shared" si="16"/>
        <v>0.4177960750176517</v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v>1567518.02</v>
      </c>
      <c r="C518" s="240">
        <f>Y71</f>
        <v>398803.32000000007</v>
      </c>
      <c r="D518" s="240">
        <v>11937</v>
      </c>
      <c r="E518" s="180">
        <f>Y59</f>
        <v>3860</v>
      </c>
      <c r="F518" s="263">
        <f t="shared" si="17"/>
        <v>131.31591019519144</v>
      </c>
      <c r="G518" s="263">
        <f t="shared" si="17"/>
        <v>103.31692227979276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v>694476.02</v>
      </c>
      <c r="C521" s="240">
        <f>AB71</f>
        <v>214047.03999999998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v>505740.75</v>
      </c>
      <c r="C522" s="240">
        <f>AC71</f>
        <v>168177.29</v>
      </c>
      <c r="D522" s="240">
        <v>13037</v>
      </c>
      <c r="E522" s="180">
        <f>AC59</f>
        <v>3370</v>
      </c>
      <c r="F522" s="263">
        <f t="shared" si="17"/>
        <v>38.792724553194752</v>
      </c>
      <c r="G522" s="263">
        <f t="shared" si="17"/>
        <v>49.904240356083086</v>
      </c>
      <c r="H522" s="265">
        <f t="shared" si="16"/>
        <v>0.28643298275303142</v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v>7307.79</v>
      </c>
      <c r="C524" s="240">
        <f>AE71</f>
        <v>3973.75</v>
      </c>
      <c r="D524" s="240">
        <v>164</v>
      </c>
      <c r="E524" s="180">
        <f>AE59</f>
        <v>42</v>
      </c>
      <c r="F524" s="263">
        <f t="shared" si="17"/>
        <v>44.559695121951222</v>
      </c>
      <c r="G524" s="263">
        <f t="shared" si="17"/>
        <v>94.613095238095241</v>
      </c>
      <c r="H524" s="265">
        <f t="shared" si="16"/>
        <v>1.1232886575897254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v>2310466.7999999998</v>
      </c>
      <c r="C526" s="240">
        <f>AG71</f>
        <v>816249.5</v>
      </c>
      <c r="D526" s="240">
        <v>22721</v>
      </c>
      <c r="E526" s="180">
        <f>AG59</f>
        <v>6762</v>
      </c>
      <c r="F526" s="263">
        <f t="shared" si="17"/>
        <v>101.68860525505039</v>
      </c>
      <c r="G526" s="263">
        <f t="shared" si="17"/>
        <v>120.71125406684413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v>2018.2</v>
      </c>
      <c r="C531" s="240">
        <f>AL71</f>
        <v>532.87</v>
      </c>
      <c r="D531" s="240">
        <v>20</v>
      </c>
      <c r="E531" s="180">
        <f>AL59</f>
        <v>0</v>
      </c>
      <c r="F531" s="263">
        <f t="shared" si="18"/>
        <v>100.91</v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v>374053.42000000004</v>
      </c>
      <c r="C541" s="240">
        <f>AV71</f>
        <v>365990.33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v>43348.090000000004</v>
      </c>
      <c r="C543" s="240">
        <f>AX71</f>
        <v>13171.51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v>328307.67</v>
      </c>
      <c r="C544" s="240">
        <f>AY71</f>
        <v>96407.97</v>
      </c>
      <c r="D544" s="240">
        <v>11641</v>
      </c>
      <c r="E544" s="180">
        <f>AY59</f>
        <v>0</v>
      </c>
      <c r="F544" s="263">
        <f t="shared" ref="F544:G550" si="19">IF(B544=0,"",IF(D544=0,"",B544/D544))</f>
        <v>28.202703375998624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v>106328.37</v>
      </c>
      <c r="C546" s="240">
        <f>BA71</f>
        <v>34363.5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v>48080.97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v>153438.23000000001</v>
      </c>
      <c r="C549" s="240">
        <f>BD71</f>
        <v>53440.31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v>918900.71</v>
      </c>
      <c r="C550" s="240">
        <f>BE71</f>
        <v>257427.6</v>
      </c>
      <c r="D550" s="240">
        <v>67629</v>
      </c>
      <c r="E550" s="180">
        <f>BE59</f>
        <v>67629</v>
      </c>
      <c r="F550" s="263">
        <f t="shared" si="19"/>
        <v>13.587376864954383</v>
      </c>
      <c r="G550" s="263">
        <f t="shared" si="19"/>
        <v>3.8064676396220558</v>
      </c>
      <c r="H550" s="265">
        <f t="shared" si="16"/>
        <v>-0.71985264871544175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v>350083.86000000004</v>
      </c>
      <c r="C551" s="240">
        <f>BF71</f>
        <v>102722.87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v>74090.200000000012</v>
      </c>
      <c r="C552" s="240">
        <f>BG71</f>
        <v>17330.079999999998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v>335389.18</v>
      </c>
      <c r="C553" s="240">
        <f>BH71</f>
        <v>77707.8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v>57398.85</v>
      </c>
      <c r="C555" s="240">
        <f>BJ71</f>
        <v>3212.87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v>467538.18000000005</v>
      </c>
      <c r="C556" s="240">
        <f>BK71</f>
        <v>121542.01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v>367683.64</v>
      </c>
      <c r="C557" s="240">
        <f>BL71</f>
        <v>126457.74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v>1608345.73</v>
      </c>
      <c r="C559" s="240">
        <f>BN71</f>
        <v>704863.80000000016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v>68708.08</v>
      </c>
      <c r="C561" s="240">
        <f>BP71</f>
        <v>40.4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v>36532.01</v>
      </c>
      <c r="C563" s="240">
        <f>BR71</f>
        <v>22424.5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v>6023</v>
      </c>
      <c r="C564" s="240">
        <f>BS71</f>
        <v>1283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v>7629</v>
      </c>
      <c r="C565" s="240">
        <f>BT71</f>
        <v>1625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v>408199.80000000005</v>
      </c>
      <c r="C567" s="240">
        <f>BV71</f>
        <v>126743.66999999998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v>78047.89</v>
      </c>
      <c r="C568" s="240">
        <f>BW71</f>
        <v>4470.79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v>318280.21999999997</v>
      </c>
      <c r="C569" s="240">
        <f>BX71</f>
        <v>104979.48000000001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v>507654.99000000005</v>
      </c>
      <c r="C570" s="240">
        <f>BY71</f>
        <v>99895.400000000009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v>1814.45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v>188315</v>
      </c>
      <c r="C574" s="240">
        <f>CC71</f>
        <v>40100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-472152.68</v>
      </c>
      <c r="C575" s="240">
        <f>CD71</f>
        <v>860719.34000000008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64522</v>
      </c>
      <c r="E612" s="180">
        <f>SUM(C624:D647)+SUM(C668:D713)</f>
        <v>6265744.7621747628</v>
      </c>
      <c r="F612" s="180">
        <f>CE64-(AX64+BD64+BE64+BG64+BJ64+BN64+BP64+BQ64+CB64+CC64+CD64)</f>
        <v>422581.56000000006</v>
      </c>
      <c r="G612" s="180">
        <f>CE77-(AX77+AY77+BD77+BE77+BG77+BJ77+BN77+BP77+BQ77+CB77+CC77+CD77)</f>
        <v>3639</v>
      </c>
      <c r="H612" s="197">
        <f>CE60-(AX60+AY60+AZ60+BD60+BE60+BG60+BJ60+BN60+BO60+BP60+BQ60+BR60+CB60+CC60+CD60)</f>
        <v>114.61000000000001</v>
      </c>
      <c r="I612" s="180">
        <f>CE78-(AX78+AY78+AZ78+BD78+BE78+BF78+BG78+BJ78+BN78+BO78+BP78+BQ78+BR78+CB78+CC78+CD78)</f>
        <v>3414</v>
      </c>
      <c r="J612" s="180">
        <f>CE79-(AX79+AY79+AZ79+BA79+BD79+BE79+BF79+BG79+BJ79+BN79+BO79+BP79+BQ79+BR79+CB79+CC79+CD79)</f>
        <v>62707</v>
      </c>
      <c r="K612" s="180">
        <f>CE75-(AW75+AX75+AY75+AZ75+BA75+BB75+BC75+BD75+BE75+BF75+BG75+BH75+BI75+BJ75+BK75+BL75+BM75+BN75+BO75+BP75+BQ75+BR75+BS75+BT75+BU75+BV75+BW75+BX75+CB75+CC75+CD75)</f>
        <v>33808824.480000004</v>
      </c>
      <c r="L612" s="197">
        <f>CE80-(AW80+AX80+AY80+AZ80+BA80+BB80+BC80+BD80+BE80+BF80+BG80+BH80+BI80+BJ80+BK80+BL80+BM80+BN80+BO80+BP80+BQ80+BR80+BS80+BT80+BU80+BV80+BW80+BX80+BY80+BZ80+CA80+CB80+CC80+CD80)</f>
        <v>49.8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257427.6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860719.34000000008</v>
      </c>
      <c r="D615" s="266">
        <f>SUM(C614:C615)</f>
        <v>1118146.9400000002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13171.51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3212.87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17330.079999999998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704863.80000000016</v>
      </c>
      <c r="D619" s="180">
        <f>(D615/D612)*BN76</f>
        <v>12356.076504448098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40100</v>
      </c>
      <c r="D620" s="180">
        <f>(D615/D612)*CC76</f>
        <v>162552.59132078986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40.4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953627.32782523811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53440.31</v>
      </c>
      <c r="D624" s="180">
        <f>(D615/D612)*BD76</f>
        <v>36877.602807104558</v>
      </c>
      <c r="E624" s="180">
        <f>(E623/E612)*SUM(C624:D624)</f>
        <v>13746.11209268241</v>
      </c>
      <c r="F624" s="180">
        <f>SUM(C624:E624)</f>
        <v>104064.02489978696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96407.97</v>
      </c>
      <c r="D625" s="180">
        <f>(D615/D612)*AY76</f>
        <v>28819.292043334062</v>
      </c>
      <c r="E625" s="180">
        <f>(E623/E612)*SUM(C625:D625)</f>
        <v>19059.20904952507</v>
      </c>
      <c r="F625" s="180">
        <f>(F624/F612)*AY64</f>
        <v>11390.723175489173</v>
      </c>
      <c r="G625" s="180">
        <f>SUM(C625:F625)</f>
        <v>155677.19426834831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22424.5</v>
      </c>
      <c r="D626" s="180">
        <f>(D615/D612)*BR76</f>
        <v>7070.5178314373406</v>
      </c>
      <c r="E626" s="180">
        <f>(E623/E612)*SUM(C626:D626)</f>
        <v>4489.0521568243257</v>
      </c>
      <c r="F626" s="180">
        <f>(F624/F612)*BR64</f>
        <v>502.36600668416622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34486.435994945838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102722.87</v>
      </c>
      <c r="D629" s="180">
        <f>(D615/D612)*BF76</f>
        <v>23360.436364650821</v>
      </c>
      <c r="E629" s="180">
        <f>(E623/E612)*SUM(C629:D629)</f>
        <v>19189.496395981536</v>
      </c>
      <c r="F629" s="180">
        <f>(F624/F612)*BF64</f>
        <v>2572.1829064199269</v>
      </c>
      <c r="G629" s="180">
        <f>(G625/G612)*BF77</f>
        <v>0</v>
      </c>
      <c r="H629" s="180">
        <f>(H628/H612)*BF60</f>
        <v>1949.848226570535</v>
      </c>
      <c r="I629" s="180">
        <f>SUM(C629:H629)</f>
        <v>149794.83389362282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34363.5</v>
      </c>
      <c r="D630" s="180">
        <f>(D615/D612)*BA76</f>
        <v>0</v>
      </c>
      <c r="E630" s="180">
        <f>(E623/E612)*SUM(C630:D630)</f>
        <v>5230.0203604764329</v>
      </c>
      <c r="F630" s="180">
        <f>(F624/F612)*BA64</f>
        <v>709.31863823186541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40302.838998708299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121542.01</v>
      </c>
      <c r="D635" s="180">
        <f>(D615/D612)*BK76</f>
        <v>24504.196602089214</v>
      </c>
      <c r="E635" s="180">
        <f>(E623/E612)*SUM(C635:D635)</f>
        <v>22227.789197819613</v>
      </c>
      <c r="F635" s="180">
        <f>(F624/F612)*BK64</f>
        <v>0</v>
      </c>
      <c r="G635" s="180">
        <f>(G625/G612)*BK77</f>
        <v>0</v>
      </c>
      <c r="H635" s="180">
        <f>(H628/H612)*BK60</f>
        <v>51.153425697066503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77707.8</v>
      </c>
      <c r="D636" s="180">
        <f>(D615/D612)*BH76</f>
        <v>9704.6323176590959</v>
      </c>
      <c r="E636" s="180">
        <f>(E623/E612)*SUM(C636:D636)</f>
        <v>13303.906784236915</v>
      </c>
      <c r="F636" s="180">
        <f>(F624/F612)*BH64</f>
        <v>0</v>
      </c>
      <c r="G636" s="180">
        <f>(G625/G612)*BH77</f>
        <v>0</v>
      </c>
      <c r="H636" s="180">
        <f>(H628/H612)*BH60</f>
        <v>66.198550902086055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126457.74</v>
      </c>
      <c r="D637" s="180">
        <f>(D615/D612)*BL76</f>
        <v>0</v>
      </c>
      <c r="E637" s="180">
        <f>(E623/E612)*SUM(C637:D637)</f>
        <v>19246.484058371094</v>
      </c>
      <c r="F637" s="180">
        <f>(F624/F612)*BL64</f>
        <v>757.87822296620402</v>
      </c>
      <c r="G637" s="180">
        <f>(G625/G612)*BL77</f>
        <v>0</v>
      </c>
      <c r="H637" s="180">
        <f>(H628/H612)*BL60</f>
        <v>2593.7795853453717</v>
      </c>
      <c r="I637" s="180">
        <f>(I629/I612)*BL78</f>
        <v>5265.1962704261095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1283</v>
      </c>
      <c r="D639" s="180">
        <f>(D615/D612)*BS76</f>
        <v>5198.9101701745149</v>
      </c>
      <c r="E639" s="180">
        <f>(E623/E612)*SUM(C639:D639)</f>
        <v>986.5270465695279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1625</v>
      </c>
      <c r="D640" s="180">
        <f>(D615/D612)*BT76</f>
        <v>6585.2862155543862</v>
      </c>
      <c r="E640" s="180">
        <f>(E623/E612)*SUM(C640:D640)</f>
        <v>1249.5806327262485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126743.66999999998</v>
      </c>
      <c r="D642" s="180">
        <f>(D615/D612)*BV76</f>
        <v>23568.392771457802</v>
      </c>
      <c r="E642" s="180">
        <f>(E623/E612)*SUM(C642:D642)</f>
        <v>22877.039554176255</v>
      </c>
      <c r="F642" s="180">
        <f>(F624/F612)*BV64</f>
        <v>30.612312887700345</v>
      </c>
      <c r="G642" s="180">
        <f>(G625/G612)*BV77</f>
        <v>0</v>
      </c>
      <c r="H642" s="180">
        <f>(H628/H612)*BV60</f>
        <v>857.57213668611485</v>
      </c>
      <c r="I642" s="180">
        <f>(I629/I612)*BV78</f>
        <v>1316.2990676065274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4470.79</v>
      </c>
      <c r="D643" s="180">
        <f>(D615/D612)*BW76</f>
        <v>0</v>
      </c>
      <c r="E643" s="180">
        <f>(E623/E612)*SUM(C643:D643)</f>
        <v>680.44066312844825</v>
      </c>
      <c r="F643" s="180">
        <f>(F624/F612)*BW64</f>
        <v>26.642636403509776</v>
      </c>
      <c r="G643" s="180">
        <f>(G625/G612)*BW77</f>
        <v>0</v>
      </c>
      <c r="H643" s="180">
        <f>(H628/H612)*BW60</f>
        <v>66.198550902086055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104979.48000000001</v>
      </c>
      <c r="D644" s="180">
        <f>(D615/D612)*BX76</f>
        <v>5614.8229837884764</v>
      </c>
      <c r="E644" s="180">
        <f>(E623/E612)*SUM(C644:D644)</f>
        <v>16832.117111409294</v>
      </c>
      <c r="F644" s="180">
        <f>(F624/F612)*BX64</f>
        <v>37.75132785523661</v>
      </c>
      <c r="G644" s="180">
        <f>(G625/G612)*BX77</f>
        <v>0</v>
      </c>
      <c r="H644" s="180">
        <f>(H628/H612)*BX60</f>
        <v>324.97470442842251</v>
      </c>
      <c r="I644" s="180">
        <f>(I629/I612)*BX78</f>
        <v>0</v>
      </c>
      <c r="J644" s="180">
        <f>(J630/J612)*BX79</f>
        <v>0</v>
      </c>
      <c r="K644" s="180">
        <f>SUM(C631:J644)</f>
        <v>748783.87290126726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99895.400000000009</v>
      </c>
      <c r="D645" s="180">
        <f>(D615/D612)*BY76</f>
        <v>0</v>
      </c>
      <c r="E645" s="180">
        <f>(E623/E612)*SUM(C645:D645)</f>
        <v>15203.776562862848</v>
      </c>
      <c r="F645" s="180">
        <f>(F624/F612)*BY64</f>
        <v>0</v>
      </c>
      <c r="G645" s="180">
        <f>(G625/G612)*BY77</f>
        <v>0</v>
      </c>
      <c r="H645" s="180">
        <f>(H628/H612)*BY60</f>
        <v>469.40790639661026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115568.58446925945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2870929.64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278652.01</v>
      </c>
      <c r="D668" s="180">
        <f>(D615/D612)*C76</f>
        <v>51989.101701745152</v>
      </c>
      <c r="E668" s="180">
        <f>(E623/E612)*SUM(C668:D668)</f>
        <v>50322.573259728779</v>
      </c>
      <c r="F668" s="180">
        <f>(F624/F612)*C64</f>
        <v>3834.921728054469</v>
      </c>
      <c r="G668" s="180">
        <f>(G625/G612)*C77</f>
        <v>21176.205320921246</v>
      </c>
      <c r="H668" s="180">
        <f>(H628/H612)*C60</f>
        <v>1925.7760262425036</v>
      </c>
      <c r="I668" s="180">
        <f>(I629/I612)*C78</f>
        <v>24132.149572786337</v>
      </c>
      <c r="J668" s="180">
        <f>(J630/J612)*C79</f>
        <v>8060.3107130432127</v>
      </c>
      <c r="K668" s="180">
        <f>(K644/K612)*C75</f>
        <v>4783.8291262233915</v>
      </c>
      <c r="L668" s="180">
        <f>(L647/L612)*C80</f>
        <v>21814.150482149376</v>
      </c>
      <c r="M668" s="180">
        <f t="shared" ref="M668:M713" si="20">ROUND(SUM(D668:L668),0)</f>
        <v>188039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61.84</v>
      </c>
      <c r="D669" s="180">
        <f>(D615/D612)*D76</f>
        <v>0</v>
      </c>
      <c r="E669" s="180">
        <f>(E623/E612)*SUM(C669:D669)</f>
        <v>9.4118602322773466</v>
      </c>
      <c r="F669" s="180">
        <f>(F624/F612)*D64</f>
        <v>15.228585222229823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25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449045.38999999996</v>
      </c>
      <c r="D670" s="180">
        <f>(D615/D612)*E76</f>
        <v>161911.39239980164</v>
      </c>
      <c r="E670" s="180">
        <f>(E623/E612)*SUM(C670:D670)</f>
        <v>92985.767204217598</v>
      </c>
      <c r="F670" s="180">
        <f>(F624/F612)*E64</f>
        <v>387.60246251993971</v>
      </c>
      <c r="G670" s="180">
        <f>(G625/G612)*E77</f>
        <v>84662.041070915438</v>
      </c>
      <c r="H670" s="180">
        <f>(H628/H612)*E60</f>
        <v>4062.183805355281</v>
      </c>
      <c r="I670" s="180">
        <f>(I629/I612)*E78</f>
        <v>21367.921530812629</v>
      </c>
      <c r="J670" s="180">
        <f>(J630/J612)*E79</f>
        <v>0</v>
      </c>
      <c r="K670" s="180">
        <f>(K644/K612)*E75</f>
        <v>23403.428664404892</v>
      </c>
      <c r="L670" s="180">
        <f>(L647/L612)*E80</f>
        <v>11835.336963719341</v>
      </c>
      <c r="M670" s="180">
        <f t="shared" si="20"/>
        <v>400616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47528.816386956569</v>
      </c>
      <c r="H671" s="180">
        <f>(H628/H612)*F60</f>
        <v>0</v>
      </c>
      <c r="I671" s="180">
        <f>(I629/I612)*F78</f>
        <v>26325.981352130548</v>
      </c>
      <c r="J671" s="180">
        <f>(J630/J612)*F79</f>
        <v>8866.9202294190382</v>
      </c>
      <c r="K671" s="180">
        <f>(K644/K612)*F75</f>
        <v>7481.945592823271</v>
      </c>
      <c r="L671" s="180">
        <f>(L647/L612)*F80</f>
        <v>0</v>
      </c>
      <c r="M671" s="180">
        <f t="shared" si="20"/>
        <v>90204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16553</v>
      </c>
      <c r="D673" s="180">
        <f>(D615/D612)*H76</f>
        <v>67100.600596385746</v>
      </c>
      <c r="E673" s="180">
        <f>(E623/E612)*SUM(C673:D673)</f>
        <v>12731.824009378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79832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4056.46</v>
      </c>
      <c r="D675" s="180">
        <f>(D615/D612)*J76</f>
        <v>12130.790397073868</v>
      </c>
      <c r="E675" s="180">
        <f>(E623/E612)*SUM(C675:D675)</f>
        <v>2463.6503603191336</v>
      </c>
      <c r="F675" s="180">
        <f>(F624/F612)*J64</f>
        <v>223.09237080166014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5711.6358301250912</v>
      </c>
      <c r="L675" s="180">
        <f>(L647/L612)*J80</f>
        <v>0</v>
      </c>
      <c r="M675" s="180">
        <f t="shared" si="20"/>
        <v>20529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577472.00000000012</v>
      </c>
      <c r="D680" s="180">
        <f>(D615/D612)*O76</f>
        <v>153627.79552865692</v>
      </c>
      <c r="E680" s="180">
        <f>(E623/E612)*SUM(C680:D680)</f>
        <v>111271.16900650496</v>
      </c>
      <c r="F680" s="180">
        <f>(F624/F612)*O64</f>
        <v>27.49222597363741</v>
      </c>
      <c r="G680" s="180">
        <f>(G625/G612)*O77</f>
        <v>0</v>
      </c>
      <c r="H680" s="180">
        <f>(H628/H612)*O60</f>
        <v>4393.1765598657112</v>
      </c>
      <c r="I680" s="180">
        <f>(I629/I612)*O78</f>
        <v>0</v>
      </c>
      <c r="J680" s="180">
        <f>(J630/J612)*O79</f>
        <v>0</v>
      </c>
      <c r="K680" s="180">
        <f>(K644/K612)*O75</f>
        <v>18922.70144395305</v>
      </c>
      <c r="L680" s="180">
        <f>(L647/L612)*O80</f>
        <v>31560.898569918241</v>
      </c>
      <c r="M680" s="180">
        <f t="shared" si="20"/>
        <v>319803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256859.21</v>
      </c>
      <c r="D681" s="180">
        <f>(D615/D612)*P76</f>
        <v>42457.766389758544</v>
      </c>
      <c r="E681" s="180">
        <f>(E623/E612)*SUM(C681:D681)</f>
        <v>45555.134976200934</v>
      </c>
      <c r="F681" s="180">
        <f>(F624/F612)*P64</f>
        <v>5307.7209552584527</v>
      </c>
      <c r="G681" s="180">
        <f>(G625/G612)*P77</f>
        <v>0</v>
      </c>
      <c r="H681" s="180">
        <f>(H628/H612)*P60</f>
        <v>1730.1893985772492</v>
      </c>
      <c r="I681" s="180">
        <f>(I629/I612)*P78</f>
        <v>15356.822455409487</v>
      </c>
      <c r="J681" s="180">
        <f>(J630/J612)*P79</f>
        <v>4030.4767148946644</v>
      </c>
      <c r="K681" s="180">
        <f>(K644/K612)*P75</f>
        <v>50993.830696903191</v>
      </c>
      <c r="L681" s="180">
        <f>(L647/L612)*P80</f>
        <v>16244.580146281449</v>
      </c>
      <c r="M681" s="180">
        <f t="shared" si="20"/>
        <v>181677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61959.98</v>
      </c>
      <c r="D682" s="180">
        <f>(D615/D612)*Q76</f>
        <v>48609.810091131716</v>
      </c>
      <c r="E682" s="180">
        <f>(E623/E612)*SUM(C682:D682)</f>
        <v>16828.386323576593</v>
      </c>
      <c r="F682" s="180">
        <f>(F624/F612)*Q64</f>
        <v>900.0798163778569</v>
      </c>
      <c r="G682" s="180">
        <f>(G625/G612)*Q77</f>
        <v>128.34063830861362</v>
      </c>
      <c r="H682" s="180">
        <f>(H628/H612)*Q60</f>
        <v>306.92055418239903</v>
      </c>
      <c r="I682" s="180">
        <f>(I629/I612)*Q78</f>
        <v>2939.7345843212447</v>
      </c>
      <c r="J682" s="180">
        <f>(J630/J612)*Q79</f>
        <v>402.98339981485481</v>
      </c>
      <c r="K682" s="180">
        <f>(K644/K612)*Q75</f>
        <v>2719.5903237556381</v>
      </c>
      <c r="L682" s="180">
        <f>(L647/L612)*Q80</f>
        <v>6961.9629198349066</v>
      </c>
      <c r="M682" s="180">
        <f t="shared" si="20"/>
        <v>79798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136457.65000000002</v>
      </c>
      <c r="D683" s="180">
        <f>(D615/D612)*R76</f>
        <v>2772.7520907597413</v>
      </c>
      <c r="E683" s="180">
        <f>(E623/E612)*SUM(C683:D683)</f>
        <v>21190.444446345515</v>
      </c>
      <c r="F683" s="180">
        <f>(F624/F612)*R64</f>
        <v>512.46504096559647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7901.562630319766</v>
      </c>
      <c r="L683" s="180">
        <f>(L647/L612)*R80</f>
        <v>0</v>
      </c>
      <c r="M683" s="180">
        <f t="shared" si="20"/>
        <v>32377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86711.950000000012</v>
      </c>
      <c r="D684" s="180">
        <f>(D615/D612)*S76</f>
        <v>0</v>
      </c>
      <c r="E684" s="180">
        <f>(E623/E612)*SUM(C684:D684)</f>
        <v>13197.295502396859</v>
      </c>
      <c r="F684" s="180">
        <f>(F624/F612)*S64</f>
        <v>18436.990050330605</v>
      </c>
      <c r="G684" s="180">
        <f>(G625/G612)*S77</f>
        <v>0</v>
      </c>
      <c r="H684" s="180">
        <f>(H628/H612)*S60</f>
        <v>0</v>
      </c>
      <c r="I684" s="180">
        <f>(I629/I612)*S78</f>
        <v>1535.6822455409488</v>
      </c>
      <c r="J684" s="180">
        <f>(J630/J612)*S79</f>
        <v>402.98339981485481</v>
      </c>
      <c r="K684" s="180">
        <f>(K644/K612)*S75</f>
        <v>9225.1179174833851</v>
      </c>
      <c r="L684" s="180">
        <f>(L647/L612)*S80</f>
        <v>0</v>
      </c>
      <c r="M684" s="180">
        <f t="shared" si="20"/>
        <v>42798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435.54999999999995</v>
      </c>
      <c r="D685" s="180">
        <f>(D615/D612)*T76</f>
        <v>0</v>
      </c>
      <c r="E685" s="180">
        <f>(E623/E612)*SUM(C685:D685)</f>
        <v>66.289387518893889</v>
      </c>
      <c r="F685" s="180">
        <f>(F624/F612)*T64</f>
        <v>107.25760500553361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23757.594046174625</v>
      </c>
      <c r="L685" s="180">
        <f>(L647/L612)*T80</f>
        <v>0</v>
      </c>
      <c r="M685" s="180">
        <f t="shared" si="20"/>
        <v>23931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477399.36</v>
      </c>
      <c r="D686" s="180">
        <f>(D615/D612)*U76</f>
        <v>47500.709254827823</v>
      </c>
      <c r="E686" s="180">
        <f>(E623/E612)*SUM(C686:D686)</f>
        <v>79888.19676162902</v>
      </c>
      <c r="F686" s="180">
        <f>(F624/F612)*U64</f>
        <v>20236.268079996156</v>
      </c>
      <c r="G686" s="180">
        <f>(G625/G612)*U77</f>
        <v>0</v>
      </c>
      <c r="H686" s="180">
        <f>(H628/H612)*U60</f>
        <v>3153.4582429720999</v>
      </c>
      <c r="I686" s="180">
        <f>(I629/I612)*U78</f>
        <v>5923.3458042293732</v>
      </c>
      <c r="J686" s="180">
        <f>(J630/J612)*U79</f>
        <v>0</v>
      </c>
      <c r="K686" s="180">
        <f>(K644/K612)*U75</f>
        <v>100423.31798650802</v>
      </c>
      <c r="L686" s="180">
        <f>(L647/L612)*U80</f>
        <v>0</v>
      </c>
      <c r="M686" s="180">
        <f t="shared" si="20"/>
        <v>257125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8848.2561317695963</v>
      </c>
      <c r="L687" s="180">
        <f>(L647/L612)*V80</f>
        <v>0</v>
      </c>
      <c r="M687" s="180">
        <f t="shared" si="20"/>
        <v>8848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11781</v>
      </c>
      <c r="D688" s="180">
        <f>(D615/D612)*W76</f>
        <v>0</v>
      </c>
      <c r="E688" s="180">
        <f>(E623/E612)*SUM(C688:D688)</f>
        <v>1793.0324287913877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4088.5707542840141</v>
      </c>
      <c r="L688" s="180">
        <f>(L647/L612)*W80</f>
        <v>0</v>
      </c>
      <c r="M688" s="180">
        <f t="shared" si="20"/>
        <v>5882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23222.95</v>
      </c>
      <c r="D689" s="180">
        <f>(D615/D612)*X76</f>
        <v>0</v>
      </c>
      <c r="E689" s="180">
        <f>(E623/E612)*SUM(C689:D689)</f>
        <v>3534.4624770563587</v>
      </c>
      <c r="F689" s="180">
        <f>(F624/F612)*X64</f>
        <v>792.77788495996879</v>
      </c>
      <c r="G689" s="180">
        <f>(G625/G612)*X77</f>
        <v>0</v>
      </c>
      <c r="H689" s="180">
        <f>(H628/H612)*X60</f>
        <v>198.59565270625819</v>
      </c>
      <c r="I689" s="180">
        <f>(I629/I612)*X78</f>
        <v>0</v>
      </c>
      <c r="J689" s="180">
        <f>(J630/J612)*X79</f>
        <v>0</v>
      </c>
      <c r="K689" s="180">
        <f>(K644/K612)*X75</f>
        <v>120455.30744671304</v>
      </c>
      <c r="L689" s="180">
        <f>(L647/L612)*X80</f>
        <v>0</v>
      </c>
      <c r="M689" s="180">
        <f t="shared" si="20"/>
        <v>124981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398803.32000000007</v>
      </c>
      <c r="D690" s="180">
        <f>(D615/D612)*Y76</f>
        <v>70670.518913238906</v>
      </c>
      <c r="E690" s="180">
        <f>(E623/E612)*SUM(C690:D690)</f>
        <v>71452.492796929087</v>
      </c>
      <c r="F690" s="180">
        <f>(F624/F612)*Y64</f>
        <v>1995.0653304568496</v>
      </c>
      <c r="G690" s="180">
        <f>(G625/G612)*Y77</f>
        <v>0</v>
      </c>
      <c r="H690" s="180">
        <f>(H628/H612)*Y60</f>
        <v>3066.1965167829867</v>
      </c>
      <c r="I690" s="180">
        <f>(I629/I612)*Y78</f>
        <v>8775.3271173768499</v>
      </c>
      <c r="J690" s="180">
        <f>(J630/J612)*Y79</f>
        <v>2820.8837987039838</v>
      </c>
      <c r="K690" s="180">
        <f>(K644/K612)*Y75</f>
        <v>73059.993832046137</v>
      </c>
      <c r="L690" s="180">
        <f>(L647/L612)*Y80</f>
        <v>0</v>
      </c>
      <c r="M690" s="180">
        <f t="shared" si="20"/>
        <v>231840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214047.03999999998</v>
      </c>
      <c r="D693" s="180">
        <f>(D615/D612)*AB76</f>
        <v>18404.142002417782</v>
      </c>
      <c r="E693" s="180">
        <f>(E623/E612)*SUM(C693:D693)</f>
        <v>35378.364098227998</v>
      </c>
      <c r="F693" s="180">
        <f>(F624/F612)*AB64</f>
        <v>19460.124912561441</v>
      </c>
      <c r="G693" s="180">
        <f>(G625/G612)*AB77</f>
        <v>0</v>
      </c>
      <c r="H693" s="180">
        <f>(H628/H612)*AB60</f>
        <v>1056.1677893923729</v>
      </c>
      <c r="I693" s="180">
        <f>(I629/I612)*AB78</f>
        <v>1755.0654234753699</v>
      </c>
      <c r="J693" s="180">
        <f>(J630/J612)*AB79</f>
        <v>0</v>
      </c>
      <c r="K693" s="180">
        <f>(K644/K612)*AB75</f>
        <v>50974.31756560193</v>
      </c>
      <c r="L693" s="180">
        <f>(L647/L612)*AB80</f>
        <v>0</v>
      </c>
      <c r="M693" s="180">
        <f t="shared" si="20"/>
        <v>127028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168177.29</v>
      </c>
      <c r="D694" s="180">
        <f>(D615/D612)*AC76</f>
        <v>14591.607877623139</v>
      </c>
      <c r="E694" s="180">
        <f>(E623/E612)*SUM(C694:D694)</f>
        <v>27816.871307108035</v>
      </c>
      <c r="F694" s="180">
        <f>(F624/F612)*AC64</f>
        <v>1924.4016414284076</v>
      </c>
      <c r="G694" s="180">
        <f>(G625/G612)*AC77</f>
        <v>0</v>
      </c>
      <c r="H694" s="180">
        <f>(H628/H612)*AC60</f>
        <v>1576.72912148605</v>
      </c>
      <c r="I694" s="180">
        <f>(I629/I612)*AC78</f>
        <v>0</v>
      </c>
      <c r="J694" s="180">
        <f>(J630/J612)*AC79</f>
        <v>0</v>
      </c>
      <c r="K694" s="180">
        <f>(K644/K612)*AC75</f>
        <v>20991.443736709436</v>
      </c>
      <c r="L694" s="180">
        <f>(L647/L612)*AC80</f>
        <v>0</v>
      </c>
      <c r="M694" s="180">
        <f t="shared" si="20"/>
        <v>66901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3973.75</v>
      </c>
      <c r="D696" s="180">
        <f>(D615/D612)*AE76</f>
        <v>0</v>
      </c>
      <c r="E696" s="180">
        <f>(E623/E612)*SUM(C696:D696)</f>
        <v>604.79268431455534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308.39584343109721</v>
      </c>
      <c r="L696" s="180">
        <f>(L647/L612)*AE80</f>
        <v>0</v>
      </c>
      <c r="M696" s="180">
        <f t="shared" si="20"/>
        <v>913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816249.5</v>
      </c>
      <c r="D698" s="180">
        <f>(D615/D612)*AG76</f>
        <v>80167.194824091028</v>
      </c>
      <c r="E698" s="180">
        <f>(E623/E612)*SUM(C698:D698)</f>
        <v>136431.89911973415</v>
      </c>
      <c r="F698" s="180">
        <f>(F624/F612)*AG64</f>
        <v>8312.9162710770252</v>
      </c>
      <c r="G698" s="180">
        <f>(G625/G612)*AG77</f>
        <v>2181.7908512464314</v>
      </c>
      <c r="H698" s="180">
        <f>(H628/H612)*AG60</f>
        <v>5855.5627297936126</v>
      </c>
      <c r="I698" s="180">
        <f>(I629/I612)*AG78</f>
        <v>35101.308469507399</v>
      </c>
      <c r="J698" s="180">
        <f>(J630/J612)*AG79</f>
        <v>15718.280743017687</v>
      </c>
      <c r="K698" s="180">
        <f>(K644/K612)*AG75</f>
        <v>194280.19299227858</v>
      </c>
      <c r="L698" s="180">
        <f>(L647/L612)*AG80</f>
        <v>27151.655387356135</v>
      </c>
      <c r="M698" s="180">
        <f t="shared" si="20"/>
        <v>505201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532.87</v>
      </c>
      <c r="D703" s="180">
        <f>(D615/D612)*AL76</f>
        <v>0</v>
      </c>
      <c r="E703" s="180">
        <f>(E623/E612)*SUM(C703:D703)</f>
        <v>81.101196021565812</v>
      </c>
      <c r="F703" s="180">
        <f>(F624/F612)*AL64</f>
        <v>0</v>
      </c>
      <c r="G703" s="180">
        <f>(G625/G612)*AL77</f>
        <v>0</v>
      </c>
      <c r="H703" s="180">
        <f>(H628/H612)*AL60</f>
        <v>6.0180500820078242</v>
      </c>
      <c r="I703" s="180">
        <f>(I629/I612)*AL78</f>
        <v>0</v>
      </c>
      <c r="J703" s="180">
        <f>(J630/J612)*AL79</f>
        <v>0</v>
      </c>
      <c r="K703" s="180">
        <f>(K644/K612)*AL75</f>
        <v>286.70427549764065</v>
      </c>
      <c r="L703" s="180">
        <f>(L647/L612)*AL80</f>
        <v>0</v>
      </c>
      <c r="M703" s="180">
        <f t="shared" si="20"/>
        <v>374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8411.8926395079616</v>
      </c>
      <c r="L706" s="180">
        <f>(L647/L612)*AO80</f>
        <v>0</v>
      </c>
      <c r="M706" s="180">
        <f t="shared" si="20"/>
        <v>8412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1497.745392481716</v>
      </c>
      <c r="L708" s="180">
        <f>(L647/L612)*AQ80</f>
        <v>0</v>
      </c>
      <c r="M708" s="180">
        <f t="shared" si="20"/>
        <v>1498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365990.33</v>
      </c>
      <c r="D713" s="180">
        <f>(D615/D612)*AV76</f>
        <v>0</v>
      </c>
      <c r="E713" s="180">
        <f>(E623/E612)*SUM(C713:D713)</f>
        <v>55702.616952216413</v>
      </c>
      <c r="F713" s="180">
        <f>(F624/F612)*AV64</f>
        <v>5562.1447118593405</v>
      </c>
      <c r="G713" s="180">
        <f>(G625/G612)*AV77</f>
        <v>0</v>
      </c>
      <c r="H713" s="180">
        <f>(H628/H612)*AV60</f>
        <v>776.32846057900929</v>
      </c>
      <c r="I713" s="180">
        <f>(I629/I612)*AV78</f>
        <v>0</v>
      </c>
      <c r="J713" s="180">
        <f>(J630/J612)*AV79</f>
        <v>0</v>
      </c>
      <c r="K713" s="180">
        <f>(K644/K612)*AV75</f>
        <v>10256.498032271727</v>
      </c>
      <c r="L713" s="180">
        <f>(L647/L612)*AV80</f>
        <v>0</v>
      </c>
      <c r="M713" s="180">
        <f t="shared" si="20"/>
        <v>72298</v>
      </c>
      <c r="N713" s="199" t="s">
        <v>741</v>
      </c>
    </row>
    <row r="715" spans="1:83" ht="12.65" customHeight="1" x14ac:dyDescent="0.35">
      <c r="C715" s="180">
        <f>SUM(C614:C647)+SUM(C668:C713)</f>
        <v>7219372.0899999999</v>
      </c>
      <c r="D715" s="180">
        <f>SUM(D616:D647)+SUM(D668:D713)</f>
        <v>1118146.9400000002</v>
      </c>
      <c r="E715" s="180">
        <f>SUM(E624:E647)+SUM(E668:E713)</f>
        <v>953627.32782523823</v>
      </c>
      <c r="F715" s="180">
        <f>SUM(F625:F648)+SUM(F668:F713)</f>
        <v>104064.02489978695</v>
      </c>
      <c r="G715" s="180">
        <f>SUM(G626:G647)+SUM(G668:G713)</f>
        <v>155677.19426834828</v>
      </c>
      <c r="H715" s="180">
        <f>SUM(H629:H647)+SUM(H668:H713)</f>
        <v>34486.43599494583</v>
      </c>
      <c r="I715" s="180">
        <f>SUM(I630:I647)+SUM(I668:I713)</f>
        <v>149794.83389362282</v>
      </c>
      <c r="J715" s="180">
        <f>SUM(J631:J647)+SUM(J668:J713)</f>
        <v>40302.838998708292</v>
      </c>
      <c r="K715" s="180">
        <f>SUM(K668:K713)</f>
        <v>748783.87290126726</v>
      </c>
      <c r="L715" s="180">
        <f>SUM(L668:L713)</f>
        <v>115568.58446925947</v>
      </c>
      <c r="M715" s="180">
        <f>SUM(M668:M713)</f>
        <v>2870930</v>
      </c>
      <c r="N715" s="198" t="s">
        <v>742</v>
      </c>
    </row>
    <row r="716" spans="1:83" ht="12.65" customHeight="1" x14ac:dyDescent="0.35">
      <c r="C716" s="180">
        <f>CE71</f>
        <v>7219372.0899999999</v>
      </c>
      <c r="D716" s="180">
        <f>D615</f>
        <v>1118146.9400000002</v>
      </c>
      <c r="E716" s="180">
        <f>E623</f>
        <v>953627.32782523811</v>
      </c>
      <c r="F716" s="180">
        <f>F624</f>
        <v>104064.02489978696</v>
      </c>
      <c r="G716" s="180">
        <f>G625</f>
        <v>155677.19426834831</v>
      </c>
      <c r="H716" s="180">
        <f>H628</f>
        <v>34486.435994945838</v>
      </c>
      <c r="I716" s="180">
        <f>I629</f>
        <v>149794.83389362282</v>
      </c>
      <c r="J716" s="180">
        <f>J630</f>
        <v>40302.838998708299</v>
      </c>
      <c r="K716" s="180">
        <f>K644</f>
        <v>748783.87290126726</v>
      </c>
      <c r="L716" s="180">
        <f>L647</f>
        <v>115568.58446925945</v>
      </c>
      <c r="M716" s="180">
        <f>C648</f>
        <v>2870929.64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e">
        <f>RIGHT(C83,3)&amp;"*"&amp;RIGHT(C82,4)&amp;"*"&amp;"A"</f>
        <v>#VALUE!</v>
      </c>
      <c r="B722" s="276">
        <f>ROUND(C165,0)</f>
        <v>210599</v>
      </c>
      <c r="C722" s="276">
        <f>ROUND(C166,0)</f>
        <v>86824</v>
      </c>
      <c r="D722" s="276">
        <f>ROUND(C167,0)</f>
        <v>0</v>
      </c>
      <c r="E722" s="276">
        <f>ROUND(C168,0)</f>
        <v>386483</v>
      </c>
      <c r="F722" s="276">
        <f>ROUND(C169,0)</f>
        <v>0</v>
      </c>
      <c r="G722" s="276">
        <f>ROUND(C170,0)</f>
        <v>0</v>
      </c>
      <c r="H722" s="276">
        <f>ROUND(C171+C172,0)</f>
        <v>164</v>
      </c>
      <c r="I722" s="276">
        <f>ROUND(C175,0)</f>
        <v>-1036</v>
      </c>
      <c r="J722" s="276">
        <f>ROUND(C176,0)</f>
        <v>105137</v>
      </c>
      <c r="K722" s="276">
        <f>ROUND(C179,0)</f>
        <v>48659</v>
      </c>
      <c r="L722" s="276">
        <f>ROUND(C180,0)</f>
        <v>8535</v>
      </c>
      <c r="M722" s="276">
        <f>ROUND(C183,0)</f>
        <v>15911</v>
      </c>
      <c r="N722" s="276">
        <f>ROUND(C184,0)</f>
        <v>71955</v>
      </c>
      <c r="O722" s="276">
        <f>ROUND(C185,0)</f>
        <v>320667</v>
      </c>
      <c r="P722" s="276">
        <f>ROUND(C188,0)</f>
        <v>357092</v>
      </c>
      <c r="Q722" s="276">
        <f>ROUND(C189,0)</f>
        <v>0</v>
      </c>
      <c r="R722" s="276">
        <f>ROUND(B195,0)</f>
        <v>389000</v>
      </c>
      <c r="S722" s="276">
        <f>ROUND(C195,0)</f>
        <v>0</v>
      </c>
      <c r="T722" s="276">
        <f>ROUND(D195,0)</f>
        <v>0</v>
      </c>
      <c r="U722" s="276">
        <f>ROUND(B196,0)</f>
        <v>332880</v>
      </c>
      <c r="V722" s="276">
        <f>ROUND(C196,0)</f>
        <v>0</v>
      </c>
      <c r="W722" s="276">
        <f>ROUND(D196,0)</f>
        <v>0</v>
      </c>
      <c r="X722" s="276">
        <f>ROUND(B197,0)</f>
        <v>11100114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37514</v>
      </c>
      <c r="AE722" s="276">
        <f>ROUND(C199,0)</f>
        <v>0</v>
      </c>
      <c r="AF722" s="276">
        <f>ROUND(D199,0)</f>
        <v>0</v>
      </c>
      <c r="AG722" s="276">
        <f>ROUND(B200,0)</f>
        <v>2140179</v>
      </c>
      <c r="AH722" s="276">
        <f>ROUND(C200,0)</f>
        <v>22927</v>
      </c>
      <c r="AI722" s="276">
        <f>ROUND(D200,0)</f>
        <v>0</v>
      </c>
      <c r="AJ722" s="276">
        <f>ROUND(B201,0)</f>
        <v>619969</v>
      </c>
      <c r="AK722" s="276">
        <f>ROUND(C201,0)</f>
        <v>35399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60104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115794</v>
      </c>
      <c r="AW722" s="276">
        <f>ROUND(C209,0)</f>
        <v>8188</v>
      </c>
      <c r="AX722" s="276">
        <f>ROUND(D209,0)</f>
        <v>0</v>
      </c>
      <c r="AY722" s="276">
        <f>ROUND(B210,0)</f>
        <v>1688222</v>
      </c>
      <c r="AZ722" s="276">
        <f>ROUND(C210,0)</f>
        <v>115472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2939</v>
      </c>
      <c r="BF722" s="276">
        <f>ROUND(C212,0)</f>
        <v>773</v>
      </c>
      <c r="BG722" s="276">
        <f>ROUND(D212,0)</f>
        <v>0</v>
      </c>
      <c r="BH722" s="276">
        <f>ROUND(B213,0)</f>
        <v>1049648</v>
      </c>
      <c r="BI722" s="276">
        <f>ROUND(C213,0)</f>
        <v>58471</v>
      </c>
      <c r="BJ722" s="276">
        <f>ROUND(D213,0)</f>
        <v>0</v>
      </c>
      <c r="BK722" s="276">
        <f>ROUND(B214,0)</f>
        <v>349554</v>
      </c>
      <c r="BL722" s="276">
        <f>ROUND(C214,0)</f>
        <v>30441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4337977</v>
      </c>
      <c r="BU722" s="276">
        <f>ROUND(C224,0)</f>
        <v>6977283</v>
      </c>
      <c r="BV722" s="276">
        <f>ROUND(C225,0)</f>
        <v>0</v>
      </c>
      <c r="BW722" s="276">
        <f>ROUND(C226,0)</f>
        <v>-88239</v>
      </c>
      <c r="BX722" s="276">
        <f>ROUND(C227,0)</f>
        <v>10158205</v>
      </c>
      <c r="BY722" s="276">
        <f>ROUND(C228,0)</f>
        <v>5099133</v>
      </c>
      <c r="BZ722" s="276">
        <f>ROUND(C231,0)</f>
        <v>0</v>
      </c>
      <c r="CA722" s="276">
        <f>ROUND(C233,0)</f>
        <v>987</v>
      </c>
      <c r="CB722" s="276">
        <f>ROUND(C234,0)</f>
        <v>85870</v>
      </c>
      <c r="CC722" s="276">
        <f>ROUND(C238+C239,0)</f>
        <v>0</v>
      </c>
      <c r="CD722" s="276">
        <f>D221</f>
        <v>809925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e">
        <f>RIGHT(C83,3)&amp;"*"&amp;RIGHT(C82,4)&amp;"*"&amp;"A"</f>
        <v>#VALUE!</v>
      </c>
      <c r="B726" s="276">
        <f>ROUND(C111,0)</f>
        <v>375</v>
      </c>
      <c r="C726" s="276">
        <f>ROUND(C112,0)</f>
        <v>0</v>
      </c>
      <c r="D726" s="276">
        <f>ROUND(C113,0)</f>
        <v>0</v>
      </c>
      <c r="E726" s="276">
        <f>ROUND(C114,0)</f>
        <v>141</v>
      </c>
      <c r="F726" s="276">
        <f>ROUND(D111,0)</f>
        <v>940</v>
      </c>
      <c r="G726" s="276">
        <f>ROUND(D112,0)</f>
        <v>0</v>
      </c>
      <c r="H726" s="276">
        <f>ROUND(D113,0)</f>
        <v>0</v>
      </c>
      <c r="I726" s="276">
        <f>ROUND(D114,0)</f>
        <v>258</v>
      </c>
      <c r="J726" s="276">
        <f>ROUND(C116,0)</f>
        <v>7</v>
      </c>
      <c r="K726" s="276">
        <f>ROUND(C117,0)</f>
        <v>0</v>
      </c>
      <c r="L726" s="276">
        <f>ROUND(C118,0)</f>
        <v>13</v>
      </c>
      <c r="M726" s="276">
        <f>ROUND(C119,0)</f>
        <v>0</v>
      </c>
      <c r="N726" s="276">
        <f>ROUND(C120,0)</f>
        <v>16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63</v>
      </c>
      <c r="W726" s="276">
        <f>ROUND(C129,0)</f>
        <v>16</v>
      </c>
      <c r="X726" s="276">
        <f>ROUND(B138,0)</f>
        <v>69</v>
      </c>
      <c r="Y726" s="276">
        <f>ROUND(B139,0)</f>
        <v>234</v>
      </c>
      <c r="Z726" s="276">
        <f>ROUND(B140,0)</f>
        <v>391</v>
      </c>
      <c r="AA726" s="276">
        <f>ROUND(B141,0)</f>
        <v>2657040</v>
      </c>
      <c r="AB726" s="276">
        <f>ROUND(B142,0)</f>
        <v>2870601</v>
      </c>
      <c r="AC726" s="276">
        <f>ROUND(C138,0)</f>
        <v>112</v>
      </c>
      <c r="AD726" s="276">
        <f>ROUND(C139,0)</f>
        <v>302</v>
      </c>
      <c r="AE726" s="276">
        <f>ROUND(C140,0)</f>
        <v>318</v>
      </c>
      <c r="AF726" s="276">
        <f>ROUND(C141,0)</f>
        <v>3321423</v>
      </c>
      <c r="AG726" s="276">
        <f>ROUND(C142,0)</f>
        <v>4608461</v>
      </c>
      <c r="AH726" s="276">
        <f>ROUND(D138,0)</f>
        <v>197</v>
      </c>
      <c r="AI726" s="276">
        <f>ROUND(D139,0)</f>
        <v>404</v>
      </c>
      <c r="AJ726" s="276">
        <f>ROUND(D140,0)</f>
        <v>2196</v>
      </c>
      <c r="AK726" s="276">
        <f>ROUND(D141,0)</f>
        <v>4633384</v>
      </c>
      <c r="AL726" s="276">
        <f>ROUND(D142,0)</f>
        <v>15717856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e">
        <f>RIGHT(C83,3)&amp;"*"&amp;RIGHT(C82,4)&amp;"*"&amp;"A"</f>
        <v>#VALUE!</v>
      </c>
      <c r="B730" s="276">
        <f>ROUND(C250,0)</f>
        <v>2470960</v>
      </c>
      <c r="C730" s="276">
        <f>ROUND(C251,0)</f>
        <v>0</v>
      </c>
      <c r="D730" s="276">
        <f>ROUND(C252,0)</f>
        <v>7408233</v>
      </c>
      <c r="E730" s="276">
        <f>ROUND(C253,0)</f>
        <v>0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2530934</v>
      </c>
      <c r="J730" s="276">
        <f>ROUND(C258,0)</f>
        <v>243930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6552420</v>
      </c>
      <c r="Q730" s="276">
        <f>ROUND(C269,0)</f>
        <v>58326</v>
      </c>
      <c r="R730" s="276">
        <f>ROUND(C270,0)</f>
        <v>0</v>
      </c>
      <c r="S730" s="276">
        <f>ROUND(C271,0)</f>
        <v>0</v>
      </c>
      <c r="T730" s="276">
        <f>ROUND(C272,0)</f>
        <v>0</v>
      </c>
      <c r="U730" s="276">
        <f>ROUND(C273,0)</f>
        <v>0</v>
      </c>
      <c r="V730" s="276">
        <f>ROUND(C274,0)</f>
        <v>60104</v>
      </c>
      <c r="W730" s="276">
        <f>ROUND(C275,0)</f>
        <v>0</v>
      </c>
      <c r="X730" s="276">
        <f>ROUND(C276,0)</f>
        <v>225591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267467</v>
      </c>
      <c r="AE730" s="276">
        <f>ROUND(C288,0)</f>
        <v>0</v>
      </c>
      <c r="AF730" s="276">
        <f>ROUND(C289,0)</f>
        <v>-48839</v>
      </c>
      <c r="AG730" s="276">
        <f>ROUND(C304,0)</f>
        <v>1177160</v>
      </c>
      <c r="AH730" s="276">
        <f>ROUND(C305,0)</f>
        <v>1085037</v>
      </c>
      <c r="AI730" s="276">
        <f>ROUND(C306,0)</f>
        <v>3395623</v>
      </c>
      <c r="AJ730" s="276">
        <f>ROUND(C307,0)</f>
        <v>-10026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4195248</v>
      </c>
      <c r="AZ730" s="276">
        <f>ROUND(C327,0)</f>
        <v>7840232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-704828</v>
      </c>
      <c r="BF730" s="276">
        <f>ROUND(C336,0)</f>
        <v>2339498</v>
      </c>
      <c r="BG730" s="276"/>
      <c r="BH730" s="276"/>
      <c r="BI730" s="276">
        <f>ROUND(CE60,2)</f>
        <v>123</v>
      </c>
      <c r="BJ730" s="276">
        <f>ROUND(C359,0)</f>
        <v>10578943</v>
      </c>
      <c r="BK730" s="276">
        <f>ROUND(C360,0)</f>
        <v>23229882</v>
      </c>
      <c r="BL730" s="276">
        <f>ROUND(C364,0)</f>
        <v>26397364</v>
      </c>
      <c r="BM730" s="276">
        <f>ROUND(C365,0)</f>
        <v>86995</v>
      </c>
      <c r="BN730" s="276">
        <f>ROUND(C366,0)</f>
        <v>0</v>
      </c>
      <c r="BO730" s="276">
        <f>ROUND(C370,0)</f>
        <v>26204</v>
      </c>
      <c r="BP730" s="276">
        <f>ROUND(C371,0)</f>
        <v>0</v>
      </c>
      <c r="BQ730" s="276">
        <f>ROUND(C378,0)</f>
        <v>3035669</v>
      </c>
      <c r="BR730" s="276">
        <f>ROUND(C379,0)</f>
        <v>684071</v>
      </c>
      <c r="BS730" s="276">
        <f>ROUND(C380,0)</f>
        <v>444629</v>
      </c>
      <c r="BT730" s="276">
        <f>ROUND(C381,0)</f>
        <v>430426</v>
      </c>
      <c r="BU730" s="276">
        <f>ROUND(C382,0)</f>
        <v>127775</v>
      </c>
      <c r="BV730" s="276">
        <f>ROUND(C383,0)</f>
        <v>986900</v>
      </c>
      <c r="BW730" s="276">
        <f>ROUND(C384,0)</f>
        <v>289117</v>
      </c>
      <c r="BX730" s="276">
        <f>ROUND(C385,0)</f>
        <v>104101</v>
      </c>
      <c r="BY730" s="276">
        <f>ROUND(C386,0)</f>
        <v>57193</v>
      </c>
      <c r="BZ730" s="276">
        <f>ROUND(C387,0)</f>
        <v>408532</v>
      </c>
      <c r="CA730" s="276">
        <f>ROUND(C388,0)</f>
        <v>357092</v>
      </c>
      <c r="CB730" s="276">
        <f>C363</f>
        <v>809925</v>
      </c>
      <c r="CC730" s="276">
        <f>ROUND(C389,0)</f>
        <v>320066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e">
        <f>RIGHT($C$83,3)&amp;"*"&amp;RIGHT($C$82,4)&amp;"*"&amp;C$55&amp;"*"&amp;"A"</f>
        <v>#VALUE!</v>
      </c>
      <c r="B734" s="276">
        <f>ROUND(C59,0)</f>
        <v>76</v>
      </c>
      <c r="C734" s="276">
        <f>ROUND(C60,2)</f>
        <v>6.4</v>
      </c>
      <c r="D734" s="276">
        <f>ROUND(C61,0)</f>
        <v>200997</v>
      </c>
      <c r="E734" s="276">
        <f>ROUND(C62,0)</f>
        <v>45294</v>
      </c>
      <c r="F734" s="276">
        <f>ROUND(C63,0)</f>
        <v>0</v>
      </c>
      <c r="G734" s="276">
        <f>ROUND(C64,0)</f>
        <v>15573</v>
      </c>
      <c r="H734" s="276">
        <f>ROUND(C65,0)</f>
        <v>0</v>
      </c>
      <c r="I734" s="276">
        <f>ROUND(C66,0)</f>
        <v>0</v>
      </c>
      <c r="J734" s="276">
        <f>ROUND(C67,0)</f>
        <v>12825</v>
      </c>
      <c r="K734" s="276">
        <f>ROUND(C68,0)</f>
        <v>3032</v>
      </c>
      <c r="L734" s="276">
        <f>ROUND(C69,0)</f>
        <v>931</v>
      </c>
      <c r="M734" s="276">
        <f>ROUND(C70,0)</f>
        <v>0</v>
      </c>
      <c r="N734" s="276">
        <f>ROUND(C75,0)</f>
        <v>215998</v>
      </c>
      <c r="O734" s="276">
        <f>ROUND(C73,0)</f>
        <v>215998</v>
      </c>
      <c r="P734" s="276">
        <f>IF(C76&gt;0,ROUND(C76,0),0)</f>
        <v>3000</v>
      </c>
      <c r="Q734" s="276">
        <f>IF(C77&gt;0,ROUND(C77,0),0)</f>
        <v>495</v>
      </c>
      <c r="R734" s="276">
        <f>IF(C78&gt;0,ROUND(C78,0),0)</f>
        <v>550</v>
      </c>
      <c r="S734" s="276">
        <f>IF(C79&gt;0,ROUND(C79,0),0)</f>
        <v>12541</v>
      </c>
      <c r="T734" s="276">
        <f>IF(C80&gt;0,ROUND(C80,2),0)</f>
        <v>9.4</v>
      </c>
      <c r="U734" s="276"/>
      <c r="V734" s="276"/>
      <c r="W734" s="276"/>
      <c r="X734" s="276"/>
      <c r="Y734" s="276">
        <f>IF(M668&lt;&gt;0,ROUND(M668,0),0)</f>
        <v>188039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e">
        <f>RIGHT($C$83,3)&amp;"*"&amp;RIGHT($C$82,4)&amp;"*"&amp;D$55&amp;"*"&amp;"A"</f>
        <v>#VALUE!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62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25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e">
        <f>RIGHT($C$83,3)&amp;"*"&amp;RIGHT($C$82,4)&amp;"*"&amp;E$55&amp;"*"&amp;"A"</f>
        <v>#VALUE!</v>
      </c>
      <c r="B736" s="276">
        <f>ROUND(E59,0)</f>
        <v>575</v>
      </c>
      <c r="C736" s="278">
        <f>ROUND(E60,2)</f>
        <v>13.5</v>
      </c>
      <c r="D736" s="276">
        <f>ROUND(E61,0)</f>
        <v>327471</v>
      </c>
      <c r="E736" s="276">
        <f>ROUND(E62,0)</f>
        <v>73794</v>
      </c>
      <c r="F736" s="276">
        <f>ROUND(E63,0)</f>
        <v>0</v>
      </c>
      <c r="G736" s="276">
        <f>ROUND(E64,0)</f>
        <v>1574</v>
      </c>
      <c r="H736" s="276">
        <f>ROUND(E65,0)</f>
        <v>0</v>
      </c>
      <c r="I736" s="276">
        <f>ROUND(E66,0)</f>
        <v>2628</v>
      </c>
      <c r="J736" s="276">
        <f>ROUND(E67,0)</f>
        <v>39942</v>
      </c>
      <c r="K736" s="276">
        <f>ROUND(E68,0)</f>
        <v>3032</v>
      </c>
      <c r="L736" s="276">
        <f>ROUND(E69,0)</f>
        <v>605</v>
      </c>
      <c r="M736" s="276">
        <f>ROUND(E70,0)</f>
        <v>0</v>
      </c>
      <c r="N736" s="276">
        <f>ROUND(E75,0)</f>
        <v>1056703</v>
      </c>
      <c r="O736" s="276">
        <f>ROUND(E73,0)</f>
        <v>1056703</v>
      </c>
      <c r="P736" s="276">
        <f>IF(E76&gt;0,ROUND(E76,0),0)</f>
        <v>9343</v>
      </c>
      <c r="Q736" s="276">
        <f>IF(E77&gt;0,ROUND(E77,0),0)</f>
        <v>1979</v>
      </c>
      <c r="R736" s="276">
        <f>IF(E78&gt;0,ROUND(E78,0),0)</f>
        <v>487</v>
      </c>
      <c r="S736" s="276">
        <f>IF(E79&gt;0,ROUND(E79,0),0)</f>
        <v>0</v>
      </c>
      <c r="T736" s="278">
        <f>IF(E80&gt;0,ROUND(E80,2),0)</f>
        <v>5.0999999999999996</v>
      </c>
      <c r="U736" s="276"/>
      <c r="V736" s="277"/>
      <c r="W736" s="276"/>
      <c r="X736" s="276"/>
      <c r="Y736" s="276">
        <f t="shared" si="21"/>
        <v>400616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e">
        <f>RIGHT($C$83,3)&amp;"*"&amp;RIGHT($C$82,4)&amp;"*"&amp;F$55&amp;"*"&amp;"A"</f>
        <v>#VALUE!</v>
      </c>
      <c r="B737" s="276">
        <f>ROUND(F59,0)</f>
        <v>289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337822</v>
      </c>
      <c r="O737" s="276">
        <f>ROUND(F73,0)</f>
        <v>337822</v>
      </c>
      <c r="P737" s="276">
        <f>IF(F76&gt;0,ROUND(F76,0),0)</f>
        <v>0</v>
      </c>
      <c r="Q737" s="276">
        <f>IF(F77&gt;0,ROUND(F77,0),0)</f>
        <v>1111</v>
      </c>
      <c r="R737" s="276">
        <f>IF(F78&gt;0,ROUND(F78,0),0)</f>
        <v>600</v>
      </c>
      <c r="S737" s="276">
        <f>IF(F79&gt;0,ROUND(F79,0),0)</f>
        <v>13796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90204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e">
        <f>RIGHT($C$83,3)&amp;"*"&amp;RIGHT($C$82,4)&amp;"*"&amp;G$55&amp;"*"&amp;"A"</f>
        <v>#VALUE!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e">
        <f>RIGHT($C$83,3)&amp;"*"&amp;RIGHT($C$82,4)&amp;"*"&amp;H$55&amp;"*"&amp;"A"</f>
        <v>#VALUE!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16553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3872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79832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e">
        <f>RIGHT($C$83,3)&amp;"*"&amp;RIGHT($C$82,4)&amp;"*"&amp;I$55&amp;"*"&amp;"A"</f>
        <v>#VALUE!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e">
        <f>RIGHT($C$83,3)&amp;"*"&amp;RIGHT($C$82,4)&amp;"*"&amp;J$55&amp;"*"&amp;"A"</f>
        <v>#VALUE!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906</v>
      </c>
      <c r="H741" s="276">
        <f>ROUND(J65,0)</f>
        <v>0</v>
      </c>
      <c r="I741" s="276">
        <f>ROUND(J66,0)</f>
        <v>42</v>
      </c>
      <c r="J741" s="276">
        <f>ROUND(J67,0)</f>
        <v>2993</v>
      </c>
      <c r="K741" s="276">
        <f>ROUND(J68,0)</f>
        <v>116</v>
      </c>
      <c r="L741" s="276">
        <f>ROUND(J69,0)</f>
        <v>0</v>
      </c>
      <c r="M741" s="276">
        <f>ROUND(J70,0)</f>
        <v>0</v>
      </c>
      <c r="N741" s="276">
        <f>ROUND(J75,0)</f>
        <v>257890</v>
      </c>
      <c r="O741" s="276">
        <f>ROUND(J73,0)</f>
        <v>257890</v>
      </c>
      <c r="P741" s="276">
        <f>IF(J76&gt;0,ROUND(J76,0),0)</f>
        <v>700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20529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e">
        <f>RIGHT($C$83,3)&amp;"*"&amp;RIGHT($C$82,4)&amp;"*"&amp;K$55&amp;"*"&amp;"A"</f>
        <v>#VALUE!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e">
        <f>RIGHT($C$83,3)&amp;"*"&amp;RIGHT($C$82,4)&amp;"*"&amp;L$55&amp;"*"&amp;"A"</f>
        <v>#VALUE!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e">
        <f>RIGHT($C$83,3)&amp;"*"&amp;RIGHT($C$82,4)&amp;"*"&amp;M$55&amp;"*"&amp;"A"</f>
        <v>#VALUE!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e">
        <f>RIGHT($C$83,3)&amp;"*"&amp;RIGHT($C$82,4)&amp;"*"&amp;N$55&amp;"*"&amp;"A"</f>
        <v>#VALUE!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e">
        <f>RIGHT($C$83,3)&amp;"*"&amp;RIGHT($C$82,4)&amp;"*"&amp;O$55&amp;"*"&amp;"A"</f>
        <v>#VALUE!</v>
      </c>
      <c r="B746" s="276">
        <f>ROUND(O59,0)</f>
        <v>141</v>
      </c>
      <c r="C746" s="278">
        <f>ROUND(O60,2)</f>
        <v>14.6</v>
      </c>
      <c r="D746" s="276">
        <f>ROUND(O61,0)</f>
        <v>437147</v>
      </c>
      <c r="E746" s="276">
        <f>ROUND(O62,0)</f>
        <v>98509</v>
      </c>
      <c r="F746" s="276">
        <f>ROUND(O63,0)</f>
        <v>0</v>
      </c>
      <c r="G746" s="276">
        <f>ROUND(O64,0)</f>
        <v>112</v>
      </c>
      <c r="H746" s="276">
        <f>ROUND(O65,0)</f>
        <v>0</v>
      </c>
      <c r="I746" s="276">
        <f>ROUND(O66,0)</f>
        <v>0</v>
      </c>
      <c r="J746" s="276">
        <f>ROUND(O67,0)</f>
        <v>37898</v>
      </c>
      <c r="K746" s="276">
        <f>ROUND(O68,0)</f>
        <v>3032</v>
      </c>
      <c r="L746" s="276">
        <f>ROUND(O69,0)</f>
        <v>774</v>
      </c>
      <c r="M746" s="276">
        <f>ROUND(O70,0)</f>
        <v>0</v>
      </c>
      <c r="N746" s="276">
        <f>ROUND(O75,0)</f>
        <v>854391</v>
      </c>
      <c r="O746" s="276">
        <f>ROUND(O73,0)</f>
        <v>736933</v>
      </c>
      <c r="P746" s="276">
        <f>IF(O76&gt;0,ROUND(O76,0),0)</f>
        <v>8865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13.6</v>
      </c>
      <c r="U746" s="276"/>
      <c r="V746" s="277"/>
      <c r="W746" s="276"/>
      <c r="X746" s="276"/>
      <c r="Y746" s="276">
        <f t="shared" si="21"/>
        <v>319803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e">
        <f>RIGHT($C$83,3)&amp;"*"&amp;RIGHT($C$82,4)&amp;"*"&amp;P$55&amp;"*"&amp;"A"</f>
        <v>#VALUE!</v>
      </c>
      <c r="B747" s="276">
        <f>ROUND(P59,0)</f>
        <v>27525</v>
      </c>
      <c r="C747" s="278">
        <f>ROUND(P60,2)</f>
        <v>5.75</v>
      </c>
      <c r="D747" s="276">
        <f>ROUND(P61,0)</f>
        <v>139232</v>
      </c>
      <c r="E747" s="276">
        <f>ROUND(P62,0)</f>
        <v>31375</v>
      </c>
      <c r="F747" s="276">
        <f>ROUND(P63,0)</f>
        <v>33000</v>
      </c>
      <c r="G747" s="276">
        <f>ROUND(P64,0)</f>
        <v>21554</v>
      </c>
      <c r="H747" s="276">
        <f>ROUND(P65,0)</f>
        <v>0</v>
      </c>
      <c r="I747" s="276">
        <f>ROUND(P66,0)</f>
        <v>0</v>
      </c>
      <c r="J747" s="276">
        <f>ROUND(P67,0)</f>
        <v>10474</v>
      </c>
      <c r="K747" s="276">
        <f>ROUND(P68,0)</f>
        <v>8196</v>
      </c>
      <c r="L747" s="276">
        <f>ROUND(P69,0)</f>
        <v>13028</v>
      </c>
      <c r="M747" s="276">
        <f>ROUND(P70,0)</f>
        <v>0</v>
      </c>
      <c r="N747" s="276">
        <f>ROUND(P75,0)</f>
        <v>2302455</v>
      </c>
      <c r="O747" s="276">
        <f>ROUND(P73,0)</f>
        <v>1103747</v>
      </c>
      <c r="P747" s="276">
        <f>IF(P76&gt;0,ROUND(P76,0),0)</f>
        <v>2450</v>
      </c>
      <c r="Q747" s="276">
        <f>IF(P77&gt;0,ROUND(P77,0),0)</f>
        <v>0</v>
      </c>
      <c r="R747" s="276">
        <f>IF(P78&gt;0,ROUND(P78,0),0)</f>
        <v>350</v>
      </c>
      <c r="S747" s="276">
        <f>IF(P79&gt;0,ROUND(P79,0),0)</f>
        <v>6271</v>
      </c>
      <c r="T747" s="278">
        <f>IF(P80&gt;0,ROUND(P80,2),0)</f>
        <v>7</v>
      </c>
      <c r="U747" s="276"/>
      <c r="V747" s="277"/>
      <c r="W747" s="276"/>
      <c r="X747" s="276"/>
      <c r="Y747" s="276">
        <f t="shared" si="21"/>
        <v>181677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e">
        <f>RIGHT($C$83,3)&amp;"*"&amp;RIGHT($C$82,4)&amp;"*"&amp;Q$55&amp;"*"&amp;"A"</f>
        <v>#VALUE!</v>
      </c>
      <c r="B748" s="276">
        <f>ROUND(Q59,0)</f>
        <v>20940</v>
      </c>
      <c r="C748" s="278">
        <f>ROUND(Q60,2)</f>
        <v>1.02</v>
      </c>
      <c r="D748" s="276">
        <f>ROUND(Q61,0)</f>
        <v>32132</v>
      </c>
      <c r="E748" s="276">
        <f>ROUND(Q62,0)</f>
        <v>7241</v>
      </c>
      <c r="F748" s="276">
        <f>ROUND(Q63,0)</f>
        <v>0</v>
      </c>
      <c r="G748" s="276">
        <f>ROUND(Q64,0)</f>
        <v>3655</v>
      </c>
      <c r="H748" s="276">
        <f>ROUND(Q65,0)</f>
        <v>0</v>
      </c>
      <c r="I748" s="276">
        <f>ROUND(Q66,0)</f>
        <v>0</v>
      </c>
      <c r="J748" s="276">
        <f>ROUND(Q67,0)</f>
        <v>11992</v>
      </c>
      <c r="K748" s="276">
        <f>ROUND(Q68,0)</f>
        <v>6940</v>
      </c>
      <c r="L748" s="276">
        <f>ROUND(Q69,0)</f>
        <v>0</v>
      </c>
      <c r="M748" s="276">
        <f>ROUND(Q70,0)</f>
        <v>0</v>
      </c>
      <c r="N748" s="276">
        <f>ROUND(Q75,0)</f>
        <v>122794</v>
      </c>
      <c r="O748" s="276">
        <f>ROUND(Q73,0)</f>
        <v>44318</v>
      </c>
      <c r="P748" s="276">
        <f>IF(Q76&gt;0,ROUND(Q76,0),0)</f>
        <v>2805</v>
      </c>
      <c r="Q748" s="276">
        <f>IF(Q77&gt;0,ROUND(Q77,0),0)</f>
        <v>3</v>
      </c>
      <c r="R748" s="276">
        <f>IF(Q78&gt;0,ROUND(Q78,0),0)</f>
        <v>67</v>
      </c>
      <c r="S748" s="276">
        <f>IF(Q79&gt;0,ROUND(Q79,0),0)</f>
        <v>627</v>
      </c>
      <c r="T748" s="278">
        <f>IF(Q80&gt;0,ROUND(Q80,2),0)</f>
        <v>3</v>
      </c>
      <c r="U748" s="276"/>
      <c r="V748" s="277"/>
      <c r="W748" s="276"/>
      <c r="X748" s="276"/>
      <c r="Y748" s="276">
        <f t="shared" si="21"/>
        <v>79798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e">
        <f>RIGHT($C$83,3)&amp;"*"&amp;RIGHT($C$82,4)&amp;"*"&amp;R$55&amp;"*"&amp;"A"</f>
        <v>#VALUE!</v>
      </c>
      <c r="B749" s="276">
        <f>ROUND(R59,0)</f>
        <v>46770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133693</v>
      </c>
      <c r="G749" s="276">
        <f>ROUND(R64,0)</f>
        <v>2081</v>
      </c>
      <c r="H749" s="276">
        <f>ROUND(R65,0)</f>
        <v>0</v>
      </c>
      <c r="I749" s="276">
        <f>ROUND(R66,0)</f>
        <v>0</v>
      </c>
      <c r="J749" s="276">
        <f>ROUND(R67,0)</f>
        <v>684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356769</v>
      </c>
      <c r="O749" s="276">
        <f>ROUND(R73,0)</f>
        <v>211362</v>
      </c>
      <c r="P749" s="276">
        <f>IF(R76&gt;0,ROUND(R76,0),0)</f>
        <v>160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32377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e">
        <f>RIGHT($C$83,3)&amp;"*"&amp;RIGHT($C$82,4)&amp;"*"&amp;S$55&amp;"*"&amp;"A"</f>
        <v>#VALUE!</v>
      </c>
      <c r="B750" s="276"/>
      <c r="C750" s="278">
        <f>ROUND(S60,2)</f>
        <v>0</v>
      </c>
      <c r="D750" s="276">
        <f>ROUND(S61,0)</f>
        <v>-580</v>
      </c>
      <c r="E750" s="276">
        <f>ROUND(S62,0)</f>
        <v>-131</v>
      </c>
      <c r="F750" s="276">
        <f>ROUND(S63,0)</f>
        <v>0</v>
      </c>
      <c r="G750" s="276">
        <f>ROUND(S64,0)</f>
        <v>74869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12554</v>
      </c>
      <c r="M750" s="276">
        <f>ROUND(S70,0)</f>
        <v>0</v>
      </c>
      <c r="N750" s="276">
        <f>ROUND(S75,0)</f>
        <v>416529</v>
      </c>
      <c r="O750" s="276">
        <f>ROUND(S73,0)</f>
        <v>238046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35</v>
      </c>
      <c r="S750" s="276">
        <f>IF(S79&gt;0,ROUND(S79,0),0)</f>
        <v>627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42798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e">
        <f>RIGHT($C$83,3)&amp;"*"&amp;RIGHT($C$82,4)&amp;"*"&amp;T$55&amp;"*"&amp;"A"</f>
        <v>#VALUE!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436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1072694</v>
      </c>
      <c r="O751" s="276">
        <f>ROUND(T73,0)</f>
        <v>613936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23931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e">
        <f>RIGHT($C$83,3)&amp;"*"&amp;RIGHT($C$82,4)&amp;"*"&amp;U$55&amp;"*"&amp;"A"</f>
        <v>#VALUE!</v>
      </c>
      <c r="B752" s="276">
        <f>ROUND(U59,0)</f>
        <v>26433</v>
      </c>
      <c r="C752" s="278">
        <f>ROUND(U60,2)</f>
        <v>10.48</v>
      </c>
      <c r="D752" s="276">
        <f>ROUND(U61,0)</f>
        <v>230562</v>
      </c>
      <c r="E752" s="276">
        <f>ROUND(U62,0)</f>
        <v>51956</v>
      </c>
      <c r="F752" s="276">
        <f>ROUND(U63,0)</f>
        <v>1095</v>
      </c>
      <c r="G752" s="276">
        <f>ROUND(U64,0)</f>
        <v>82175</v>
      </c>
      <c r="H752" s="276">
        <f>ROUND(U65,0)</f>
        <v>0</v>
      </c>
      <c r="I752" s="276">
        <f>ROUND(U66,0)</f>
        <v>59886</v>
      </c>
      <c r="J752" s="276">
        <f>ROUND(U67,0)</f>
        <v>11718</v>
      </c>
      <c r="K752" s="276">
        <f>ROUND(U68,0)</f>
        <v>25348</v>
      </c>
      <c r="L752" s="276">
        <f>ROUND(U69,0)</f>
        <v>14659</v>
      </c>
      <c r="M752" s="276">
        <f>ROUND(U70,0)</f>
        <v>0</v>
      </c>
      <c r="N752" s="276">
        <f>ROUND(U75,0)</f>
        <v>4534278</v>
      </c>
      <c r="O752" s="276">
        <f>ROUND(U73,0)</f>
        <v>1560353</v>
      </c>
      <c r="P752" s="276">
        <f>IF(U76&gt;0,ROUND(U76,0),0)</f>
        <v>2741</v>
      </c>
      <c r="Q752" s="276">
        <f>IF(U77&gt;0,ROUND(U77,0),0)</f>
        <v>0</v>
      </c>
      <c r="R752" s="276">
        <f>IF(U78&gt;0,ROUND(U78,0),0)</f>
        <v>135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257125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e">
        <f>RIGHT($C$83,3)&amp;"*"&amp;RIGHT($C$82,4)&amp;"*"&amp;V$55&amp;"*"&amp;"A"</f>
        <v>#VALUE!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399513</v>
      </c>
      <c r="O753" s="276">
        <f>ROUND(V73,0)</f>
        <v>84737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8848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e">
        <f>RIGHT($C$83,3)&amp;"*"&amp;RIGHT($C$82,4)&amp;"*"&amp;W$55&amp;"*"&amp;"A"</f>
        <v>#VALUE!</v>
      </c>
      <c r="B754" s="276">
        <f>ROUND(W59,0)</f>
        <v>74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11781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184606</v>
      </c>
      <c r="O754" s="276">
        <f>ROUND(W73,0)</f>
        <v>18557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5882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e">
        <f>RIGHT($C$83,3)&amp;"*"&amp;RIGHT($C$82,4)&amp;"*"&amp;X$55&amp;"*"&amp;"A"</f>
        <v>#VALUE!</v>
      </c>
      <c r="B755" s="276">
        <f>ROUND(X59,0)</f>
        <v>1197</v>
      </c>
      <c r="C755" s="278">
        <f>ROUND(X60,2)</f>
        <v>0.66</v>
      </c>
      <c r="D755" s="276">
        <f>ROUND(X61,0)</f>
        <v>15200</v>
      </c>
      <c r="E755" s="276">
        <f>ROUND(X62,0)</f>
        <v>3425</v>
      </c>
      <c r="F755" s="276">
        <f>ROUND(X63,0)</f>
        <v>0</v>
      </c>
      <c r="G755" s="276">
        <f>ROUND(X64,0)</f>
        <v>3219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1378</v>
      </c>
      <c r="M755" s="276">
        <f>ROUND(X70,0)</f>
        <v>0</v>
      </c>
      <c r="N755" s="276">
        <f>ROUND(X75,0)</f>
        <v>5438755</v>
      </c>
      <c r="O755" s="276">
        <f>ROUND(X73,0)</f>
        <v>976856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124981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e">
        <f>RIGHT($C$83,3)&amp;"*"&amp;RIGHT($C$82,4)&amp;"*"&amp;Y$55&amp;"*"&amp;"A"</f>
        <v>#VALUE!</v>
      </c>
      <c r="B756" s="276">
        <f>ROUND(Y59,0)</f>
        <v>3860</v>
      </c>
      <c r="C756" s="278">
        <f>ROUND(Y60,2)</f>
        <v>10.19</v>
      </c>
      <c r="D756" s="276">
        <f>ROUND(Y61,0)</f>
        <v>249709</v>
      </c>
      <c r="E756" s="276">
        <f>ROUND(Y62,0)</f>
        <v>56271</v>
      </c>
      <c r="F756" s="276">
        <f>ROUND(Y63,0)</f>
        <v>0</v>
      </c>
      <c r="G756" s="276">
        <f>ROUND(Y64,0)</f>
        <v>8102</v>
      </c>
      <c r="H756" s="276">
        <f>ROUND(Y65,0)</f>
        <v>0</v>
      </c>
      <c r="I756" s="276">
        <f>ROUND(Y66,0)</f>
        <v>16771</v>
      </c>
      <c r="J756" s="276">
        <f>ROUND(Y67,0)</f>
        <v>17434</v>
      </c>
      <c r="K756" s="276">
        <f>ROUND(Y68,0)</f>
        <v>37267</v>
      </c>
      <c r="L756" s="276">
        <f>ROUND(Y69,0)</f>
        <v>13249</v>
      </c>
      <c r="M756" s="276">
        <f>ROUND(Y70,0)</f>
        <v>0</v>
      </c>
      <c r="N756" s="276">
        <f>ROUND(Y75,0)</f>
        <v>3298779</v>
      </c>
      <c r="O756" s="276">
        <f>ROUND(Y73,0)</f>
        <v>312765</v>
      </c>
      <c r="P756" s="276">
        <f>IF(Y76&gt;0,ROUND(Y76,0),0)</f>
        <v>4078</v>
      </c>
      <c r="Q756" s="276">
        <f>IF(Y77&gt;0,ROUND(Y77,0),0)</f>
        <v>0</v>
      </c>
      <c r="R756" s="276">
        <f>IF(Y78&gt;0,ROUND(Y78,0),0)</f>
        <v>200</v>
      </c>
      <c r="S756" s="276">
        <f>IF(Y79&gt;0,ROUND(Y79,0),0)</f>
        <v>4389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231840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e">
        <f>RIGHT($C$83,3)&amp;"*"&amp;RIGHT($C$82,4)&amp;"*"&amp;Z$55&amp;"*"&amp;"A"</f>
        <v>#VALUE!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e">
        <f>RIGHT($C$83,3)&amp;"*"&amp;RIGHT($C$82,4)&amp;"*"&amp;AA$55&amp;"*"&amp;"A"</f>
        <v>#VALUE!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e">
        <f>RIGHT($C$83,3)&amp;"*"&amp;RIGHT($C$82,4)&amp;"*"&amp;AB$55&amp;"*"&amp;"A"</f>
        <v>#VALUE!</v>
      </c>
      <c r="B759" s="276"/>
      <c r="C759" s="278">
        <f>ROUND(AB60,2)</f>
        <v>3.51</v>
      </c>
      <c r="D759" s="276">
        <f>ROUND(AB61,0)</f>
        <v>96148</v>
      </c>
      <c r="E759" s="276">
        <f>ROUND(AB62,0)</f>
        <v>21666</v>
      </c>
      <c r="F759" s="276">
        <f>ROUND(AB63,0)</f>
        <v>0</v>
      </c>
      <c r="G759" s="276">
        <f>ROUND(AB64,0)</f>
        <v>79023</v>
      </c>
      <c r="H759" s="276">
        <f>ROUND(AB65,0)</f>
        <v>0</v>
      </c>
      <c r="I759" s="276">
        <f>ROUND(AB66,0)</f>
        <v>0</v>
      </c>
      <c r="J759" s="276">
        <f>ROUND(AB67,0)</f>
        <v>4540</v>
      </c>
      <c r="K759" s="276">
        <f>ROUND(AB68,0)</f>
        <v>0</v>
      </c>
      <c r="L759" s="276">
        <f>ROUND(AB69,0)</f>
        <v>12670</v>
      </c>
      <c r="M759" s="276">
        <f>ROUND(AB70,0)</f>
        <v>0</v>
      </c>
      <c r="N759" s="276">
        <f>ROUND(AB75,0)</f>
        <v>2301574</v>
      </c>
      <c r="O759" s="276">
        <f>ROUND(AB73,0)</f>
        <v>1226957</v>
      </c>
      <c r="P759" s="276">
        <f>IF(AB76&gt;0,ROUND(AB76,0),0)</f>
        <v>1062</v>
      </c>
      <c r="Q759" s="276">
        <f>IF(AB77&gt;0,ROUND(AB77,0),0)</f>
        <v>0</v>
      </c>
      <c r="R759" s="276">
        <f>IF(AB78&gt;0,ROUND(AB78,0),0)</f>
        <v>40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127028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e">
        <f>RIGHT($C$83,3)&amp;"*"&amp;RIGHT($C$82,4)&amp;"*"&amp;AC$55&amp;"*"&amp;"A"</f>
        <v>#VALUE!</v>
      </c>
      <c r="B760" s="276">
        <f>ROUND(AC59,0)</f>
        <v>3370</v>
      </c>
      <c r="C760" s="278">
        <f>ROUND(AC60,2)</f>
        <v>5.24</v>
      </c>
      <c r="D760" s="276">
        <f>ROUND(AC61,0)</f>
        <v>127934</v>
      </c>
      <c r="E760" s="276">
        <f>ROUND(AC62,0)</f>
        <v>28829</v>
      </c>
      <c r="F760" s="276">
        <f>ROUND(AC63,0)</f>
        <v>0</v>
      </c>
      <c r="G760" s="276">
        <f>ROUND(AC64,0)</f>
        <v>7815</v>
      </c>
      <c r="H760" s="276">
        <f>ROUND(AC65,0)</f>
        <v>0</v>
      </c>
      <c r="I760" s="276">
        <f>ROUND(AC66,0)</f>
        <v>0</v>
      </c>
      <c r="J760" s="276">
        <f>ROUND(AC67,0)</f>
        <v>3600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947798</v>
      </c>
      <c r="O760" s="276">
        <f>ROUND(AC73,0)</f>
        <v>535336</v>
      </c>
      <c r="P760" s="276">
        <f>IF(AC76&gt;0,ROUND(AC76,0),0)</f>
        <v>842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66901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e">
        <f>RIGHT($C$83,3)&amp;"*"&amp;RIGHT($C$82,4)&amp;"*"&amp;AD$55&amp;"*"&amp;"A"</f>
        <v>#VALUE!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e">
        <f>RIGHT($C$83,3)&amp;"*"&amp;RIGHT($C$82,4)&amp;"*"&amp;AE$55&amp;"*"&amp;"A"</f>
        <v>#VALUE!</v>
      </c>
      <c r="B762" s="276">
        <f>ROUND(AE59,0)</f>
        <v>42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3974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13925</v>
      </c>
      <c r="O762" s="276">
        <f>ROUND(AE73,0)</f>
        <v>10896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913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e">
        <f>RIGHT($C$83,3)&amp;"*"&amp;RIGHT($C$82,4)&amp;"*"&amp;AF$55&amp;"*"&amp;"A"</f>
        <v>#VALUE!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e">
        <f>RIGHT($C$83,3)&amp;"*"&amp;RIGHT($C$82,4)&amp;"*"&amp;AG$55&amp;"*"&amp;"A"</f>
        <v>#VALUE!</v>
      </c>
      <c r="B764" s="276">
        <f>ROUND(AG59,0)</f>
        <v>6762</v>
      </c>
      <c r="C764" s="278">
        <f>ROUND(AG60,2)</f>
        <v>19.46</v>
      </c>
      <c r="D764" s="276">
        <f>ROUND(AG61,0)</f>
        <v>615160</v>
      </c>
      <c r="E764" s="276">
        <f>ROUND(AG62,0)</f>
        <v>138623</v>
      </c>
      <c r="F764" s="276">
        <f>ROUND(AG63,0)</f>
        <v>0</v>
      </c>
      <c r="G764" s="276">
        <f>ROUND(AG64,0)</f>
        <v>33757</v>
      </c>
      <c r="H764" s="276">
        <f>ROUND(AG65,0)</f>
        <v>0</v>
      </c>
      <c r="I764" s="276">
        <f>ROUND(AG66,0)</f>
        <v>466</v>
      </c>
      <c r="J764" s="276">
        <f>ROUND(AG67,0)</f>
        <v>19776</v>
      </c>
      <c r="K764" s="276">
        <f>ROUND(AG68,0)</f>
        <v>3398</v>
      </c>
      <c r="L764" s="276">
        <f>ROUND(AG69,0)</f>
        <v>5070</v>
      </c>
      <c r="M764" s="276">
        <f>ROUND(AG70,0)</f>
        <v>0</v>
      </c>
      <c r="N764" s="276">
        <f>ROUND(AG75,0)</f>
        <v>8772071</v>
      </c>
      <c r="O764" s="276">
        <f>ROUND(AG73,0)</f>
        <v>931714</v>
      </c>
      <c r="P764" s="276">
        <f>IF(AG76&gt;0,ROUND(AG76,0),0)</f>
        <v>4626</v>
      </c>
      <c r="Q764" s="276">
        <f>IF(AG77&gt;0,ROUND(AG77,0),0)</f>
        <v>51</v>
      </c>
      <c r="R764" s="276">
        <f>IF(AG78&gt;0,ROUND(AG78,0),0)</f>
        <v>800</v>
      </c>
      <c r="S764" s="276">
        <f>IF(AG79&gt;0,ROUND(AG79,0),0)</f>
        <v>24456</v>
      </c>
      <c r="T764" s="278">
        <f>IF(AG80&gt;0,ROUND(AG80,2),0)</f>
        <v>11.7</v>
      </c>
      <c r="U764" s="276"/>
      <c r="V764" s="277"/>
      <c r="W764" s="276"/>
      <c r="X764" s="276"/>
      <c r="Y764" s="276">
        <f t="shared" si="21"/>
        <v>505201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e">
        <f>RIGHT($C$83,3)&amp;"*"&amp;RIGHT($C$82,4)&amp;"*"&amp;AH$55&amp;"*"&amp;"A"</f>
        <v>#VALUE!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e">
        <f>RIGHT($C$83,3)&amp;"*"&amp;RIGHT($C$82,4)&amp;"*"&amp;AI$55&amp;"*"&amp;"A"</f>
        <v>#VALUE!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e">
        <f>RIGHT($C$83,3)&amp;"*"&amp;RIGHT($C$82,4)&amp;"*"&amp;AJ$55&amp;"*"&amp;"A"</f>
        <v>#VALUE!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e">
        <f>RIGHT($C$83,3)&amp;"*"&amp;RIGHT($C$82,4)&amp;"*"&amp;AK$55&amp;"*"&amp;"A"</f>
        <v>#VALUE!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e">
        <f>RIGHT($C$83,3)&amp;"*"&amp;RIGHT($C$82,4)&amp;"*"&amp;AL$55&amp;"*"&amp;"A"</f>
        <v>#VALUE!</v>
      </c>
      <c r="B769" s="276">
        <f>ROUND(AL59,0)</f>
        <v>0</v>
      </c>
      <c r="C769" s="278">
        <f>ROUND(AL60,2)</f>
        <v>0.02</v>
      </c>
      <c r="D769" s="276">
        <f>ROUND(AL61,0)</f>
        <v>244</v>
      </c>
      <c r="E769" s="276">
        <f>ROUND(AL62,0)</f>
        <v>55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234</v>
      </c>
      <c r="M769" s="276">
        <f>ROUND(AL70,0)</f>
        <v>0</v>
      </c>
      <c r="N769" s="276">
        <f>ROUND(AL75,0)</f>
        <v>12945</v>
      </c>
      <c r="O769" s="276">
        <f>ROUND(AL73,0)</f>
        <v>10597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374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e">
        <f>RIGHT($C$83,3)&amp;"*"&amp;RIGHT($C$82,4)&amp;"*"&amp;AM$55&amp;"*"&amp;"A"</f>
        <v>#VALUE!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e">
        <f>RIGHT($C$83,3)&amp;"*"&amp;RIGHT($C$82,4)&amp;"*"&amp;AN$55&amp;"*"&amp;"A"</f>
        <v>#VALUE!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e">
        <f>RIGHT($C$83,3)&amp;"*"&amp;RIGHT($C$82,4)&amp;"*"&amp;AO$55&amp;"*"&amp;"A"</f>
        <v>#VALUE!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379811</v>
      </c>
      <c r="O772" s="276">
        <f>ROUND(AO73,0)</f>
        <v>25794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8412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e">
        <f>RIGHT($C$83,3)&amp;"*"&amp;RIGHT($C$82,4)&amp;"*"&amp;AP$55&amp;"*"&amp;"A"</f>
        <v>#VALUE!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e">
        <f>RIGHT($C$83,3)&amp;"*"&amp;RIGHT($C$82,4)&amp;"*"&amp;AQ$55&amp;"*"&amp;"A"</f>
        <v>#VALUE!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67626</v>
      </c>
      <c r="O774" s="276">
        <f>ROUND(AQ73,0)</f>
        <v>67626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1498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e">
        <f>RIGHT($C$83,3)&amp;"*"&amp;RIGHT($C$82,4)&amp;"*"&amp;AR$55&amp;"*"&amp;"A"</f>
        <v>#VALUE!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e">
        <f>RIGHT($C$83,3)&amp;"*"&amp;RIGHT($C$82,4)&amp;"*"&amp;AS$55&amp;"*"&amp;"A"</f>
        <v>#VALUE!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e">
        <f>RIGHT($C$83,3)&amp;"*"&amp;RIGHT($C$82,4)&amp;"*"&amp;AT$55&amp;"*"&amp;"A"</f>
        <v>#VALUE!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e">
        <f>RIGHT($C$83,3)&amp;"*"&amp;RIGHT($C$82,4)&amp;"*"&amp;AU$55&amp;"*"&amp;"A"</f>
        <v>#VALUE!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e">
        <f>RIGHT($C$83,3)&amp;"*"&amp;RIGHT($C$82,4)&amp;"*"&amp;AV$55&amp;"*"&amp;"A"</f>
        <v>#VALUE!</v>
      </c>
      <c r="B779" s="276"/>
      <c r="C779" s="278">
        <f>ROUND(AV60,2)</f>
        <v>2.58</v>
      </c>
      <c r="D779" s="276">
        <f>ROUND(AV61,0)</f>
        <v>48223</v>
      </c>
      <c r="E779" s="276">
        <f>ROUND(AV62,0)</f>
        <v>10867</v>
      </c>
      <c r="F779" s="276">
        <f>ROUND(AV63,0)</f>
        <v>276842</v>
      </c>
      <c r="G779" s="276">
        <f>ROUND(AV64,0)</f>
        <v>22587</v>
      </c>
      <c r="H779" s="276">
        <f>ROUND(AV65,0)</f>
        <v>0</v>
      </c>
      <c r="I779" s="276">
        <f>ROUND(AV66,0)</f>
        <v>7473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463098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72298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e">
        <f>RIGHT($C$83,3)&amp;"*"&amp;RIGHT($C$82,4)&amp;"*"&amp;AW$55&amp;"*"&amp;"A"</f>
        <v>#VALUE!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e">
        <f>RIGHT($C$83,3)&amp;"*"&amp;RIGHT($C$82,4)&amp;"*"&amp;AX$55&amp;"*"&amp;"A"</f>
        <v>#VALUE!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2516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10448</v>
      </c>
      <c r="L781" s="276">
        <f>ROUND(AX69,0)</f>
        <v>208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e">
        <f>RIGHT($C$83,3)&amp;"*"&amp;RIGHT($C$82,4)&amp;"*"&amp;AY$55&amp;"*"&amp;"A"</f>
        <v>#VALUE!</v>
      </c>
      <c r="B782" s="276">
        <f>ROUND(AY59,0)</f>
        <v>0</v>
      </c>
      <c r="C782" s="278">
        <f>ROUND(AY60,2)</f>
        <v>3.19</v>
      </c>
      <c r="D782" s="276">
        <f>ROUND(AY61,0)</f>
        <v>32337</v>
      </c>
      <c r="E782" s="276">
        <f>ROUND(AY62,0)</f>
        <v>7287</v>
      </c>
      <c r="F782" s="276">
        <f>ROUND(AY63,0)</f>
        <v>0</v>
      </c>
      <c r="G782" s="276">
        <f>ROUND(AY64,0)</f>
        <v>46255</v>
      </c>
      <c r="H782" s="276">
        <f>ROUND(AY65,0)</f>
        <v>0</v>
      </c>
      <c r="I782" s="276">
        <f>ROUND(AY66,0)</f>
        <v>3420</v>
      </c>
      <c r="J782" s="276">
        <f>ROUND(AY67,0)</f>
        <v>7109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1663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e">
        <f>RIGHT($C$83,3)&amp;"*"&amp;RIGHT($C$82,4)&amp;"*"&amp;AZ$55&amp;"*"&amp;"A"</f>
        <v>#VALUE!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e">
        <f>RIGHT($C$83,3)&amp;"*"&amp;RIGHT($C$82,4)&amp;"*"&amp;BA$55&amp;"*"&amp;"A"</f>
        <v>#VALUE!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2880</v>
      </c>
      <c r="H784" s="276">
        <f>ROUND(BA65,0)</f>
        <v>0</v>
      </c>
      <c r="I784" s="276">
        <f>ROUND(BA66,0)</f>
        <v>31483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e">
        <f>RIGHT($C$83,3)&amp;"*"&amp;RIGHT($C$82,4)&amp;"*"&amp;BB$55&amp;"*"&amp;"A"</f>
        <v>#VALUE!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e">
        <f>RIGHT($C$83,3)&amp;"*"&amp;RIGHT($C$82,4)&amp;"*"&amp;BC$55&amp;"*"&amp;"A"</f>
        <v>#VALUE!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e">
        <f>RIGHT($C$83,3)&amp;"*"&amp;RIGHT($C$82,4)&amp;"*"&amp;BD$55&amp;"*"&amp;"A"</f>
        <v>#VALUE!</v>
      </c>
      <c r="B787" s="276"/>
      <c r="C787" s="278">
        <f>ROUND(BD60,2)</f>
        <v>2.1800000000000002</v>
      </c>
      <c r="D787" s="276">
        <f>ROUND(BD61,0)</f>
        <v>36188</v>
      </c>
      <c r="E787" s="276">
        <f>ROUND(BD62,0)</f>
        <v>8155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9097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2128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e">
        <f>RIGHT($C$83,3)&amp;"*"&amp;RIGHT($C$82,4)&amp;"*"&amp;BE$55&amp;"*"&amp;"A"</f>
        <v>#VALUE!</v>
      </c>
      <c r="B788" s="276">
        <f>ROUND(BE59,0)</f>
        <v>67629</v>
      </c>
      <c r="C788" s="278">
        <f>ROUND(BE60,2)</f>
        <v>2.09</v>
      </c>
      <c r="D788" s="276">
        <f>ROUND(BE61,0)</f>
        <v>35671</v>
      </c>
      <c r="E788" s="276">
        <f>ROUND(BE62,0)</f>
        <v>8038</v>
      </c>
      <c r="F788" s="276">
        <f>ROUND(BE63,0)</f>
        <v>0</v>
      </c>
      <c r="G788" s="276">
        <f>ROUND(BE64,0)</f>
        <v>2563</v>
      </c>
      <c r="H788" s="276">
        <f>ROUND(BE65,0)</f>
        <v>127775</v>
      </c>
      <c r="I788" s="276">
        <f>ROUND(BE66,0)</f>
        <v>52398</v>
      </c>
      <c r="J788" s="276">
        <f>ROUND(BE67,0)</f>
        <v>13283</v>
      </c>
      <c r="K788" s="276">
        <f>ROUND(BE68,0)</f>
        <v>453</v>
      </c>
      <c r="L788" s="276">
        <f>ROUND(BE69,0)</f>
        <v>17247</v>
      </c>
      <c r="M788" s="276">
        <f>ROUND(BE70,0)</f>
        <v>0</v>
      </c>
      <c r="N788" s="276"/>
      <c r="O788" s="276"/>
      <c r="P788" s="276">
        <f>IF(BE76&gt;0,ROUND(BE76,0),0)</f>
        <v>3107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e">
        <f>RIGHT($C$83,3)&amp;"*"&amp;RIGHT($C$82,4)&amp;"*"&amp;BF$55&amp;"*"&amp;"A"</f>
        <v>#VALUE!</v>
      </c>
      <c r="B789" s="276"/>
      <c r="C789" s="278">
        <f>ROUND(BF60,2)</f>
        <v>6.48</v>
      </c>
      <c r="D789" s="276">
        <f>ROUND(BF61,0)</f>
        <v>68596</v>
      </c>
      <c r="E789" s="276">
        <f>ROUND(BF62,0)</f>
        <v>15458</v>
      </c>
      <c r="F789" s="276">
        <f>ROUND(BF63,0)</f>
        <v>0</v>
      </c>
      <c r="G789" s="276">
        <f>ROUND(BF64,0)</f>
        <v>10445</v>
      </c>
      <c r="H789" s="276">
        <f>ROUND(BF65,0)</f>
        <v>0</v>
      </c>
      <c r="I789" s="276">
        <f>ROUND(BF66,0)</f>
        <v>1658</v>
      </c>
      <c r="J789" s="276">
        <f>ROUND(BF67,0)</f>
        <v>5763</v>
      </c>
      <c r="K789" s="276">
        <f>ROUND(BF68,0)</f>
        <v>0</v>
      </c>
      <c r="L789" s="276">
        <f>ROUND(BF69,0)</f>
        <v>803</v>
      </c>
      <c r="M789" s="276">
        <f>ROUND(BF70,0)</f>
        <v>0</v>
      </c>
      <c r="N789" s="276"/>
      <c r="O789" s="276"/>
      <c r="P789" s="276">
        <f>IF(BF76&gt;0,ROUND(BF76,0),0)</f>
        <v>1348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e">
        <f>RIGHT($C$83,3)&amp;"*"&amp;RIGHT($C$82,4)&amp;"*"&amp;BG$55&amp;"*"&amp;"A"</f>
        <v>#VALUE!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5136</v>
      </c>
      <c r="J790" s="276">
        <f>ROUND(BG67,0)</f>
        <v>0</v>
      </c>
      <c r="K790" s="276">
        <f>ROUND(BG68,0)</f>
        <v>0</v>
      </c>
      <c r="L790" s="276">
        <f>ROUND(BG69,0)</f>
        <v>12194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e">
        <f>RIGHT($C$83,3)&amp;"*"&amp;RIGHT($C$82,4)&amp;"*"&amp;BH$55&amp;"*"&amp;"A"</f>
        <v>#VALUE!</v>
      </c>
      <c r="B791" s="276"/>
      <c r="C791" s="278">
        <f>ROUND(BH60,2)</f>
        <v>0.22</v>
      </c>
      <c r="D791" s="276">
        <f>ROUND(BH61,0)</f>
        <v>2295</v>
      </c>
      <c r="E791" s="276">
        <f>ROUND(BH62,0)</f>
        <v>517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2394</v>
      </c>
      <c r="K791" s="276">
        <f>ROUND(BH68,0)</f>
        <v>0</v>
      </c>
      <c r="L791" s="276">
        <f>ROUND(BH69,0)</f>
        <v>72502</v>
      </c>
      <c r="M791" s="276">
        <f>ROUND(BH70,0)</f>
        <v>0</v>
      </c>
      <c r="N791" s="276"/>
      <c r="O791" s="276"/>
      <c r="P791" s="276">
        <f>IF(BH76&gt;0,ROUND(BH76,0),0)</f>
        <v>560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e">
        <f>RIGHT($C$83,3)&amp;"*"&amp;RIGHT($C$82,4)&amp;"*"&amp;BI$55&amp;"*"&amp;"A"</f>
        <v>#VALUE!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e">
        <f>RIGHT($C$83,3)&amp;"*"&amp;RIGHT($C$82,4)&amp;"*"&amp;BJ$55&amp;"*"&amp;"A"</f>
        <v>#VALUE!</v>
      </c>
      <c r="B793" s="276"/>
      <c r="C793" s="278">
        <f>ROUND(BJ60,2)</f>
        <v>0.59</v>
      </c>
      <c r="D793" s="276">
        <f>ROUND(BJ61,0)</f>
        <v>2624</v>
      </c>
      <c r="E793" s="276">
        <f>ROUND(BJ62,0)</f>
        <v>591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-2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e">
        <f>RIGHT($C$83,3)&amp;"*"&amp;RIGHT($C$82,4)&amp;"*"&amp;BK$55&amp;"*"&amp;"A"</f>
        <v>#VALUE!</v>
      </c>
      <c r="B794" s="276"/>
      <c r="C794" s="278">
        <f>ROUND(BK60,2)</f>
        <v>0.17</v>
      </c>
      <c r="D794" s="276">
        <f>ROUND(BK61,0)</f>
        <v>4214</v>
      </c>
      <c r="E794" s="276">
        <f>ROUND(BK62,0)</f>
        <v>950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110158</v>
      </c>
      <c r="J794" s="276">
        <f>ROUND(BK67,0)</f>
        <v>6045</v>
      </c>
      <c r="K794" s="276">
        <f>ROUND(BK68,0)</f>
        <v>0</v>
      </c>
      <c r="L794" s="276">
        <f>ROUND(BK69,0)</f>
        <v>175</v>
      </c>
      <c r="M794" s="276">
        <f>ROUND(BK70,0)</f>
        <v>0</v>
      </c>
      <c r="N794" s="276"/>
      <c r="O794" s="276"/>
      <c r="P794" s="276">
        <f>IF(BK76&gt;0,ROUND(BK76,0),0)</f>
        <v>1414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e">
        <f>RIGHT($C$83,3)&amp;"*"&amp;RIGHT($C$82,4)&amp;"*"&amp;BL$55&amp;"*"&amp;"A"</f>
        <v>#VALUE!</v>
      </c>
      <c r="B795" s="276"/>
      <c r="C795" s="278">
        <f>ROUND(BL60,2)</f>
        <v>8.6199999999999992</v>
      </c>
      <c r="D795" s="276">
        <f>ROUND(BL61,0)</f>
        <v>100690</v>
      </c>
      <c r="E795" s="276">
        <f>ROUND(BL62,0)</f>
        <v>22690</v>
      </c>
      <c r="F795" s="276">
        <f>ROUND(BL63,0)</f>
        <v>0</v>
      </c>
      <c r="G795" s="276">
        <f>ROUND(BL64,0)</f>
        <v>3078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120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e">
        <f>RIGHT($C$83,3)&amp;"*"&amp;RIGHT($C$82,4)&amp;"*"&amp;BM$55&amp;"*"&amp;"A"</f>
        <v>#VALUE!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e">
        <f>RIGHT($C$83,3)&amp;"*"&amp;RIGHT($C$82,4)&amp;"*"&amp;BN$55&amp;"*"&amp;"A"</f>
        <v>#VALUE!</v>
      </c>
      <c r="B797" s="276"/>
      <c r="C797" s="278">
        <f>ROUND(BN60,2)</f>
        <v>0</v>
      </c>
      <c r="D797" s="276">
        <f>ROUND(BN61,0)</f>
        <v>42563</v>
      </c>
      <c r="E797" s="276">
        <f>ROUND(BN62,0)</f>
        <v>9591</v>
      </c>
      <c r="F797" s="276">
        <f>ROUND(BN63,0)</f>
        <v>0</v>
      </c>
      <c r="G797" s="276">
        <f>ROUND(BN64,0)</f>
        <v>2725</v>
      </c>
      <c r="H797" s="276">
        <f>ROUND(BN65,0)</f>
        <v>0</v>
      </c>
      <c r="I797" s="276">
        <f>ROUND(BN66,0)</f>
        <v>625844</v>
      </c>
      <c r="J797" s="276">
        <f>ROUND(BN67,0)</f>
        <v>3048</v>
      </c>
      <c r="K797" s="276">
        <f>ROUND(BN68,0)</f>
        <v>-1036</v>
      </c>
      <c r="L797" s="276">
        <f>ROUND(BN69,0)</f>
        <v>22129</v>
      </c>
      <c r="M797" s="276">
        <f>ROUND(BN70,0)</f>
        <v>0</v>
      </c>
      <c r="N797" s="276"/>
      <c r="O797" s="276"/>
      <c r="P797" s="276">
        <f>IF(BN76&gt;0,ROUND(BN76,0),0)</f>
        <v>713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e">
        <f>RIGHT($C$83,3)&amp;"*"&amp;RIGHT($C$82,4)&amp;"*"&amp;BO$55&amp;"*"&amp;"A"</f>
        <v>#VALUE!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e">
        <f>RIGHT($C$83,3)&amp;"*"&amp;RIGHT($C$82,4)&amp;"*"&amp;BP$55&amp;"*"&amp;"A"</f>
        <v>#VALUE!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40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e">
        <f>RIGHT($C$83,3)&amp;"*"&amp;RIGHT($C$82,4)&amp;"*"&amp;BQ$55&amp;"*"&amp;"A"</f>
        <v>#VALUE!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e">
        <f>RIGHT($C$83,3)&amp;"*"&amp;RIGHT($C$82,4)&amp;"*"&amp;BR$55&amp;"*"&amp;"A"</f>
        <v>#VALUE!</v>
      </c>
      <c r="B801" s="276"/>
      <c r="C801" s="278">
        <f>ROUND(BR60,2)</f>
        <v>0.33</v>
      </c>
      <c r="D801" s="276">
        <f>ROUND(BR61,0)</f>
        <v>3839</v>
      </c>
      <c r="E801" s="276">
        <f>ROUND(BR62,0)</f>
        <v>865</v>
      </c>
      <c r="F801" s="276">
        <f>ROUND(BR63,0)</f>
        <v>0</v>
      </c>
      <c r="G801" s="276">
        <f>ROUND(BR64,0)</f>
        <v>2040</v>
      </c>
      <c r="H801" s="276">
        <f>ROUND(BR65,0)</f>
        <v>0</v>
      </c>
      <c r="I801" s="276">
        <f>ROUND(BR66,0)</f>
        <v>13510</v>
      </c>
      <c r="J801" s="276">
        <f>ROUND(BR67,0)</f>
        <v>1744</v>
      </c>
      <c r="K801" s="276">
        <f>ROUND(BR68,0)</f>
        <v>0</v>
      </c>
      <c r="L801" s="276">
        <f>ROUND(BR69,0)</f>
        <v>427</v>
      </c>
      <c r="M801" s="276">
        <f>ROUND(BR70,0)</f>
        <v>0</v>
      </c>
      <c r="N801" s="276"/>
      <c r="O801" s="276"/>
      <c r="P801" s="276">
        <f>IF(BR76&gt;0,ROUND(BR76,0),0)</f>
        <v>408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e">
        <f>RIGHT($C$83,3)&amp;"*"&amp;RIGHT($C$82,4)&amp;"*"&amp;BS$55&amp;"*"&amp;"A"</f>
        <v>#VALUE!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1283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300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e">
        <f>RIGHT($C$83,3)&amp;"*"&amp;RIGHT($C$82,4)&amp;"*"&amp;BT$55&amp;"*"&amp;"A"</f>
        <v>#VALUE!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1625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380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e">
        <f>RIGHT($C$83,3)&amp;"*"&amp;RIGHT($C$82,4)&amp;"*"&amp;BU$55&amp;"*"&amp;"A"</f>
        <v>#VALUE!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e">
        <f>RIGHT($C$83,3)&amp;"*"&amp;RIGHT($C$82,4)&amp;"*"&amp;BV$55&amp;"*"&amp;"A"</f>
        <v>#VALUE!</v>
      </c>
      <c r="B805" s="276"/>
      <c r="C805" s="278">
        <f>ROUND(BV60,2)</f>
        <v>2.85</v>
      </c>
      <c r="D805" s="276">
        <f>ROUND(BV61,0)</f>
        <v>46656</v>
      </c>
      <c r="E805" s="276">
        <f>ROUND(BV62,0)</f>
        <v>10514</v>
      </c>
      <c r="F805" s="276">
        <f>ROUND(BV63,0)</f>
        <v>0</v>
      </c>
      <c r="G805" s="276">
        <f>ROUND(BV64,0)</f>
        <v>124</v>
      </c>
      <c r="H805" s="276">
        <f>ROUND(BV65,0)</f>
        <v>0</v>
      </c>
      <c r="I805" s="276">
        <f>ROUND(BV66,0)</f>
        <v>33513</v>
      </c>
      <c r="J805" s="276">
        <f>ROUND(BV67,0)</f>
        <v>5814</v>
      </c>
      <c r="K805" s="276">
        <f>ROUND(BV68,0)</f>
        <v>3875</v>
      </c>
      <c r="L805" s="276">
        <f>ROUND(BV69,0)</f>
        <v>26248</v>
      </c>
      <c r="M805" s="276">
        <f>ROUND(BV70,0)</f>
        <v>0</v>
      </c>
      <c r="N805" s="276"/>
      <c r="O805" s="276"/>
      <c r="P805" s="276">
        <f>IF(BV76&gt;0,ROUND(BV76,0),0)</f>
        <v>1360</v>
      </c>
      <c r="Q805" s="276">
        <f>IF(BV77&gt;0,ROUND(BV77,0),0)</f>
        <v>0</v>
      </c>
      <c r="R805" s="276">
        <f>IF(BV78&gt;0,ROUND(BV78,0),0)</f>
        <v>30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e">
        <f>RIGHT($C$83,3)&amp;"*"&amp;RIGHT($C$82,4)&amp;"*"&amp;BW$55&amp;"*"&amp;"A"</f>
        <v>#VALUE!</v>
      </c>
      <c r="B806" s="276"/>
      <c r="C806" s="278">
        <f>ROUND(BW60,2)</f>
        <v>0.22</v>
      </c>
      <c r="D806" s="276">
        <f>ROUND(BW61,0)</f>
        <v>3149</v>
      </c>
      <c r="E806" s="276">
        <f>ROUND(BW62,0)</f>
        <v>710</v>
      </c>
      <c r="F806" s="276">
        <f>ROUND(BW63,0)</f>
        <v>0</v>
      </c>
      <c r="G806" s="276">
        <f>ROUND(BW64,0)</f>
        <v>108</v>
      </c>
      <c r="H806" s="276">
        <f>ROUND(BW65,0)</f>
        <v>0</v>
      </c>
      <c r="I806" s="276">
        <f>ROUND(BW66,0)</f>
        <v>504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e">
        <f>RIGHT($C$83,3)&amp;"*"&amp;RIGHT($C$82,4)&amp;"*"&amp;BX$55&amp;"*"&amp;"A"</f>
        <v>#VALUE!</v>
      </c>
      <c r="B807" s="276"/>
      <c r="C807" s="278">
        <f>ROUND(BX60,2)</f>
        <v>1.08</v>
      </c>
      <c r="D807" s="276">
        <f>ROUND(BX61,0)</f>
        <v>81377</v>
      </c>
      <c r="E807" s="276">
        <f>ROUND(BX62,0)</f>
        <v>18338</v>
      </c>
      <c r="F807" s="276">
        <f>ROUND(BX63,0)</f>
        <v>0</v>
      </c>
      <c r="G807" s="276">
        <f>ROUND(BX64,0)</f>
        <v>153</v>
      </c>
      <c r="H807" s="276">
        <f>ROUND(BX65,0)</f>
        <v>0</v>
      </c>
      <c r="I807" s="276">
        <f>ROUND(BX66,0)</f>
        <v>3604</v>
      </c>
      <c r="J807" s="276">
        <f>ROUND(BX67,0)</f>
        <v>1385</v>
      </c>
      <c r="K807" s="276">
        <f>ROUND(BX68,0)</f>
        <v>0</v>
      </c>
      <c r="L807" s="276">
        <f>ROUND(BX69,0)</f>
        <v>122</v>
      </c>
      <c r="M807" s="276">
        <f>ROUND(BX70,0)</f>
        <v>0</v>
      </c>
      <c r="N807" s="276"/>
      <c r="O807" s="276"/>
      <c r="P807" s="276">
        <f>IF(BX76&gt;0,ROUND(BX76,0),0)</f>
        <v>324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e">
        <f>RIGHT($C$83,3)&amp;"*"&amp;RIGHT($C$82,4)&amp;"*"&amp;BY$55&amp;"*"&amp;"A"</f>
        <v>#VALUE!</v>
      </c>
      <c r="B808" s="276"/>
      <c r="C808" s="278">
        <f>ROUND(BY60,2)</f>
        <v>1.56</v>
      </c>
      <c r="D808" s="276">
        <f>ROUND(BY61,0)</f>
        <v>55892</v>
      </c>
      <c r="E808" s="276">
        <f>ROUND(BY62,0)</f>
        <v>12595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2654</v>
      </c>
      <c r="J808" s="276">
        <f>ROUND(BY67,0)</f>
        <v>0</v>
      </c>
      <c r="K808" s="276">
        <f>ROUND(BY68,0)</f>
        <v>0</v>
      </c>
      <c r="L808" s="276">
        <f>ROUND(BY69,0)</f>
        <v>28754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e">
        <f>RIGHT($C$83,3)&amp;"*"&amp;RIGHT($C$82,4)&amp;"*"&amp;BZ$55&amp;"*"&amp;"A"</f>
        <v>#VALUE!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e">
        <f>RIGHT($C$83,3)&amp;"*"&amp;RIGHT($C$82,4)&amp;"*"&amp;CA$55&amp;"*"&amp;"A"</f>
        <v>#VALUE!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e">
        <f>RIGHT($C$83,3)&amp;"*"&amp;RIGHT($C$82,4)&amp;"*"&amp;CB$55&amp;"*"&amp;"A"</f>
        <v>#VALUE!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e">
        <f>RIGHT($C$83,3)&amp;"*"&amp;RIGHT($C$82,4)&amp;"*"&amp;CC$55&amp;"*"&amp;"A"</f>
        <v>#VALUE!</v>
      </c>
      <c r="B812" s="276"/>
      <c r="C812" s="278">
        <f>ROUND(CC60,2)</f>
        <v>0.01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40100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9380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e">
        <f>RIGHT($C$83,3)&amp;"*"&amp;RIGHT($C$82,4)&amp;"*"&amp;"9000"&amp;"*"&amp;"A"</f>
        <v>#VALUE!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886923</v>
      </c>
      <c r="V813" s="277">
        <f>ROUND(CD70,0)</f>
        <v>26204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123.00000000000001</v>
      </c>
      <c r="D815" s="277">
        <f t="shared" si="22"/>
        <v>3035670</v>
      </c>
      <c r="E815" s="277">
        <f t="shared" si="22"/>
        <v>684073</v>
      </c>
      <c r="F815" s="277">
        <f t="shared" si="22"/>
        <v>444630</v>
      </c>
      <c r="G815" s="277">
        <f t="shared" si="22"/>
        <v>430427</v>
      </c>
      <c r="H815" s="277">
        <f t="shared" si="22"/>
        <v>127775</v>
      </c>
      <c r="I815" s="277">
        <f t="shared" si="22"/>
        <v>986903</v>
      </c>
      <c r="J815" s="277">
        <f t="shared" si="22"/>
        <v>289119</v>
      </c>
      <c r="K815" s="277">
        <f t="shared" si="22"/>
        <v>104101</v>
      </c>
      <c r="L815" s="277">
        <f>SUM(L734:L813)+SUM(U734:U813)</f>
        <v>1142882</v>
      </c>
      <c r="M815" s="277">
        <f>SUM(M734:M813)+SUM(V734:V813)</f>
        <v>26204</v>
      </c>
      <c r="N815" s="277">
        <f t="shared" ref="N815:Y815" si="23">SUM(N734:N813)</f>
        <v>33808824</v>
      </c>
      <c r="O815" s="277">
        <f t="shared" si="23"/>
        <v>10578943</v>
      </c>
      <c r="P815" s="277">
        <f t="shared" si="23"/>
        <v>67629</v>
      </c>
      <c r="Q815" s="277">
        <f t="shared" si="23"/>
        <v>3639</v>
      </c>
      <c r="R815" s="277">
        <f t="shared" si="23"/>
        <v>3414</v>
      </c>
      <c r="S815" s="277">
        <f t="shared" si="23"/>
        <v>62707</v>
      </c>
      <c r="T815" s="281">
        <f t="shared" si="23"/>
        <v>49.8</v>
      </c>
      <c r="U815" s="277">
        <f t="shared" si="23"/>
        <v>886923</v>
      </c>
      <c r="V815" s="277">
        <f t="shared" si="23"/>
        <v>26204</v>
      </c>
      <c r="W815" s="277">
        <f t="shared" si="23"/>
        <v>0</v>
      </c>
      <c r="X815" s="277">
        <f t="shared" si="23"/>
        <v>0</v>
      </c>
      <c r="Y815" s="277">
        <f t="shared" si="23"/>
        <v>2870930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123.00000000000001</v>
      </c>
      <c r="D816" s="277">
        <f>CE61</f>
        <v>3035668.7799999993</v>
      </c>
      <c r="E816" s="277">
        <f>CE62</f>
        <v>684073</v>
      </c>
      <c r="F816" s="277">
        <f>CE63</f>
        <v>444629.17000000004</v>
      </c>
      <c r="G816" s="277">
        <f>CE64</f>
        <v>430425.77000000008</v>
      </c>
      <c r="H816" s="280">
        <f>CE65</f>
        <v>127774.99</v>
      </c>
      <c r="I816" s="280">
        <f>CE66</f>
        <v>986899.7300000001</v>
      </c>
      <c r="J816" s="280">
        <f>CE67</f>
        <v>289119</v>
      </c>
      <c r="K816" s="280">
        <f>CE68</f>
        <v>104101.31000000001</v>
      </c>
      <c r="L816" s="280">
        <f>CE69</f>
        <v>1142883.9200000002</v>
      </c>
      <c r="M816" s="280">
        <f>CE70</f>
        <v>26203.58</v>
      </c>
      <c r="N816" s="277">
        <f>CE75</f>
        <v>33808824.480000004</v>
      </c>
      <c r="O816" s="277">
        <f>CE73</f>
        <v>10578942.760000002</v>
      </c>
      <c r="P816" s="277">
        <f>CE76</f>
        <v>67629</v>
      </c>
      <c r="Q816" s="277">
        <f>CE77</f>
        <v>3639</v>
      </c>
      <c r="R816" s="277">
        <f>CE78</f>
        <v>3414</v>
      </c>
      <c r="S816" s="277">
        <f>CE79</f>
        <v>62707</v>
      </c>
      <c r="T816" s="281">
        <f>CE80</f>
        <v>49.8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2870929.64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3035669</v>
      </c>
      <c r="E817" s="180">
        <f>C379</f>
        <v>684071</v>
      </c>
      <c r="F817" s="180">
        <f>C380</f>
        <v>444629</v>
      </c>
      <c r="G817" s="240">
        <f>C381</f>
        <v>430426</v>
      </c>
      <c r="H817" s="240">
        <f>C382</f>
        <v>127775</v>
      </c>
      <c r="I817" s="240">
        <f>C383</f>
        <v>986900</v>
      </c>
      <c r="J817" s="240">
        <f>C384</f>
        <v>289117</v>
      </c>
      <c r="K817" s="240">
        <f>C385</f>
        <v>104101</v>
      </c>
      <c r="L817" s="240">
        <f>C386+C387+C388+C389</f>
        <v>1142883.69</v>
      </c>
      <c r="M817" s="240">
        <f>C370</f>
        <v>26204</v>
      </c>
      <c r="N817" s="180">
        <f>D361</f>
        <v>33808825</v>
      </c>
      <c r="O817" s="180">
        <f>C359</f>
        <v>10578943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ASTRIA TOPPENISH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H-199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502 W 4th Avenue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Toppenish, WA 98948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4" zoomScale="75" workbookViewId="0">
      <selection activeCell="D9" sqref="D9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H-199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ASTRIA TOPPENISH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Yakima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Brian Hargis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Maxwell Owens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Bertha Ortega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509-865-3105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509-865-1519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1396</v>
      </c>
      <c r="G23" s="21">
        <f>data!D111</f>
        <v>7367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362</v>
      </c>
      <c r="G26" s="13">
        <f>data!D114</f>
        <v>429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13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16</v>
      </c>
      <c r="E34" s="49" t="s">
        <v>291</v>
      </c>
      <c r="F34" s="24"/>
      <c r="G34" s="21">
        <f>data!E127</f>
        <v>51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15</v>
      </c>
      <c r="E36" s="49" t="s">
        <v>292</v>
      </c>
      <c r="F36" s="24"/>
      <c r="G36" s="21">
        <f>data!C128</f>
        <v>78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ASTRIA TOPPENISH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238</v>
      </c>
      <c r="C7" s="48">
        <f>data!B139</f>
        <v>1493</v>
      </c>
      <c r="D7" s="48">
        <f>data!B140</f>
        <v>5276</v>
      </c>
      <c r="E7" s="48">
        <f>data!B141</f>
        <v>8160416.1100000003</v>
      </c>
      <c r="F7" s="48">
        <f>data!B142</f>
        <v>9062400.5099999998</v>
      </c>
      <c r="G7" s="48">
        <f>data!B141+data!B142</f>
        <v>17222816.620000001</v>
      </c>
    </row>
    <row r="8" spans="1:13" ht="20.149999999999999" customHeight="1" x14ac:dyDescent="0.35">
      <c r="A8" s="23" t="s">
        <v>297</v>
      </c>
      <c r="B8" s="48">
        <f>data!C138</f>
        <v>597</v>
      </c>
      <c r="C8" s="48">
        <f>data!C139</f>
        <v>489</v>
      </c>
      <c r="D8" s="48">
        <f>data!C140</f>
        <v>1958</v>
      </c>
      <c r="E8" s="48">
        <f>data!C141</f>
        <v>21301235.390000001</v>
      </c>
      <c r="F8" s="48">
        <f>data!C142</f>
        <v>38372946.590000004</v>
      </c>
      <c r="G8" s="48">
        <f>data!C141+data!C142</f>
        <v>59674181.980000004</v>
      </c>
    </row>
    <row r="9" spans="1:13" ht="20.149999999999999" customHeight="1" x14ac:dyDescent="0.35">
      <c r="A9" s="23" t="s">
        <v>1058</v>
      </c>
      <c r="B9" s="48">
        <f>data!D138</f>
        <v>1202</v>
      </c>
      <c r="C9" s="48">
        <f>data!D139</f>
        <v>5385</v>
      </c>
      <c r="D9" s="48">
        <f>data!D140</f>
        <v>19183</v>
      </c>
      <c r="E9" s="48">
        <f>data!D141</f>
        <v>8433680.5</v>
      </c>
      <c r="F9" s="48">
        <f>data!D142</f>
        <v>31031431.899999999</v>
      </c>
      <c r="G9" s="48">
        <f>data!D141+data!D142</f>
        <v>39465112.399999999</v>
      </c>
    </row>
    <row r="10" spans="1:13" ht="20.149999999999999" customHeight="1" x14ac:dyDescent="0.35">
      <c r="A10" s="111" t="s">
        <v>203</v>
      </c>
      <c r="B10" s="48">
        <f>data!E138</f>
        <v>2037</v>
      </c>
      <c r="C10" s="48">
        <f>data!E139</f>
        <v>7367</v>
      </c>
      <c r="D10" s="48">
        <f>data!E140</f>
        <v>26417</v>
      </c>
      <c r="E10" s="48">
        <f>data!E141</f>
        <v>37895332</v>
      </c>
      <c r="F10" s="48">
        <f>data!E142</f>
        <v>78466779</v>
      </c>
      <c r="G10" s="48">
        <f>data!E141+data!E142</f>
        <v>116362111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ASTRIA TOPPENISH HOSPITAL</v>
      </c>
      <c r="B3" s="30"/>
      <c r="C3" s="31" t="str">
        <f>"FYE: "&amp;data!C82</f>
        <v>FYE: 12/31/2019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759011.66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66857.11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-32304.91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518873.82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366080.76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1678518.44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229416.97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6955.96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236372.93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153217.99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5730.39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158948.38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223618.21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923226.93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1146845.1400000001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381749.15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381749.15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ASTRIA TOPPENISH HOSPITAL</v>
      </c>
      <c r="B3" s="8"/>
      <c r="C3" s="8"/>
      <c r="E3" s="11"/>
      <c r="F3" s="12" t="str">
        <f>" FYE: "&amp;data!C82</f>
        <v xml:space="preserve"> FYE: 12/31/2019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550000</v>
      </c>
      <c r="D7" s="21">
        <f>data!C195</f>
        <v>0</v>
      </c>
      <c r="E7" s="21">
        <f>data!D195</f>
        <v>0</v>
      </c>
      <c r="F7" s="21">
        <f>data!E195</f>
        <v>550000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11949.93</v>
      </c>
      <c r="D8" s="21">
        <f>data!C196</f>
        <v>15002.95</v>
      </c>
      <c r="E8" s="21">
        <f>data!D196</f>
        <v>0</v>
      </c>
      <c r="F8" s="21">
        <f>data!E196</f>
        <v>26952.880000000001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6732357.4899999993</v>
      </c>
      <c r="D9" s="21">
        <f>data!C197</f>
        <v>11660</v>
      </c>
      <c r="E9" s="21">
        <f>data!D197</f>
        <v>0</v>
      </c>
      <c r="F9" s="21">
        <f>data!E197</f>
        <v>6744017.4899999993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82396.7</v>
      </c>
      <c r="D10" s="21">
        <f>data!C198</f>
        <v>0</v>
      </c>
      <c r="E10" s="21">
        <f>data!D198</f>
        <v>0</v>
      </c>
      <c r="F10" s="21">
        <f>data!E198</f>
        <v>82396.7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1449765.82</v>
      </c>
      <c r="D12" s="21">
        <f>data!C200</f>
        <v>146131.41</v>
      </c>
      <c r="E12" s="21">
        <f>data!D200</f>
        <v>0</v>
      </c>
      <c r="F12" s="21">
        <f>data!E200</f>
        <v>1595897.23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127089.58</v>
      </c>
      <c r="D13" s="21">
        <f>data!C201</f>
        <v>106850.41</v>
      </c>
      <c r="E13" s="21">
        <f>data!D201</f>
        <v>0</v>
      </c>
      <c r="F13" s="21">
        <f>data!E201</f>
        <v>233939.99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747864.29</v>
      </c>
      <c r="D15" s="21">
        <f>data!C203</f>
        <v>459335.49</v>
      </c>
      <c r="E15" s="21">
        <f>data!D203</f>
        <v>0</v>
      </c>
      <c r="F15" s="21">
        <f>data!E203</f>
        <v>1207199.78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9701423.8099999987</v>
      </c>
      <c r="D16" s="21">
        <f>data!C204</f>
        <v>738980.26</v>
      </c>
      <c r="E16" s="21">
        <f>data!D204</f>
        <v>0</v>
      </c>
      <c r="F16" s="21">
        <f>data!E204</f>
        <v>10440404.069999998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66.39</v>
      </c>
      <c r="D24" s="21">
        <f>data!C209</f>
        <v>796.66</v>
      </c>
      <c r="E24" s="21">
        <f>data!D209</f>
        <v>0</v>
      </c>
      <c r="F24" s="21">
        <f>data!E209</f>
        <v>863.05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622019.15</v>
      </c>
      <c r="D25" s="21">
        <f>data!C210</f>
        <v>421477.5</v>
      </c>
      <c r="E25" s="21">
        <f>data!D210</f>
        <v>0</v>
      </c>
      <c r="F25" s="21">
        <f>data!E210</f>
        <v>1043496.65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632290.80000000005</v>
      </c>
      <c r="D28" s="21">
        <f>data!C213</f>
        <v>359157.35</v>
      </c>
      <c r="E28" s="21">
        <f>data!D213</f>
        <v>0</v>
      </c>
      <c r="F28" s="21">
        <f>data!E213</f>
        <v>991448.15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-103276.36</v>
      </c>
      <c r="D29" s="21">
        <f>data!C214</f>
        <v>74899.459999999992</v>
      </c>
      <c r="E29" s="21">
        <f>data!D214</f>
        <v>0</v>
      </c>
      <c r="F29" s="21">
        <f>data!E214</f>
        <v>-28376.900000000009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1151099.98</v>
      </c>
      <c r="D32" s="21">
        <f>data!C217</f>
        <v>856330.97</v>
      </c>
      <c r="E32" s="21">
        <f>data!D217</f>
        <v>0</v>
      </c>
      <c r="F32" s="21">
        <f>data!E217</f>
        <v>2007430.9500000002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ASTRIA TOPPENISH HOSPITAL</v>
      </c>
      <c r="B2" s="30"/>
      <c r="C2" s="30"/>
      <c r="D2" s="31" t="str">
        <f>"FYE: "&amp;data!C82</f>
        <v>FYE: 12/31/2019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203580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14308681.33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55807444.25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1469077.4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440966.23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24346192.780000001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96372361.99000001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69524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254040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323564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96899505.99000001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ASTRIA TOPPENISH HOSPITAL</v>
      </c>
      <c r="B3" s="30"/>
      <c r="C3" s="31" t="str">
        <f>" FYE: "&amp;data!C82</f>
        <v xml:space="preserve"> FYE: 12/31/2019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-333274.87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1610939.79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46895731.57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33395221.149999999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34889.410000000003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488426.16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442579.17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15744070.080000004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550000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26952.880000000001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6744017.4899999993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82396.7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1829837.22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1207199.78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10440404.069999998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2007430.95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8432973.1199999992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761942.2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761942.2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24938985.400000002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ASTRIA TOPPENISH HOSPITAL</v>
      </c>
      <c r="B55" s="30"/>
      <c r="C55" s="31" t="str">
        <f>"FYE: "&amp;data!C82</f>
        <v>FYE: 12/31/2019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1961253.61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-1329418.17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832209.57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1464045.0100000002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804283.53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10436306.119999999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24665963.809999999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35906553.459999993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35906553.459999993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-12431613.07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-12431613.07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24938985.399999991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ASTRIA TOPPENISH HOSPITAL</v>
      </c>
      <c r="B107" s="30"/>
      <c r="C107" s="31" t="str">
        <f>" FYE: "&amp;data!C82</f>
        <v xml:space="preserve"> FYE: 12/31/2019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37895331.960000001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78466779.439999998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116362111.40000001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203580.24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96372361.939999998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323563.57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96899505.749999985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19462605.650000021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529626.88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529626.88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19992232.53000002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10317197.050000001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1678518.44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2122158.13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1837354.45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424774.79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5938813.6799999997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1477526.45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236372.93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158948.38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29832.95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-381749.15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1559517.47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25399265.569999997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-5407033.0399999768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-5407033.0399999768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-5407033.0399999768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ASTRIA TOPPENISH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187</v>
      </c>
      <c r="D9" s="14">
        <f>data!D59</f>
        <v>0</v>
      </c>
      <c r="E9" s="14">
        <f>data!E59</f>
        <v>2938</v>
      </c>
      <c r="F9" s="14">
        <f>data!F59</f>
        <v>0</v>
      </c>
      <c r="G9" s="14">
        <f>data!G59</f>
        <v>0</v>
      </c>
      <c r="H9" s="14">
        <f>data!H59</f>
        <v>3571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6.82</v>
      </c>
      <c r="D10" s="26">
        <f>data!D60</f>
        <v>0</v>
      </c>
      <c r="E10" s="26">
        <f>data!E60</f>
        <v>29.96</v>
      </c>
      <c r="F10" s="26">
        <f>data!F60</f>
        <v>0</v>
      </c>
      <c r="G10" s="26">
        <f>data!G60</f>
        <v>0</v>
      </c>
      <c r="H10" s="26">
        <f>data!H60</f>
        <v>13.15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487070.1</v>
      </c>
      <c r="D11" s="14">
        <f>data!D61</f>
        <v>0</v>
      </c>
      <c r="E11" s="14">
        <f>data!E61</f>
        <v>1518446.9</v>
      </c>
      <c r="F11" s="14">
        <f>data!F61</f>
        <v>0</v>
      </c>
      <c r="G11" s="14">
        <f>data!G61</f>
        <v>0</v>
      </c>
      <c r="H11" s="14">
        <f>data!H61</f>
        <v>468.13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138909</v>
      </c>
      <c r="D12" s="14">
        <f>data!D62</f>
        <v>0</v>
      </c>
      <c r="E12" s="14">
        <f>data!E62</f>
        <v>403363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3400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74994.460000000006</v>
      </c>
      <c r="D14" s="14">
        <f>data!D64</f>
        <v>0</v>
      </c>
      <c r="E14" s="14">
        <f>data!E64</f>
        <v>19296.939999999999</v>
      </c>
      <c r="F14" s="14">
        <f>data!F64</f>
        <v>0</v>
      </c>
      <c r="G14" s="14">
        <f>data!G64</f>
        <v>0</v>
      </c>
      <c r="H14" s="14">
        <f>data!H64</f>
        <v>7852.83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62670.73</v>
      </c>
      <c r="D16" s="14">
        <f>data!D66</f>
        <v>0</v>
      </c>
      <c r="E16" s="14">
        <f>data!E66</f>
        <v>175020.28</v>
      </c>
      <c r="F16" s="14">
        <f>data!F66</f>
        <v>0</v>
      </c>
      <c r="G16" s="14">
        <f>data!G66</f>
        <v>0</v>
      </c>
      <c r="H16" s="14">
        <f>data!H66</f>
        <v>1447232.8900000001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63059</v>
      </c>
      <c r="D17" s="14">
        <f>data!D67</f>
        <v>0</v>
      </c>
      <c r="E17" s="14">
        <f>data!E67</f>
        <v>196386</v>
      </c>
      <c r="F17" s="14">
        <f>data!F67</f>
        <v>0</v>
      </c>
      <c r="G17" s="14">
        <f>data!G67</f>
        <v>0</v>
      </c>
      <c r="H17" s="14">
        <f>data!H67</f>
        <v>81388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1978.34</v>
      </c>
      <c r="D18" s="14">
        <f>data!D68</f>
        <v>0</v>
      </c>
      <c r="E18" s="14">
        <f>data!E68</f>
        <v>1978.34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2680.61</v>
      </c>
      <c r="D19" s="14">
        <f>data!D69</f>
        <v>0</v>
      </c>
      <c r="E19" s="14">
        <f>data!E69</f>
        <v>-233.4</v>
      </c>
      <c r="F19" s="14">
        <f>data!F69</f>
        <v>0</v>
      </c>
      <c r="G19" s="14">
        <f>data!G69</f>
        <v>0</v>
      </c>
      <c r="H19" s="14">
        <f>data!H69</f>
        <v>6000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831362.23999999987</v>
      </c>
      <c r="D21" s="14">
        <f>data!D71</f>
        <v>0</v>
      </c>
      <c r="E21" s="14">
        <f>data!E71</f>
        <v>2317658.0599999996</v>
      </c>
      <c r="F21" s="14">
        <f>data!F71</f>
        <v>0</v>
      </c>
      <c r="G21" s="14">
        <f>data!G71</f>
        <v>0</v>
      </c>
      <c r="H21" s="14">
        <f>data!H71</f>
        <v>1542941.85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648815.31000000006</v>
      </c>
      <c r="D24" s="14">
        <f>data!D73</f>
        <v>0</v>
      </c>
      <c r="E24" s="14">
        <f>data!E73</f>
        <v>9754389.0700000003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16487.099999999999</v>
      </c>
      <c r="D25" s="14">
        <f>data!D74</f>
        <v>0</v>
      </c>
      <c r="E25" s="14">
        <f>data!E74</f>
        <v>157693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665302.41</v>
      </c>
      <c r="D26" s="14">
        <f>data!D75</f>
        <v>0</v>
      </c>
      <c r="E26" s="14">
        <f>data!E75</f>
        <v>9912082.0700000003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3000</v>
      </c>
      <c r="D28" s="14">
        <f>data!D76</f>
        <v>0</v>
      </c>
      <c r="E28" s="14">
        <f>data!E76</f>
        <v>9343</v>
      </c>
      <c r="F28" s="14">
        <f>data!F76</f>
        <v>0</v>
      </c>
      <c r="G28" s="14">
        <f>data!G76</f>
        <v>0</v>
      </c>
      <c r="H28" s="14">
        <f>data!H76</f>
        <v>3872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609</v>
      </c>
      <c r="D29" s="14">
        <f>data!D77</f>
        <v>0</v>
      </c>
      <c r="E29" s="14">
        <f>data!E77</f>
        <v>9582</v>
      </c>
      <c r="F29" s="14">
        <f>data!F77</f>
        <v>0</v>
      </c>
      <c r="G29" s="14">
        <f>data!G77</f>
        <v>0</v>
      </c>
      <c r="H29" s="14">
        <f>data!H77</f>
        <v>11646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36033</v>
      </c>
      <c r="D31" s="14">
        <f>data!D79</f>
        <v>0</v>
      </c>
      <c r="E31" s="14">
        <f>data!E79</f>
        <v>9627</v>
      </c>
      <c r="F31" s="14">
        <f>data!F79</f>
        <v>39286</v>
      </c>
      <c r="G31" s="14">
        <f>data!G79</f>
        <v>0</v>
      </c>
      <c r="H31" s="14">
        <f>data!H79</f>
        <v>6500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6.53</v>
      </c>
      <c r="D32" s="84">
        <f>data!D80</f>
        <v>0</v>
      </c>
      <c r="E32" s="84">
        <f>data!E80</f>
        <v>20.85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ASTRIA TOPPENISH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429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671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15.56</v>
      </c>
      <c r="I42" s="26">
        <f>data!P60</f>
        <v>9.67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1122696.99</v>
      </c>
      <c r="I43" s="14">
        <f>data!P61</f>
        <v>496188.32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291425</v>
      </c>
      <c r="I44" s="14">
        <f>data!P62</f>
        <v>140150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-40.28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106336.94</v>
      </c>
      <c r="I46" s="14">
        <f>data!P64</f>
        <v>326614.64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124615.98</v>
      </c>
      <c r="I48" s="14">
        <f>data!P66</f>
        <v>168229.05000000002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14714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186338</v>
      </c>
      <c r="I49" s="14">
        <f>data!P67</f>
        <v>51498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92.65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2124.06</v>
      </c>
      <c r="I50" s="14">
        <f>data!P68</f>
        <v>2526.7800000000002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15432.349999999999</v>
      </c>
      <c r="I51" s="14">
        <f>data!P69</f>
        <v>34534.800000000003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14766.369999999999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1848969.32</v>
      </c>
      <c r="I53" s="14">
        <f>data!P71</f>
        <v>1219741.5900000001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781846.76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2901780.13</v>
      </c>
      <c r="I56" s="14">
        <f>data!P73</f>
        <v>3760128.08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23657.24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301245.78000000003</v>
      </c>
      <c r="I57" s="14">
        <f>data!P74</f>
        <v>8228452.2800000003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805504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3203025.91</v>
      </c>
      <c r="I58" s="14">
        <f>data!P75</f>
        <v>11988580.359999999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700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8865</v>
      </c>
      <c r="I60" s="14">
        <f>data!P76</f>
        <v>2450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2189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21266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13.32</v>
      </c>
      <c r="I64" s="26">
        <f>data!P80</f>
        <v>4.9000000000000004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ASTRIA TOPPENISH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1.5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10.039999999999999</v>
      </c>
      <c r="H74" s="26">
        <f>data!V60</f>
        <v>0.02</v>
      </c>
      <c r="I74" s="26">
        <f>data!W60</f>
        <v>0.16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112891.44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556976.71</v>
      </c>
      <c r="H75" s="14">
        <f>data!V61</f>
        <v>347.69</v>
      </c>
      <c r="I75" s="14">
        <f>data!W61</f>
        <v>8218.66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23899</v>
      </c>
      <c r="D76" s="14">
        <f>data!R62</f>
        <v>0</v>
      </c>
      <c r="E76" s="14">
        <f>data!S62</f>
        <v>75377</v>
      </c>
      <c r="F76" s="14">
        <f>data!T62</f>
        <v>0</v>
      </c>
      <c r="G76" s="14">
        <f>data!U62</f>
        <v>194134</v>
      </c>
      <c r="H76" s="14">
        <f>data!V62</f>
        <v>29</v>
      </c>
      <c r="I76" s="14">
        <f>data!W62</f>
        <v>1145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256760.69</v>
      </c>
      <c r="E77" s="14">
        <f>data!S63</f>
        <v>0</v>
      </c>
      <c r="F77" s="14">
        <f>data!T63</f>
        <v>0</v>
      </c>
      <c r="G77" s="14">
        <f>data!U63</f>
        <v>3878.47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21543.91</v>
      </c>
      <c r="D78" s="14">
        <f>data!R64</f>
        <v>12682.34</v>
      </c>
      <c r="E78" s="14">
        <f>data!S64</f>
        <v>-6361.59</v>
      </c>
      <c r="F78" s="14">
        <f>data!T64</f>
        <v>-1334.92</v>
      </c>
      <c r="G78" s="14">
        <f>data!U64</f>
        <v>402243.82</v>
      </c>
      <c r="H78" s="14">
        <f>data!V64</f>
        <v>0</v>
      </c>
      <c r="I78" s="14">
        <f>data!W64</f>
        <v>231.58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2196.81</v>
      </c>
      <c r="D80" s="14">
        <f>data!R66</f>
        <v>0</v>
      </c>
      <c r="E80" s="14">
        <f>data!S66</f>
        <v>712.14</v>
      </c>
      <c r="F80" s="14">
        <f>data!T66</f>
        <v>0</v>
      </c>
      <c r="G80" s="14">
        <f>data!U66</f>
        <v>149077.53</v>
      </c>
      <c r="H80" s="14">
        <f>data!V66</f>
        <v>0</v>
      </c>
      <c r="I80" s="14">
        <f>data!W66</f>
        <v>125654.3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82081</v>
      </c>
      <c r="D81" s="14">
        <f>data!R67</f>
        <v>3363</v>
      </c>
      <c r="E81" s="14">
        <f>data!S67</f>
        <v>0</v>
      </c>
      <c r="F81" s="14">
        <f>data!T67</f>
        <v>0</v>
      </c>
      <c r="G81" s="14">
        <f>data!U67</f>
        <v>57615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392.69</v>
      </c>
      <c r="E82" s="14">
        <f>data!S68</f>
        <v>2453.64</v>
      </c>
      <c r="F82" s="14">
        <f>data!T68</f>
        <v>0</v>
      </c>
      <c r="G82" s="14">
        <f>data!U68</f>
        <v>8767.42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790</v>
      </c>
      <c r="D83" s="14">
        <f>data!R69</f>
        <v>5758.28</v>
      </c>
      <c r="E83" s="14">
        <f>data!S69</f>
        <v>4255.67</v>
      </c>
      <c r="F83" s="14">
        <f>data!T69</f>
        <v>0</v>
      </c>
      <c r="G83" s="14">
        <f>data!U69</f>
        <v>38794.94</v>
      </c>
      <c r="H83" s="14">
        <f>data!V69</f>
        <v>134.32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243402.16</v>
      </c>
      <c r="D85" s="14">
        <f>data!R71</f>
        <v>278957.00000000006</v>
      </c>
      <c r="E85" s="14">
        <f>data!S71</f>
        <v>76436.86</v>
      </c>
      <c r="F85" s="14">
        <f>data!T71</f>
        <v>-1334.92</v>
      </c>
      <c r="G85" s="14">
        <f>data!U71</f>
        <v>1411487.89</v>
      </c>
      <c r="H85" s="14">
        <f>data!V71</f>
        <v>511.01</v>
      </c>
      <c r="I85" s="14">
        <f>data!W71</f>
        <v>135249.54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48293.88</v>
      </c>
      <c r="D88" s="14">
        <f>data!R73</f>
        <v>211526.86</v>
      </c>
      <c r="E88" s="14">
        <f>data!S73</f>
        <v>182020.86</v>
      </c>
      <c r="F88" s="14">
        <f>data!T73</f>
        <v>64818.06</v>
      </c>
      <c r="G88" s="14">
        <f>data!U73</f>
        <v>5178624.04</v>
      </c>
      <c r="H88" s="14">
        <f>data!V73</f>
        <v>403626.23999999999</v>
      </c>
      <c r="I88" s="14">
        <f>data!W73</f>
        <v>49750.61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481274.47</v>
      </c>
      <c r="D89" s="14">
        <f>data!R74</f>
        <v>454912.47</v>
      </c>
      <c r="E89" s="14">
        <f>data!S74</f>
        <v>407667.78</v>
      </c>
      <c r="F89" s="14">
        <f>data!T74</f>
        <v>792282.17</v>
      </c>
      <c r="G89" s="14">
        <f>data!U74</f>
        <v>9524631.6300000008</v>
      </c>
      <c r="H89" s="14">
        <f>data!V74</f>
        <v>1035838.56</v>
      </c>
      <c r="I89" s="14">
        <f>data!W74</f>
        <v>881926.01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529568.35</v>
      </c>
      <c r="D90" s="14">
        <f>data!R75</f>
        <v>666439.32999999996</v>
      </c>
      <c r="E90" s="14">
        <f>data!S75</f>
        <v>589688.64</v>
      </c>
      <c r="F90" s="14">
        <f>data!T75</f>
        <v>857100.23</v>
      </c>
      <c r="G90" s="14">
        <f>data!U75</f>
        <v>14703255.670000002</v>
      </c>
      <c r="H90" s="14">
        <f>data!V75</f>
        <v>1439464.8</v>
      </c>
      <c r="I90" s="14">
        <f>data!W75</f>
        <v>931676.62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3905</v>
      </c>
      <c r="D92" s="14">
        <f>data!R76</f>
        <v>160</v>
      </c>
      <c r="E92" s="14">
        <f>data!S76</f>
        <v>0</v>
      </c>
      <c r="F92" s="14">
        <f>data!T76</f>
        <v>0</v>
      </c>
      <c r="G92" s="14">
        <f>data!U76</f>
        <v>2741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1.57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ASTRIA TOPPENISH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3597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0.69</v>
      </c>
      <c r="D106" s="26">
        <f>data!Y60</f>
        <v>11.18</v>
      </c>
      <c r="E106" s="26">
        <f>data!Z60</f>
        <v>0</v>
      </c>
      <c r="F106" s="26">
        <f>data!AA60</f>
        <v>0</v>
      </c>
      <c r="G106" s="26">
        <f>data!AB60</f>
        <v>3.5</v>
      </c>
      <c r="H106" s="26">
        <f>data!AC60</f>
        <v>5.6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44982.27</v>
      </c>
      <c r="D107" s="14">
        <f>data!Y61</f>
        <v>714220.14</v>
      </c>
      <c r="E107" s="14">
        <f>data!Z61</f>
        <v>0</v>
      </c>
      <c r="F107" s="14">
        <f>data!AA61</f>
        <v>0</v>
      </c>
      <c r="G107" s="14">
        <f>data!AB61</f>
        <v>276627.40999999997</v>
      </c>
      <c r="H107" s="14">
        <f>data!AC61</f>
        <v>355409.52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30420</v>
      </c>
      <c r="D108" s="14">
        <f>data!Y62</f>
        <v>218456</v>
      </c>
      <c r="E108" s="14">
        <f>data!Z62</f>
        <v>0</v>
      </c>
      <c r="F108" s="14">
        <f>data!AA62</f>
        <v>0</v>
      </c>
      <c r="G108" s="14">
        <f>data!AB62</f>
        <v>80273</v>
      </c>
      <c r="H108" s="14">
        <f>data!AC62</f>
        <v>111932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24299.64</v>
      </c>
      <c r="D110" s="14">
        <f>data!Y64</f>
        <v>9298.8000000000011</v>
      </c>
      <c r="E110" s="14">
        <f>data!Z64</f>
        <v>0</v>
      </c>
      <c r="F110" s="14">
        <f>data!AA64</f>
        <v>0</v>
      </c>
      <c r="G110" s="14">
        <f>data!AB64</f>
        <v>8068.29</v>
      </c>
      <c r="H110" s="14">
        <f>data!AC64</f>
        <v>42638.03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43329.15</v>
      </c>
      <c r="E112" s="14">
        <f>data!Z66</f>
        <v>0</v>
      </c>
      <c r="F112" s="14">
        <f>data!AA66</f>
        <v>0</v>
      </c>
      <c r="G112" s="14">
        <f>data!AB66</f>
        <v>85803.6</v>
      </c>
      <c r="H112" s="14">
        <f>data!AC66</f>
        <v>1137.42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85718</v>
      </c>
      <c r="E113" s="14">
        <f>data!Z67</f>
        <v>0</v>
      </c>
      <c r="F113" s="14">
        <f>data!AA67</f>
        <v>0</v>
      </c>
      <c r="G113" s="14">
        <f>data!AB67</f>
        <v>22323</v>
      </c>
      <c r="H113" s="14">
        <f>data!AC67</f>
        <v>17698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141.75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1890</v>
      </c>
      <c r="D115" s="14">
        <f>data!Y69</f>
        <v>28711.649999999998</v>
      </c>
      <c r="E115" s="14">
        <f>data!Z69</f>
        <v>0</v>
      </c>
      <c r="F115" s="14">
        <f>data!AA69</f>
        <v>0</v>
      </c>
      <c r="G115" s="14">
        <f>data!AB69</f>
        <v>6615.05</v>
      </c>
      <c r="H115" s="14">
        <f>data!AC69</f>
        <v>1083.3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101591.90999999999</v>
      </c>
      <c r="D117" s="14">
        <f>data!Y71</f>
        <v>1099733.74</v>
      </c>
      <c r="E117" s="14">
        <f>data!Z71</f>
        <v>0</v>
      </c>
      <c r="F117" s="14">
        <f>data!AA71</f>
        <v>0</v>
      </c>
      <c r="G117" s="14">
        <f>data!AB71</f>
        <v>479710.34999999992</v>
      </c>
      <c r="H117" s="14">
        <f>data!AC71</f>
        <v>530040.02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2381430.88</v>
      </c>
      <c r="D120" s="14">
        <f>data!Y73</f>
        <v>889347.05999999994</v>
      </c>
      <c r="E120" s="14">
        <f>data!Z73</f>
        <v>0</v>
      </c>
      <c r="F120" s="14">
        <f>data!AA73</f>
        <v>5840.7</v>
      </c>
      <c r="G120" s="14">
        <f>data!AB73</f>
        <v>4445387.34</v>
      </c>
      <c r="H120" s="14">
        <f>data!AC73</f>
        <v>1752805.75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14247009.24</v>
      </c>
      <c r="D121" s="14">
        <f>data!Y74</f>
        <v>8451416.4000000004</v>
      </c>
      <c r="E121" s="14">
        <f>data!Z74</f>
        <v>0</v>
      </c>
      <c r="F121" s="14">
        <f>data!AA74</f>
        <v>-5922.71</v>
      </c>
      <c r="G121" s="14">
        <f>data!AB74</f>
        <v>2930460.13</v>
      </c>
      <c r="H121" s="14">
        <f>data!AC74</f>
        <v>958393.86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16628440.120000001</v>
      </c>
      <c r="D122" s="14">
        <f>data!Y75</f>
        <v>9340763.4600000009</v>
      </c>
      <c r="E122" s="14">
        <f>data!Z75</f>
        <v>0</v>
      </c>
      <c r="F122" s="14">
        <f>data!AA75</f>
        <v>-82.010000000000218</v>
      </c>
      <c r="G122" s="14">
        <f>data!AB75</f>
        <v>7375847.4699999997</v>
      </c>
      <c r="H122" s="14">
        <f>data!AC75</f>
        <v>2711199.61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4078</v>
      </c>
      <c r="E124" s="14">
        <f>data!Z76</f>
        <v>0</v>
      </c>
      <c r="F124" s="14">
        <f>data!AA76</f>
        <v>0</v>
      </c>
      <c r="G124" s="14">
        <f>data!AB76</f>
        <v>1062</v>
      </c>
      <c r="H124" s="14">
        <f>data!AC76</f>
        <v>842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17013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ASTRIA TOPPENISH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18929</v>
      </c>
      <c r="F137" s="14">
        <f>data!AH59</f>
        <v>0</v>
      </c>
      <c r="G137" s="14">
        <f>data!AI59</f>
        <v>0</v>
      </c>
      <c r="H137" s="14">
        <f>data!AJ59</f>
        <v>12378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22.73</v>
      </c>
      <c r="F138" s="26">
        <f>data!AH60</f>
        <v>0</v>
      </c>
      <c r="G138" s="26">
        <f>data!AI60</f>
        <v>0</v>
      </c>
      <c r="H138" s="26">
        <f>data!AJ60</f>
        <v>6.9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1296313.4099999999</v>
      </c>
      <c r="F139" s="14">
        <f>data!AH61</f>
        <v>0</v>
      </c>
      <c r="G139" s="14">
        <f>data!AI61</f>
        <v>0</v>
      </c>
      <c r="H139" s="14">
        <f>data!AJ61</f>
        <v>1564952.44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328624</v>
      </c>
      <c r="F140" s="14">
        <f>data!AH62</f>
        <v>0</v>
      </c>
      <c r="G140" s="14">
        <f>data!AI62</f>
        <v>0</v>
      </c>
      <c r="H140" s="14">
        <f>data!AJ62</f>
        <v>410688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656306.79</v>
      </c>
      <c r="F141" s="14">
        <f>data!AH63</f>
        <v>0</v>
      </c>
      <c r="G141" s="14">
        <f>data!AI63</f>
        <v>0</v>
      </c>
      <c r="H141" s="14">
        <f>data!AJ63</f>
        <v>6422.96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165854</v>
      </c>
      <c r="F142" s="14">
        <f>data!AH64</f>
        <v>0</v>
      </c>
      <c r="G142" s="14">
        <f>data!AI64</f>
        <v>0</v>
      </c>
      <c r="H142" s="14">
        <f>data!AJ64</f>
        <v>69838.19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26917.18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-2565.62</v>
      </c>
      <c r="D144" s="14">
        <f>data!AF66</f>
        <v>0</v>
      </c>
      <c r="E144" s="14">
        <f>data!AG66</f>
        <v>803388.52999999991</v>
      </c>
      <c r="F144" s="14">
        <f>data!AH66</f>
        <v>0</v>
      </c>
      <c r="G144" s="14">
        <f>data!AI66</f>
        <v>0</v>
      </c>
      <c r="H144" s="14">
        <f>data!AJ66</f>
        <v>81947.799999999988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97236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2415.4899999999998</v>
      </c>
      <c r="F146" s="14">
        <f>data!AH68</f>
        <v>0</v>
      </c>
      <c r="G146" s="14">
        <f>data!AI68</f>
        <v>0</v>
      </c>
      <c r="H146" s="14">
        <f>data!AJ68</f>
        <v>195687.24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6636.11</v>
      </c>
      <c r="F147" s="14">
        <f>data!AH69</f>
        <v>0</v>
      </c>
      <c r="G147" s="14">
        <f>data!AI69</f>
        <v>0</v>
      </c>
      <c r="H147" s="14">
        <f>data!AJ69</f>
        <v>20605.919999999998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-2565.62</v>
      </c>
      <c r="D149" s="14">
        <f>data!AF71</f>
        <v>0</v>
      </c>
      <c r="E149" s="14">
        <f>data!AG71</f>
        <v>3356774.33</v>
      </c>
      <c r="F149" s="14">
        <f>data!AH71</f>
        <v>0</v>
      </c>
      <c r="G149" s="14">
        <f>data!AI71</f>
        <v>0</v>
      </c>
      <c r="H149" s="14">
        <f>data!AJ71</f>
        <v>2377059.7299999995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108359.58</v>
      </c>
      <c r="D152" s="14">
        <f>data!AF73</f>
        <v>0</v>
      </c>
      <c r="E152" s="14">
        <f>data!AG73</f>
        <v>2897160.96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41333.300000000003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7459.92</v>
      </c>
      <c r="D153" s="14">
        <f>data!AF74</f>
        <v>0</v>
      </c>
      <c r="E153" s="14">
        <f>data!AG74</f>
        <v>25803732.219999999</v>
      </c>
      <c r="F153" s="14">
        <f>data!AH74</f>
        <v>0</v>
      </c>
      <c r="G153" s="14">
        <f>data!AI74</f>
        <v>0</v>
      </c>
      <c r="H153" s="14">
        <f>data!AJ74</f>
        <v>3404684.59</v>
      </c>
      <c r="I153" s="14">
        <f>data!AK74</f>
        <v>6714.88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115819.5</v>
      </c>
      <c r="D154" s="14">
        <f>data!AF75</f>
        <v>0</v>
      </c>
      <c r="E154" s="14">
        <f>data!AG75</f>
        <v>28700893.18</v>
      </c>
      <c r="F154" s="14">
        <f>data!AH75</f>
        <v>0</v>
      </c>
      <c r="G154" s="14">
        <f>data!AI75</f>
        <v>0</v>
      </c>
      <c r="H154" s="14">
        <f>data!AJ75</f>
        <v>3404684.59</v>
      </c>
      <c r="I154" s="14">
        <f>data!AK75</f>
        <v>48048.18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4626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82939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13.85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ASTRIA TOPPENISH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0.01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935.34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82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4609.37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6936.5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716.49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13279.699999999999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40610.18</v>
      </c>
      <c r="D184" s="14">
        <f>data!AM73</f>
        <v>0</v>
      </c>
      <c r="E184" s="14">
        <f>data!AN73</f>
        <v>0</v>
      </c>
      <c r="F184" s="14">
        <f>data!AO73</f>
        <v>1341451.8600000001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181180.16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40610.18</v>
      </c>
      <c r="D186" s="14">
        <f>data!AM75</f>
        <v>0</v>
      </c>
      <c r="E186" s="14">
        <f>data!AN75</f>
        <v>0</v>
      </c>
      <c r="F186" s="14">
        <f>data!AO75</f>
        <v>1522632.02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ASTRIA TOPPENISH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24026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0.82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31164.45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11594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-704.3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34955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-3658.48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4764.26</v>
      </c>
      <c r="G211" s="14">
        <f>data!AW69</f>
        <v>0</v>
      </c>
      <c r="H211" s="14">
        <f>data!AX69</f>
        <v>0</v>
      </c>
      <c r="I211" s="14">
        <f>data!AY69</f>
        <v>12.47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4764.26</v>
      </c>
      <c r="G213" s="14">
        <f>data!AW71</f>
        <v>0</v>
      </c>
      <c r="H213" s="14">
        <f>data!AX71</f>
        <v>-3658.48</v>
      </c>
      <c r="I213" s="14">
        <f>data!AY71</f>
        <v>77021.62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5984.45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175582.26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181566.71000000002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1663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ASTRIA TOPPENISH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24026</v>
      </c>
      <c r="D233" s="14">
        <f>data!BA59</f>
        <v>0</v>
      </c>
      <c r="E233" s="212"/>
      <c r="F233" s="212"/>
      <c r="G233" s="212"/>
      <c r="H233" s="14">
        <f>data!BE59</f>
        <v>70293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3.16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2.66</v>
      </c>
      <c r="H234" s="26">
        <f>data!BE60</f>
        <v>3.14</v>
      </c>
      <c r="I234" s="26">
        <f>data!BF60</f>
        <v>6.0519999999999996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106830.91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118902.96</v>
      </c>
      <c r="H235" s="14">
        <f>data!BE61</f>
        <v>120043.64</v>
      </c>
      <c r="I235" s="14">
        <f>data!BF61</f>
        <v>186813.01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30053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31676</v>
      </c>
      <c r="H236" s="14">
        <f>data!BE62</f>
        <v>39672</v>
      </c>
      <c r="I236" s="14">
        <f>data!BF62</f>
        <v>82992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219955.8</v>
      </c>
      <c r="D238" s="14">
        <f>data!BA64</f>
        <v>-2200</v>
      </c>
      <c r="E238" s="14">
        <f>data!BB64</f>
        <v>0</v>
      </c>
      <c r="F238" s="14">
        <f>data!BC64</f>
        <v>0</v>
      </c>
      <c r="G238" s="14">
        <f>data!BD64</f>
        <v>194543.33</v>
      </c>
      <c r="H238" s="14">
        <f>data!BE64</f>
        <v>5002.43</v>
      </c>
      <c r="I238" s="14">
        <f>data!BF64</f>
        <v>25054.3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366708.73</v>
      </c>
      <c r="I239" s="14">
        <f>data!BF65</f>
        <v>1482.79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723.46</v>
      </c>
      <c r="D240" s="14">
        <f>data!BA66</f>
        <v>58416.67</v>
      </c>
      <c r="E240" s="14">
        <f>data!BB66</f>
        <v>0</v>
      </c>
      <c r="F240" s="14">
        <f>data!BC66</f>
        <v>0</v>
      </c>
      <c r="G240" s="14">
        <f>data!BD66</f>
        <v>4884.99</v>
      </c>
      <c r="H240" s="14">
        <f>data!BE66</f>
        <v>215761.68</v>
      </c>
      <c r="I240" s="14">
        <f>data!BF66</f>
        <v>98810.71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44730</v>
      </c>
      <c r="H241" s="14">
        <f>data!BE67</f>
        <v>65308</v>
      </c>
      <c r="I241" s="14">
        <f>data!BF67</f>
        <v>28334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4900.75</v>
      </c>
      <c r="H242" s="14">
        <f>data!BE68</f>
        <v>1097.52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54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35521.78</v>
      </c>
      <c r="H243" s="14">
        <f>data!BE69</f>
        <v>42228.32</v>
      </c>
      <c r="I243" s="14">
        <f>data!BF69</f>
        <v>-29.77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357617.17</v>
      </c>
      <c r="D245" s="14">
        <f>data!BA71</f>
        <v>56216.67</v>
      </c>
      <c r="E245" s="14">
        <f>data!BB71</f>
        <v>0</v>
      </c>
      <c r="F245" s="14">
        <f>data!BC71</f>
        <v>0</v>
      </c>
      <c r="G245" s="14">
        <f>data!BD71</f>
        <v>435159.81000000006</v>
      </c>
      <c r="H245" s="14">
        <f>data!BE71</f>
        <v>855822.32</v>
      </c>
      <c r="I245" s="14">
        <f>data!BF71</f>
        <v>423457.04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2128</v>
      </c>
      <c r="H252" s="85">
        <f>data!BE76</f>
        <v>3107</v>
      </c>
      <c r="I252" s="85">
        <f>data!BF76</f>
        <v>1348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ASTRIA TOPPENISH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0.23</v>
      </c>
      <c r="D266" s="26">
        <f>data!BH60</f>
        <v>0</v>
      </c>
      <c r="E266" s="26">
        <f>data!BI60</f>
        <v>0</v>
      </c>
      <c r="F266" s="26">
        <f>data!BJ60</f>
        <v>0.11</v>
      </c>
      <c r="G266" s="26">
        <f>data!BK60</f>
        <v>0</v>
      </c>
      <c r="H266" s="26">
        <f>data!BL60</f>
        <v>12.37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426425.33</v>
      </c>
      <c r="I267" s="14">
        <f>data!BM61</f>
        <v>3691.4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143745</v>
      </c>
      <c r="I268" s="14">
        <f>data!BM62</f>
        <v>472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393.21</v>
      </c>
      <c r="E270" s="14">
        <f>data!BI64</f>
        <v>0</v>
      </c>
      <c r="F270" s="14">
        <f>data!BJ64</f>
        <v>0</v>
      </c>
      <c r="G270" s="14">
        <f>data!BK64</f>
        <v>29.99</v>
      </c>
      <c r="H270" s="14">
        <f>data!BL64</f>
        <v>8402.6299999999992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-4898.74</v>
      </c>
      <c r="D271" s="14">
        <f>data!BH65</f>
        <v>444.75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1092.18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-8227.42</v>
      </c>
      <c r="D272" s="14">
        <f>data!BH66</f>
        <v>1654.77</v>
      </c>
      <c r="E272" s="14">
        <f>data!BI66</f>
        <v>0</v>
      </c>
      <c r="F272" s="14">
        <f>data!BJ66</f>
        <v>0</v>
      </c>
      <c r="G272" s="14">
        <f>data!BK66</f>
        <v>-95825.83</v>
      </c>
      <c r="H272" s="14">
        <f>data!BL66</f>
        <v>6156.1</v>
      </c>
      <c r="I272" s="14">
        <f>data!BM66</f>
        <v>36.270000000000003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5885</v>
      </c>
      <c r="E273" s="14">
        <f>data!BI67</f>
        <v>0</v>
      </c>
      <c r="F273" s="14">
        <f>data!BJ67</f>
        <v>0</v>
      </c>
      <c r="G273" s="14">
        <f>data!BK67</f>
        <v>52549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712.29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-1390.35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-13126.16</v>
      </c>
      <c r="D277" s="14">
        <f>data!BH71</f>
        <v>7699.67</v>
      </c>
      <c r="E277" s="14">
        <f>data!BI71</f>
        <v>0</v>
      </c>
      <c r="F277" s="14">
        <f>data!BJ71</f>
        <v>0</v>
      </c>
      <c r="G277" s="14">
        <f>data!BK71</f>
        <v>-43246.84</v>
      </c>
      <c r="H277" s="14">
        <f>data!BL71</f>
        <v>585821.24000000011</v>
      </c>
      <c r="I277" s="14">
        <f>data!BM71</f>
        <v>4199.67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280</v>
      </c>
      <c r="E284" s="85">
        <f>data!BI76</f>
        <v>0</v>
      </c>
      <c r="F284" s="85">
        <f>data!BJ76</f>
        <v>0</v>
      </c>
      <c r="G284" s="85">
        <f>data!BK76</f>
        <v>2500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ASTRIA TOPPENISH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0.92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0.14000000000000001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76051.399999999994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7415.83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-1289104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793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2080.12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97442.61</v>
      </c>
      <c r="D302" s="14">
        <f>data!BO64</f>
        <v>1904.09</v>
      </c>
      <c r="E302" s="14">
        <f>data!BP64</f>
        <v>1091.1500000000001</v>
      </c>
      <c r="F302" s="14">
        <f>data!BQ64</f>
        <v>0</v>
      </c>
      <c r="G302" s="14">
        <f>data!BR64</f>
        <v>571.33000000000004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33027.9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2343990.2599999998</v>
      </c>
      <c r="D304" s="14">
        <f>data!BO66</f>
        <v>-1067.5</v>
      </c>
      <c r="E304" s="14">
        <f>data!BP66</f>
        <v>1877.5</v>
      </c>
      <c r="F304" s="14">
        <f>data!BQ66</f>
        <v>0</v>
      </c>
      <c r="G304" s="14">
        <f>data!BR66</f>
        <v>5040.28</v>
      </c>
      <c r="H304" s="14">
        <f>data!BS66</f>
        <v>177.4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46096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8576</v>
      </c>
      <c r="H305" s="14">
        <f>data!BS67</f>
        <v>6306</v>
      </c>
      <c r="I305" s="14">
        <f>data!BT67</f>
        <v>7987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5708.11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980826.39</v>
      </c>
      <c r="D307" s="14">
        <f>data!BO69</f>
        <v>0</v>
      </c>
      <c r="E307" s="14">
        <f>data!BP69</f>
        <v>0.55000000000000004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2294038.67</v>
      </c>
      <c r="D309" s="14">
        <f>data!BO71</f>
        <v>2916.71</v>
      </c>
      <c r="E309" s="14">
        <f>data!BP71</f>
        <v>2969.2000000000003</v>
      </c>
      <c r="F309" s="14">
        <f>data!BQ71</f>
        <v>0</v>
      </c>
      <c r="G309" s="14">
        <f>data!BR71</f>
        <v>22396.44</v>
      </c>
      <c r="H309" s="14">
        <f>data!BS71</f>
        <v>6483.4</v>
      </c>
      <c r="I309" s="14">
        <f>data!BT71</f>
        <v>7987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2193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408</v>
      </c>
      <c r="H316" s="85">
        <f>data!BS76</f>
        <v>300</v>
      </c>
      <c r="I316" s="85">
        <f>data!BT76</f>
        <v>380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ASTRIA TOPPENISH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3.06</v>
      </c>
      <c r="E330" s="26">
        <f>data!BW60</f>
        <v>0</v>
      </c>
      <c r="F330" s="26">
        <f>data!BX60</f>
        <v>1.88</v>
      </c>
      <c r="G330" s="26">
        <f>data!BY60</f>
        <v>4.6500000000000004</v>
      </c>
      <c r="H330" s="26">
        <f>data!BZ60</f>
        <v>0</v>
      </c>
      <c r="I330" s="26">
        <f>data!CA60</f>
        <v>0.01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142871.10999999999</v>
      </c>
      <c r="E331" s="86">
        <f>data!BW61</f>
        <v>0</v>
      </c>
      <c r="F331" s="86">
        <f>data!BX61</f>
        <v>173735.08</v>
      </c>
      <c r="G331" s="86">
        <f>data!BY61</f>
        <v>365775.21</v>
      </c>
      <c r="H331" s="86">
        <f>data!BZ61</f>
        <v>0</v>
      </c>
      <c r="I331" s="86">
        <f>data!CA61</f>
        <v>731.25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46063</v>
      </c>
      <c r="E332" s="86">
        <f>data!BW62</f>
        <v>0</v>
      </c>
      <c r="F332" s="86">
        <f>data!BX62</f>
        <v>44985</v>
      </c>
      <c r="G332" s="86">
        <f>data!BY62</f>
        <v>81326</v>
      </c>
      <c r="H332" s="86">
        <f>data!BZ62</f>
        <v>0</v>
      </c>
      <c r="I332" s="86">
        <f>data!CA62</f>
        <v>59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328.3</v>
      </c>
      <c r="E334" s="86">
        <f>data!BW64</f>
        <v>0</v>
      </c>
      <c r="F334" s="86">
        <f>data!BX64</f>
        <v>281.31</v>
      </c>
      <c r="G334" s="86">
        <f>data!BY64</f>
        <v>122.98</v>
      </c>
      <c r="H334" s="86">
        <f>data!BZ64</f>
        <v>0</v>
      </c>
      <c r="I334" s="86">
        <f>data!CA64</f>
        <v>406.6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17548.23</v>
      </c>
      <c r="E336" s="86">
        <f>data!BW66</f>
        <v>0</v>
      </c>
      <c r="F336" s="86">
        <f>data!BX66</f>
        <v>6928.1899999999987</v>
      </c>
      <c r="G336" s="86">
        <f>data!BY66</f>
        <v>5755.23</v>
      </c>
      <c r="H336" s="86">
        <f>data!BZ66</f>
        <v>0</v>
      </c>
      <c r="I336" s="86">
        <f>data!CA66</f>
        <v>534.03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28587</v>
      </c>
      <c r="E337" s="86">
        <f>data!BW67</f>
        <v>0</v>
      </c>
      <c r="F337" s="86">
        <f>data!BX67</f>
        <v>6810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9054.34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52739.01</v>
      </c>
      <c r="E339" s="86">
        <f>data!BW69</f>
        <v>0</v>
      </c>
      <c r="F339" s="86">
        <f>data!BX69</f>
        <v>0</v>
      </c>
      <c r="G339" s="86">
        <f>data!BY69</f>
        <v>2840.49</v>
      </c>
      <c r="H339" s="86">
        <f>data!BZ69</f>
        <v>0</v>
      </c>
      <c r="I339" s="86">
        <f>data!CA69</f>
        <v>38184.74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297190.99</v>
      </c>
      <c r="E341" s="14">
        <f>data!BW71</f>
        <v>0</v>
      </c>
      <c r="F341" s="14">
        <f>data!BX71</f>
        <v>232739.58</v>
      </c>
      <c r="G341" s="14">
        <f>data!BY71</f>
        <v>455819.91</v>
      </c>
      <c r="H341" s="14">
        <f>data!BZ71</f>
        <v>0</v>
      </c>
      <c r="I341" s="14">
        <f>data!CA71</f>
        <v>39915.619999999995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1360</v>
      </c>
      <c r="E348" s="85">
        <f>data!BW76</f>
        <v>0</v>
      </c>
      <c r="F348" s="85">
        <f>data!BX76</f>
        <v>324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ASTRIA TOPPENISH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176.69199999999989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10317197.050000001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5285</v>
      </c>
      <c r="E364" s="218"/>
      <c r="F364" s="219"/>
      <c r="G364" s="219"/>
      <c r="H364" s="219"/>
      <c r="I364" s="86">
        <f>data!CE62</f>
        <v>1678517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1188699.76</v>
      </c>
      <c r="E365" s="218"/>
      <c r="F365" s="219"/>
      <c r="G365" s="219"/>
      <c r="H365" s="219"/>
      <c r="I365" s="86">
        <f>data!CE63</f>
        <v>2122158.16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671.01</v>
      </c>
      <c r="E366" s="218"/>
      <c r="F366" s="219"/>
      <c r="G366" s="219"/>
      <c r="H366" s="219"/>
      <c r="I366" s="86">
        <f>data!CE64</f>
        <v>1837354.3900000004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424774.79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251.57</v>
      </c>
      <c r="E368" s="218"/>
      <c r="F368" s="219"/>
      <c r="G368" s="219"/>
      <c r="H368" s="219"/>
      <c r="I368" s="86">
        <f>data!CE66</f>
        <v>5938813.6800000025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181987</v>
      </c>
      <c r="E369" s="218"/>
      <c r="F369" s="219"/>
      <c r="G369" s="219"/>
      <c r="H369" s="219"/>
      <c r="I369" s="86">
        <f>data!CE67</f>
        <v>1477527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236372.92999999996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229359.56</v>
      </c>
      <c r="E371" s="86">
        <f>data!CD69</f>
        <v>0</v>
      </c>
      <c r="F371" s="219"/>
      <c r="G371" s="219"/>
      <c r="H371" s="219"/>
      <c r="I371" s="86">
        <f>data!CE69</f>
        <v>1559517.54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1606253.9000000001</v>
      </c>
      <c r="E373" s="86">
        <f>data!CD71</f>
        <v>0</v>
      </c>
      <c r="F373" s="219"/>
      <c r="G373" s="219"/>
      <c r="H373" s="219"/>
      <c r="I373" s="14">
        <f>data!CE71</f>
        <v>25592232.540000003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37895331.959999993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78466779.440000013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116362111.40000001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8658</v>
      </c>
      <c r="E380" s="214"/>
      <c r="F380" s="211"/>
      <c r="G380" s="211"/>
      <c r="H380" s="211"/>
      <c r="I380" s="14">
        <f>data!CE76</f>
        <v>70293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24026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212664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61.02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2017 xxx Year End Report</dc:subject>
  <dc:creator>Washington State Department of Health;Health Systems Quality Assurance;Community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2022-02-03T22:02:38Z</dcterms:modified>
  <cp:category>Year End Report</cp:category>
</cp:coreProperties>
</file>