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19\"/>
    </mc:Choice>
  </mc:AlternateContent>
  <xr:revisionPtr revIDLastSave="0" documentId="13_ncr:1_{1D4873C6-48F0-410B-A479-4A12B5140D4E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1" i="1" l="1"/>
  <c r="C234" i="1"/>
  <c r="C233" i="1"/>
  <c r="C221" i="1"/>
  <c r="C363" i="1" s="1"/>
  <c r="BN60" i="1" l="1"/>
  <c r="BY60" i="1"/>
  <c r="BX60" i="1"/>
  <c r="BW60" i="1"/>
  <c r="BV60" i="1"/>
  <c r="BR60" i="1"/>
  <c r="BP60" i="1"/>
  <c r="BL60" i="1"/>
  <c r="BK60" i="1"/>
  <c r="BJ60" i="1"/>
  <c r="BH60" i="1"/>
  <c r="BG60" i="1"/>
  <c r="BF60" i="1"/>
  <c r="BE60" i="1"/>
  <c r="BB60" i="1"/>
  <c r="AY60" i="1"/>
  <c r="AM60" i="1"/>
  <c r="AJ60" i="1"/>
  <c r="AB60" i="1"/>
  <c r="H60" i="1"/>
  <c r="H80" i="1" l="1"/>
  <c r="C389" i="1" l="1"/>
  <c r="C228" i="1"/>
  <c r="BW63" i="1" l="1"/>
  <c r="C380" i="1"/>
  <c r="C379" i="1"/>
  <c r="C378" i="1" l="1"/>
  <c r="B198" i="1" l="1"/>
  <c r="C214" i="1" l="1"/>
  <c r="C213" i="1"/>
  <c r="D211" i="1"/>
  <c r="C211" i="1"/>
  <c r="B211" i="1"/>
  <c r="C210" i="1"/>
  <c r="C201" i="1"/>
  <c r="C200" i="1"/>
  <c r="C198" i="1"/>
  <c r="D198" i="1"/>
  <c r="C197" i="1"/>
  <c r="CD69" i="1"/>
  <c r="BN69" i="1"/>
  <c r="BE69" i="1"/>
  <c r="BY61" i="1" l="1"/>
  <c r="BY69" i="1"/>
  <c r="BY66" i="1"/>
  <c r="BY64" i="1"/>
  <c r="BN61" i="1"/>
  <c r="BK64" i="1"/>
  <c r="BK61" i="1"/>
  <c r="BH61" i="1"/>
  <c r="BE66" i="1"/>
  <c r="AJ64" i="1"/>
  <c r="AJ61" i="1"/>
  <c r="H69" i="1"/>
  <c r="H66" i="1"/>
  <c r="H64" i="1"/>
  <c r="H61" i="1"/>
  <c r="BE51" i="1" l="1"/>
  <c r="H47" i="1"/>
  <c r="BY47" i="1"/>
  <c r="AJ47" i="1"/>
  <c r="BR47" i="1"/>
  <c r="BK47" i="1"/>
  <c r="B48" i="1"/>
  <c r="C336" i="1"/>
  <c r="C337" i="1"/>
  <c r="C312" i="1"/>
  <c r="C305" i="1"/>
  <c r="C276" i="1"/>
  <c r="C252" i="1"/>
  <c r="C226" i="1"/>
  <c r="C224" i="1"/>
  <c r="C223" i="1"/>
  <c r="C227" i="1" s="1"/>
  <c r="C238" i="1"/>
  <c r="C366" i="1" s="1"/>
  <c r="C185" i="1"/>
  <c r="C180" i="1"/>
  <c r="C172" i="1"/>
  <c r="C165" i="1" s="1"/>
  <c r="BE63" i="1" l="1"/>
  <c r="AZ722" i="1"/>
  <c r="AZ726" i="1"/>
  <c r="AZ730" i="1"/>
  <c r="O817" i="10" l="1"/>
  <c r="M817" i="10"/>
  <c r="K817" i="10"/>
  <c r="H817" i="10"/>
  <c r="F817" i="10"/>
  <c r="D817" i="10"/>
  <c r="W815" i="10"/>
  <c r="V815" i="10"/>
  <c r="X813" i="10"/>
  <c r="X815" i="10" s="1"/>
  <c r="W813" i="10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H797" i="10"/>
  <c r="G797" i="10"/>
  <c r="F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S739" i="10"/>
  <c r="Q739" i="10"/>
  <c r="P739" i="10"/>
  <c r="M739" i="10"/>
  <c r="K739" i="10"/>
  <c r="I739" i="10"/>
  <c r="H739" i="10"/>
  <c r="F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X730" i="10"/>
  <c r="BU730" i="10"/>
  <c r="BS730" i="10"/>
  <c r="BQ730" i="10"/>
  <c r="BP730" i="10"/>
  <c r="BO730" i="10"/>
  <c r="BN730" i="10"/>
  <c r="BK730" i="10"/>
  <c r="BJ730" i="10"/>
  <c r="BB730" i="10"/>
  <c r="BA730" i="10"/>
  <c r="AZ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G730" i="10"/>
  <c r="AF730" i="10"/>
  <c r="AE730" i="10"/>
  <c r="AD730" i="10"/>
  <c r="AB730" i="10"/>
  <c r="AA730" i="10"/>
  <c r="Z730" i="10"/>
  <c r="Y730" i="10"/>
  <c r="W730" i="10"/>
  <c r="V730" i="10"/>
  <c r="U730" i="10"/>
  <c r="S730" i="10"/>
  <c r="Q730" i="10"/>
  <c r="P730" i="10"/>
  <c r="O730" i="10"/>
  <c r="N730" i="10"/>
  <c r="M730" i="10"/>
  <c r="L730" i="10"/>
  <c r="K730" i="10"/>
  <c r="J730" i="10"/>
  <c r="I730" i="10"/>
  <c r="H730" i="10"/>
  <c r="G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I726" i="10"/>
  <c r="AE726" i="10"/>
  <c r="AD726" i="10"/>
  <c r="AC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V722" i="10"/>
  <c r="BS722" i="10"/>
  <c r="BR722" i="10"/>
  <c r="BQ722" i="10"/>
  <c r="BP722" i="10"/>
  <c r="BO722" i="10"/>
  <c r="BN722" i="10"/>
  <c r="BM722" i="10"/>
  <c r="BK722" i="10"/>
  <c r="BJ722" i="10"/>
  <c r="BH722" i="10"/>
  <c r="BG722" i="10"/>
  <c r="BF722" i="10"/>
  <c r="BE722" i="10"/>
  <c r="BD722" i="10"/>
  <c r="BB722" i="10"/>
  <c r="BA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L722" i="10"/>
  <c r="K722" i="10"/>
  <c r="J722" i="10"/>
  <c r="I722" i="10"/>
  <c r="G722" i="10"/>
  <c r="F722" i="10"/>
  <c r="E722" i="10"/>
  <c r="D722" i="10"/>
  <c r="C722" i="10"/>
  <c r="B722" i="10"/>
  <c r="A722" i="10"/>
  <c r="C615" i="10"/>
  <c r="H550" i="10"/>
  <c r="E550" i="10"/>
  <c r="F550" i="10"/>
  <c r="E546" i="10"/>
  <c r="H545" i="10"/>
  <c r="F545" i="10"/>
  <c r="E545" i="10"/>
  <c r="H544" i="10"/>
  <c r="F544" i="10"/>
  <c r="E544" i="10"/>
  <c r="H540" i="10"/>
  <c r="E540" i="10"/>
  <c r="F540" i="10"/>
  <c r="H539" i="10"/>
  <c r="E539" i="10"/>
  <c r="F539" i="10"/>
  <c r="F538" i="10"/>
  <c r="E538" i="10"/>
  <c r="H538" i="10"/>
  <c r="E537" i="10"/>
  <c r="H536" i="10"/>
  <c r="F536" i="10"/>
  <c r="E536" i="10"/>
  <c r="H535" i="10"/>
  <c r="F535" i="10"/>
  <c r="E535" i="10"/>
  <c r="F534" i="10"/>
  <c r="E534" i="10"/>
  <c r="H534" i="10"/>
  <c r="E533" i="10"/>
  <c r="H532" i="10"/>
  <c r="E532" i="10"/>
  <c r="F532" i="10"/>
  <c r="H531" i="10"/>
  <c r="E531" i="10"/>
  <c r="F531" i="10"/>
  <c r="F530" i="10"/>
  <c r="E530" i="10"/>
  <c r="H530" i="10"/>
  <c r="F529" i="10"/>
  <c r="H529" i="10"/>
  <c r="H528" i="10"/>
  <c r="F528" i="10"/>
  <c r="E528" i="10"/>
  <c r="H527" i="10"/>
  <c r="F527" i="10"/>
  <c r="E527" i="10"/>
  <c r="E526" i="10"/>
  <c r="H526" i="10"/>
  <c r="E525" i="10"/>
  <c r="E524" i="10"/>
  <c r="F524" i="10"/>
  <c r="H523" i="10"/>
  <c r="E523" i="10"/>
  <c r="F523" i="10"/>
  <c r="F522" i="10"/>
  <c r="E522" i="10"/>
  <c r="H522" i="10"/>
  <c r="H521" i="10"/>
  <c r="F521" i="10"/>
  <c r="E520" i="10"/>
  <c r="E519" i="10"/>
  <c r="E518" i="10"/>
  <c r="H518" i="10"/>
  <c r="E517" i="10"/>
  <c r="E516" i="10"/>
  <c r="H515" i="10"/>
  <c r="F515" i="10"/>
  <c r="E515" i="10"/>
  <c r="H514" i="10"/>
  <c r="E514" i="10"/>
  <c r="F514" i="10"/>
  <c r="H512" i="10"/>
  <c r="F512" i="10"/>
  <c r="H511" i="10"/>
  <c r="E511" i="10"/>
  <c r="F511" i="10"/>
  <c r="F510" i="10"/>
  <c r="E510" i="10"/>
  <c r="H510" i="10"/>
  <c r="H509" i="10"/>
  <c r="E509" i="10"/>
  <c r="F509" i="10"/>
  <c r="E508" i="10"/>
  <c r="E507" i="10"/>
  <c r="H506" i="10"/>
  <c r="E506" i="10"/>
  <c r="F506" i="10"/>
  <c r="H505" i="10"/>
  <c r="E505" i="10"/>
  <c r="F505" i="10"/>
  <c r="H504" i="10"/>
  <c r="F504" i="10"/>
  <c r="E504" i="10"/>
  <c r="H503" i="10"/>
  <c r="E503" i="10"/>
  <c r="F503" i="10"/>
  <c r="H502" i="10"/>
  <c r="F502" i="10"/>
  <c r="E502" i="10"/>
  <c r="H501" i="10"/>
  <c r="F501" i="10"/>
  <c r="E500" i="10"/>
  <c r="H499" i="10"/>
  <c r="E499" i="10"/>
  <c r="F499" i="10"/>
  <c r="H498" i="10"/>
  <c r="E498" i="10"/>
  <c r="F498" i="10"/>
  <c r="H497" i="10"/>
  <c r="F497" i="10"/>
  <c r="E497" i="10"/>
  <c r="H496" i="10"/>
  <c r="F496" i="10"/>
  <c r="E496" i="10"/>
  <c r="G493" i="10"/>
  <c r="E493" i="10"/>
  <c r="C493" i="10"/>
  <c r="A493" i="10"/>
  <c r="B475" i="10"/>
  <c r="B474" i="10"/>
  <c r="B472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4" i="10"/>
  <c r="C438" i="10"/>
  <c r="B437" i="10"/>
  <c r="B434" i="10"/>
  <c r="B431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89" i="10"/>
  <c r="CC730" i="10" s="1"/>
  <c r="C387" i="10"/>
  <c r="BZ730" i="10" s="1"/>
  <c r="C386" i="10"/>
  <c r="C384" i="10"/>
  <c r="C383" i="10"/>
  <c r="C381" i="10"/>
  <c r="B430" i="10" s="1"/>
  <c r="C379" i="10"/>
  <c r="D372" i="10"/>
  <c r="C365" i="10"/>
  <c r="C364" i="10"/>
  <c r="BL730" i="10" s="1"/>
  <c r="D361" i="10"/>
  <c r="N817" i="10" s="1"/>
  <c r="C337" i="10"/>
  <c r="BE730" i="10" s="1"/>
  <c r="C336" i="10"/>
  <c r="BF730" i="10" s="1"/>
  <c r="D329" i="10"/>
  <c r="C326" i="10"/>
  <c r="AY730" i="10" s="1"/>
  <c r="D319" i="10"/>
  <c r="C305" i="10"/>
  <c r="C286" i="10"/>
  <c r="AC730" i="10" s="1"/>
  <c r="D283" i="10"/>
  <c r="C276" i="10"/>
  <c r="X730" i="10" s="1"/>
  <c r="C272" i="10"/>
  <c r="T730" i="10" s="1"/>
  <c r="C270" i="10"/>
  <c r="R730" i="10" s="1"/>
  <c r="D265" i="10"/>
  <c r="C254" i="10"/>
  <c r="F730" i="10" s="1"/>
  <c r="C253" i="10"/>
  <c r="E730" i="10" s="1"/>
  <c r="C252" i="10"/>
  <c r="D730" i="10" s="1"/>
  <c r="D240" i="10"/>
  <c r="B447" i="10" s="1"/>
  <c r="D236" i="10"/>
  <c r="B446" i="10" s="1"/>
  <c r="C228" i="10"/>
  <c r="BY722" i="10" s="1"/>
  <c r="C227" i="10"/>
  <c r="BX722" i="10" s="1"/>
  <c r="C226" i="10"/>
  <c r="BW722" i="10" s="1"/>
  <c r="C224" i="10"/>
  <c r="BU722" i="10" s="1"/>
  <c r="C223" i="10"/>
  <c r="D221" i="10"/>
  <c r="CD722" i="10" s="1"/>
  <c r="D217" i="10"/>
  <c r="B217" i="10"/>
  <c r="E216" i="10"/>
  <c r="E215" i="10"/>
  <c r="C214" i="10"/>
  <c r="BL722" i="10" s="1"/>
  <c r="C213" i="10"/>
  <c r="E212" i="10"/>
  <c r="C211" i="10"/>
  <c r="C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C184" i="10"/>
  <c r="N722" i="10" s="1"/>
  <c r="C183" i="10"/>
  <c r="M722" i="10" s="1"/>
  <c r="D181" i="10"/>
  <c r="D177" i="10"/>
  <c r="D434" i="10" s="1"/>
  <c r="C171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B142" i="10"/>
  <c r="AB726" i="10" s="1"/>
  <c r="D141" i="10"/>
  <c r="AK726" i="10" s="1"/>
  <c r="C141" i="10"/>
  <c r="AF726" i="10" s="1"/>
  <c r="B141" i="10"/>
  <c r="E140" i="10"/>
  <c r="AJ59" i="10" s="1"/>
  <c r="E139" i="10"/>
  <c r="C415" i="10" s="1"/>
  <c r="D138" i="10"/>
  <c r="AH726" i="10" s="1"/>
  <c r="E127" i="10"/>
  <c r="CF79" i="10"/>
  <c r="CE79" i="10"/>
  <c r="AJ78" i="10"/>
  <c r="R767" i="10" s="1"/>
  <c r="H78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D71" i="10"/>
  <c r="C575" i="10" s="1"/>
  <c r="CE70" i="10"/>
  <c r="M816" i="10" s="1"/>
  <c r="BN69" i="10"/>
  <c r="L797" i="10" s="1"/>
  <c r="H69" i="10"/>
  <c r="CE68" i="10"/>
  <c r="BN66" i="10"/>
  <c r="CE65" i="10"/>
  <c r="H64" i="10"/>
  <c r="BW63" i="10"/>
  <c r="BN61" i="10"/>
  <c r="D797" i="10" s="1"/>
  <c r="H61" i="10"/>
  <c r="CE61" i="10" s="1"/>
  <c r="H59" i="10"/>
  <c r="B53" i="10"/>
  <c r="CE51" i="10"/>
  <c r="B48" i="10"/>
  <c r="AJ47" i="10"/>
  <c r="H47" i="10"/>
  <c r="B739" i="10" l="1"/>
  <c r="H60" i="10"/>
  <c r="B471" i="10"/>
  <c r="H73" i="10"/>
  <c r="B439" i="10"/>
  <c r="B473" i="10"/>
  <c r="E214" i="10"/>
  <c r="E138" i="10"/>
  <c r="C414" i="10" s="1"/>
  <c r="BA48" i="10"/>
  <c r="BA62" i="10" s="1"/>
  <c r="E784" i="10" s="1"/>
  <c r="D328" i="10"/>
  <c r="D330" i="10" s="1"/>
  <c r="C445" i="10"/>
  <c r="C473" i="10"/>
  <c r="D275" i="10"/>
  <c r="B476" i="10" s="1"/>
  <c r="T48" i="10"/>
  <c r="T62" i="10" s="1"/>
  <c r="E48" i="10"/>
  <c r="E62" i="10" s="1"/>
  <c r="BE48" i="10"/>
  <c r="BE62" i="10" s="1"/>
  <c r="BF48" i="10"/>
  <c r="BF62" i="10" s="1"/>
  <c r="C468" i="10"/>
  <c r="E204" i="10"/>
  <c r="C476" i="10" s="1"/>
  <c r="BI722" i="10"/>
  <c r="E213" i="10"/>
  <c r="BT722" i="10"/>
  <c r="D229" i="10"/>
  <c r="I48" i="10"/>
  <c r="I62" i="10" s="1"/>
  <c r="Y48" i="10"/>
  <c r="Y62" i="10" s="1"/>
  <c r="AR48" i="10"/>
  <c r="AR62" i="10" s="1"/>
  <c r="BH48" i="10"/>
  <c r="BH62" i="10" s="1"/>
  <c r="BX48" i="10"/>
  <c r="BX62" i="10" s="1"/>
  <c r="O739" i="10"/>
  <c r="O815" i="10" s="1"/>
  <c r="H75" i="10"/>
  <c r="N739" i="10" s="1"/>
  <c r="CE73" i="10"/>
  <c r="BY730" i="10"/>
  <c r="L817" i="10"/>
  <c r="B435" i="10"/>
  <c r="B438" i="10"/>
  <c r="H507" i="10"/>
  <c r="F507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49" i="10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E739" i="10" s="1"/>
  <c r="CC48" i="10"/>
  <c r="CC62" i="10" s="1"/>
  <c r="BP48" i="10"/>
  <c r="BP62" i="10" s="1"/>
  <c r="BC48" i="10"/>
  <c r="BC62" i="10" s="1"/>
  <c r="AP48" i="10"/>
  <c r="AP62" i="10" s="1"/>
  <c r="AC48" i="10"/>
  <c r="AC62" i="10" s="1"/>
  <c r="Q48" i="10"/>
  <c r="Q62" i="10" s="1"/>
  <c r="D48" i="10"/>
  <c r="D62" i="10" s="1"/>
  <c r="BY48" i="10"/>
  <c r="BY62" i="10" s="1"/>
  <c r="BM48" i="10"/>
  <c r="BM62" i="10" s="1"/>
  <c r="AZ48" i="10"/>
  <c r="AZ62" i="10" s="1"/>
  <c r="AM48" i="10"/>
  <c r="AM62" i="10" s="1"/>
  <c r="Z48" i="10"/>
  <c r="Z62" i="10" s="1"/>
  <c r="M48" i="10"/>
  <c r="M62" i="10" s="1"/>
  <c r="BS48" i="10"/>
  <c r="BS62" i="10" s="1"/>
  <c r="AK48" i="10"/>
  <c r="AK62" i="10" s="1"/>
  <c r="G48" i="10"/>
  <c r="G62" i="10" s="1"/>
  <c r="AB48" i="10"/>
  <c r="AB62" i="10" s="1"/>
  <c r="I797" i="10"/>
  <c r="CE66" i="10"/>
  <c r="H722" i="10"/>
  <c r="D173" i="10"/>
  <c r="D428" i="10" s="1"/>
  <c r="L48" i="10"/>
  <c r="L62" i="10" s="1"/>
  <c r="AE48" i="10"/>
  <c r="AE62" i="10" s="1"/>
  <c r="AU48" i="10"/>
  <c r="AU62" i="10" s="1"/>
  <c r="BK48" i="10"/>
  <c r="BK62" i="10" s="1"/>
  <c r="K816" i="10"/>
  <c r="C434" i="10"/>
  <c r="S816" i="10"/>
  <c r="J612" i="10"/>
  <c r="BM730" i="10"/>
  <c r="C446" i="10"/>
  <c r="W48" i="10"/>
  <c r="W62" i="10" s="1"/>
  <c r="BV48" i="10"/>
  <c r="BV62" i="10" s="1"/>
  <c r="J48" i="10"/>
  <c r="J62" i="10" s="1"/>
  <c r="AS48" i="10"/>
  <c r="AS62" i="10" s="1"/>
  <c r="CA48" i="10"/>
  <c r="CA62" i="10" s="1"/>
  <c r="AA726" i="10"/>
  <c r="E141" i="10"/>
  <c r="D463" i="10" s="1"/>
  <c r="O48" i="10"/>
  <c r="O62" i="10" s="1"/>
  <c r="AG48" i="10"/>
  <c r="AG62" i="10" s="1"/>
  <c r="AW48" i="10"/>
  <c r="AW62" i="10" s="1"/>
  <c r="BN48" i="10"/>
  <c r="BN62" i="10" s="1"/>
  <c r="E797" i="10" s="1"/>
  <c r="D739" i="10"/>
  <c r="L739" i="10"/>
  <c r="L815" i="10" s="1"/>
  <c r="CE69" i="10"/>
  <c r="C439" i="10"/>
  <c r="D816" i="10"/>
  <c r="C427" i="10"/>
  <c r="U48" i="10"/>
  <c r="U62" i="10" s="1"/>
  <c r="BU48" i="10"/>
  <c r="BU62" i="10" s="1"/>
  <c r="AO48" i="10"/>
  <c r="AO62" i="10" s="1"/>
  <c r="BI48" i="10"/>
  <c r="BI62" i="10" s="1"/>
  <c r="CE47" i="10"/>
  <c r="R48" i="10"/>
  <c r="R62" i="10" s="1"/>
  <c r="AH48" i="10"/>
  <c r="AH62" i="10" s="1"/>
  <c r="AX48" i="10"/>
  <c r="AX62" i="10" s="1"/>
  <c r="BQ48" i="10"/>
  <c r="BQ62" i="10" s="1"/>
  <c r="AJ48" i="10"/>
  <c r="AJ62" i="10" s="1"/>
  <c r="D435" i="10"/>
  <c r="H519" i="10"/>
  <c r="F519" i="10"/>
  <c r="F546" i="10"/>
  <c r="H546" i="10"/>
  <c r="F806" i="10"/>
  <c r="CE63" i="10"/>
  <c r="P816" i="10"/>
  <c r="D612" i="10"/>
  <c r="CF76" i="10"/>
  <c r="BX52" i="10" s="1"/>
  <c r="BX67" i="10" s="1"/>
  <c r="J807" i="10" s="1"/>
  <c r="F517" i="10"/>
  <c r="H517" i="10"/>
  <c r="B767" i="10"/>
  <c r="E529" i="10"/>
  <c r="G739" i="10"/>
  <c r="G815" i="10" s="1"/>
  <c r="CE64" i="10"/>
  <c r="Q816" i="10"/>
  <c r="G612" i="10"/>
  <c r="CF77" i="10"/>
  <c r="AZ722" i="10"/>
  <c r="E210" i="10"/>
  <c r="D260" i="10"/>
  <c r="H816" i="10"/>
  <c r="C431" i="10"/>
  <c r="R739" i="10"/>
  <c r="R815" i="10" s="1"/>
  <c r="CE78" i="10"/>
  <c r="E142" i="10"/>
  <c r="D186" i="10"/>
  <c r="D436" i="10" s="1"/>
  <c r="BC722" i="10"/>
  <c r="E211" i="10"/>
  <c r="C217" i="10"/>
  <c r="D433" i="10" s="1"/>
  <c r="D290" i="10"/>
  <c r="BV730" i="10"/>
  <c r="I817" i="10"/>
  <c r="B432" i="10"/>
  <c r="H508" i="10"/>
  <c r="F508" i="10"/>
  <c r="H520" i="10"/>
  <c r="F520" i="10"/>
  <c r="F516" i="10"/>
  <c r="H516" i="10"/>
  <c r="H513" i="10"/>
  <c r="F513" i="10"/>
  <c r="D367" i="10"/>
  <c r="D415" i="10"/>
  <c r="F518" i="10"/>
  <c r="H533" i="10"/>
  <c r="F533" i="10"/>
  <c r="P815" i="10"/>
  <c r="E817" i="10"/>
  <c r="BR730" i="10"/>
  <c r="D390" i="10"/>
  <c r="B441" i="10" s="1"/>
  <c r="C458" i="10"/>
  <c r="B478" i="10"/>
  <c r="H524" i="10"/>
  <c r="H537" i="10"/>
  <c r="F537" i="10"/>
  <c r="AH730" i="10"/>
  <c r="D314" i="10"/>
  <c r="B436" i="10"/>
  <c r="H525" i="10"/>
  <c r="F525" i="10"/>
  <c r="BW730" i="10"/>
  <c r="J817" i="10"/>
  <c r="B433" i="10"/>
  <c r="B444" i="10"/>
  <c r="H500" i="10"/>
  <c r="F500" i="10"/>
  <c r="E501" i="10"/>
  <c r="F526" i="10"/>
  <c r="F815" i="10"/>
  <c r="H815" i="10"/>
  <c r="Q815" i="10"/>
  <c r="B465" i="10"/>
  <c r="S815" i="10"/>
  <c r="BT730" i="10"/>
  <c r="G817" i="10"/>
  <c r="I815" i="10"/>
  <c r="K815" i="10"/>
  <c r="D815" i="10"/>
  <c r="M815" i="10"/>
  <c r="B440" i="10" l="1"/>
  <c r="BH52" i="10"/>
  <c r="BH67" i="10" s="1"/>
  <c r="J791" i="10" s="1"/>
  <c r="K52" i="10"/>
  <c r="K67" i="10" s="1"/>
  <c r="J742" i="10" s="1"/>
  <c r="D339" i="10"/>
  <c r="C482" i="10" s="1"/>
  <c r="X52" i="10"/>
  <c r="X67" i="10" s="1"/>
  <c r="J755" i="10" s="1"/>
  <c r="BB52" i="10"/>
  <c r="BB67" i="10" s="1"/>
  <c r="J785" i="10" s="1"/>
  <c r="Q52" i="10"/>
  <c r="Q67" i="10" s="1"/>
  <c r="J748" i="10" s="1"/>
  <c r="E217" i="10"/>
  <c r="C478" i="10" s="1"/>
  <c r="AO52" i="10"/>
  <c r="AO67" i="10" s="1"/>
  <c r="J772" i="10" s="1"/>
  <c r="D277" i="10"/>
  <c r="D292" i="10" s="1"/>
  <c r="D341" i="10" s="1"/>
  <c r="C481" i="10" s="1"/>
  <c r="BM52" i="10"/>
  <c r="BM67" i="10" s="1"/>
  <c r="J796" i="10" s="1"/>
  <c r="BZ52" i="10"/>
  <c r="BZ67" i="10" s="1"/>
  <c r="J809" i="10" s="1"/>
  <c r="CC52" i="10"/>
  <c r="CC67" i="10" s="1"/>
  <c r="J812" i="10" s="1"/>
  <c r="BW52" i="10"/>
  <c r="BW67" i="10" s="1"/>
  <c r="J806" i="10" s="1"/>
  <c r="N52" i="10"/>
  <c r="N67" i="10" s="1"/>
  <c r="J745" i="10" s="1"/>
  <c r="T52" i="10"/>
  <c r="T67" i="10" s="1"/>
  <c r="J751" i="10" s="1"/>
  <c r="BK52" i="10"/>
  <c r="BK67" i="10" s="1"/>
  <c r="J794" i="10" s="1"/>
  <c r="AD52" i="10"/>
  <c r="AD67" i="10" s="1"/>
  <c r="J761" i="10" s="1"/>
  <c r="AR52" i="10"/>
  <c r="AR67" i="10" s="1"/>
  <c r="J775" i="10" s="1"/>
  <c r="L816" i="10"/>
  <c r="C440" i="10"/>
  <c r="E802" i="10"/>
  <c r="E755" i="10"/>
  <c r="X71" i="10"/>
  <c r="CE48" i="10"/>
  <c r="C62" i="10"/>
  <c r="E798" i="10"/>
  <c r="E777" i="10"/>
  <c r="E775" i="10"/>
  <c r="C448" i="10"/>
  <c r="D368" i="10"/>
  <c r="D373" i="10" s="1"/>
  <c r="D391" i="10" s="1"/>
  <c r="D393" i="10" s="1"/>
  <c r="D396" i="10" s="1"/>
  <c r="AL52" i="10"/>
  <c r="AL67" i="10" s="1"/>
  <c r="J769" i="10" s="1"/>
  <c r="Y52" i="10"/>
  <c r="Y67" i="10" s="1"/>
  <c r="J756" i="10" s="1"/>
  <c r="D52" i="10"/>
  <c r="D67" i="10" s="1"/>
  <c r="J735" i="10" s="1"/>
  <c r="BP52" i="10"/>
  <c r="BP67" i="10" s="1"/>
  <c r="J799" i="10" s="1"/>
  <c r="E792" i="10"/>
  <c r="E744" i="10"/>
  <c r="E760" i="10"/>
  <c r="E763" i="10"/>
  <c r="E742" i="10"/>
  <c r="K71" i="10"/>
  <c r="E806" i="10"/>
  <c r="E785" i="10"/>
  <c r="BB71" i="10"/>
  <c r="E756" i="10"/>
  <c r="E789" i="10"/>
  <c r="AT52" i="10"/>
  <c r="AT67" i="10" s="1"/>
  <c r="J777" i="10" s="1"/>
  <c r="AG52" i="10"/>
  <c r="AG67" i="10" s="1"/>
  <c r="J764" i="10" s="1"/>
  <c r="L52" i="10"/>
  <c r="L67" i="10" s="1"/>
  <c r="J743" i="10" s="1"/>
  <c r="E800" i="10"/>
  <c r="E772" i="10"/>
  <c r="AO71" i="10"/>
  <c r="E810" i="10"/>
  <c r="E757" i="10"/>
  <c r="E773" i="10"/>
  <c r="E771" i="10"/>
  <c r="E750" i="10"/>
  <c r="E793" i="10"/>
  <c r="E740" i="10"/>
  <c r="E788" i="10"/>
  <c r="C739" i="10"/>
  <c r="C815" i="10" s="1"/>
  <c r="H80" i="10"/>
  <c r="CE60" i="10"/>
  <c r="BV52" i="10"/>
  <c r="BV67" i="10" s="1"/>
  <c r="J805" i="10" s="1"/>
  <c r="BI52" i="10"/>
  <c r="BI67" i="10" s="1"/>
  <c r="J792" i="10" s="1"/>
  <c r="BT52" i="10"/>
  <c r="BT67" i="10" s="1"/>
  <c r="J803" i="10" s="1"/>
  <c r="BG52" i="10"/>
  <c r="BG67" i="10" s="1"/>
  <c r="J790" i="10" s="1"/>
  <c r="AU52" i="10"/>
  <c r="AU67" i="10" s="1"/>
  <c r="J778" i="10" s="1"/>
  <c r="AH52" i="10"/>
  <c r="AH67" i="10" s="1"/>
  <c r="J765" i="10" s="1"/>
  <c r="U52" i="10"/>
  <c r="U67" i="10" s="1"/>
  <c r="J752" i="10" s="1"/>
  <c r="H52" i="10"/>
  <c r="H67" i="10" s="1"/>
  <c r="J739" i="10" s="1"/>
  <c r="W52" i="10"/>
  <c r="W67" i="10" s="1"/>
  <c r="J754" i="10" s="1"/>
  <c r="BY52" i="10"/>
  <c r="BY67" i="10" s="1"/>
  <c r="J808" i="10" s="1"/>
  <c r="BC52" i="10"/>
  <c r="BC67" i="10" s="1"/>
  <c r="J786" i="10" s="1"/>
  <c r="AM52" i="10"/>
  <c r="AM67" i="10" s="1"/>
  <c r="J770" i="10" s="1"/>
  <c r="S52" i="10"/>
  <c r="S67" i="10" s="1"/>
  <c r="J750" i="10" s="1"/>
  <c r="C52" i="10"/>
  <c r="BO52" i="10"/>
  <c r="BO67" i="10" s="1"/>
  <c r="J798" i="10" s="1"/>
  <c r="AQ52" i="10"/>
  <c r="AQ67" i="10" s="1"/>
  <c r="J774" i="10" s="1"/>
  <c r="BF52" i="10"/>
  <c r="BF67" i="10" s="1"/>
  <c r="J789" i="10" s="1"/>
  <c r="BS52" i="10"/>
  <c r="BS67" i="10" s="1"/>
  <c r="J802" i="10" s="1"/>
  <c r="BA52" i="10"/>
  <c r="BA67" i="10" s="1"/>
  <c r="AI52" i="10"/>
  <c r="AI67" i="10" s="1"/>
  <c r="J766" i="10" s="1"/>
  <c r="R52" i="10"/>
  <c r="R67" i="10" s="1"/>
  <c r="J749" i="10" s="1"/>
  <c r="AV52" i="10"/>
  <c r="AV67" i="10" s="1"/>
  <c r="J779" i="10" s="1"/>
  <c r="O52" i="10"/>
  <c r="O67" i="10" s="1"/>
  <c r="J746" i="10" s="1"/>
  <c r="BQ52" i="10"/>
  <c r="BQ67" i="10" s="1"/>
  <c r="J800" i="10" s="1"/>
  <c r="AY52" i="10"/>
  <c r="AY67" i="10" s="1"/>
  <c r="J782" i="10" s="1"/>
  <c r="AF52" i="10"/>
  <c r="AF67" i="10" s="1"/>
  <c r="J763" i="10" s="1"/>
  <c r="P52" i="10"/>
  <c r="P67" i="10" s="1"/>
  <c r="J747" i="10" s="1"/>
  <c r="AE52" i="10"/>
  <c r="AE67" i="10" s="1"/>
  <c r="J762" i="10" s="1"/>
  <c r="J52" i="10"/>
  <c r="J67" i="10" s="1"/>
  <c r="J741" i="10" s="1"/>
  <c r="AP52" i="10"/>
  <c r="AP67" i="10" s="1"/>
  <c r="J773" i="10" s="1"/>
  <c r="CA52" i="10"/>
  <c r="CA67" i="10" s="1"/>
  <c r="J810" i="10" s="1"/>
  <c r="G52" i="10"/>
  <c r="G67" i="10" s="1"/>
  <c r="J738" i="10" s="1"/>
  <c r="AN52" i="10"/>
  <c r="AN67" i="10" s="1"/>
  <c r="J771" i="10" s="1"/>
  <c r="BN52" i="10"/>
  <c r="BN67" i="10" s="1"/>
  <c r="AS52" i="10"/>
  <c r="AS67" i="10" s="1"/>
  <c r="J776" i="10" s="1"/>
  <c r="AC52" i="10"/>
  <c r="AC67" i="10" s="1"/>
  <c r="J760" i="10" s="1"/>
  <c r="M52" i="10"/>
  <c r="M67" i="10" s="1"/>
  <c r="J744" i="10" s="1"/>
  <c r="BL52" i="10"/>
  <c r="BL67" i="10" s="1"/>
  <c r="J795" i="10" s="1"/>
  <c r="AA52" i="10"/>
  <c r="AA67" i="10" s="1"/>
  <c r="J758" i="10" s="1"/>
  <c r="CB52" i="10"/>
  <c r="CB67" i="10" s="1"/>
  <c r="J811" i="10" s="1"/>
  <c r="Z52" i="10"/>
  <c r="Z67" i="10" s="1"/>
  <c r="J757" i="10" s="1"/>
  <c r="BD52" i="10"/>
  <c r="BD67" i="10" s="1"/>
  <c r="J787" i="10" s="1"/>
  <c r="E52" i="10"/>
  <c r="E67" i="10" s="1"/>
  <c r="J736" i="10" s="1"/>
  <c r="E781" i="10"/>
  <c r="E804" i="10"/>
  <c r="E776" i="10"/>
  <c r="I816" i="10"/>
  <c r="C432" i="10"/>
  <c r="E770" i="10"/>
  <c r="AM71" i="10"/>
  <c r="E786" i="10"/>
  <c r="E779" i="10"/>
  <c r="E758" i="10"/>
  <c r="E737" i="10"/>
  <c r="E801" i="10"/>
  <c r="O816" i="10"/>
  <c r="C463" i="10"/>
  <c r="B445" i="10"/>
  <c r="D242" i="10"/>
  <c r="B448" i="10" s="1"/>
  <c r="E736" i="10"/>
  <c r="E743" i="10"/>
  <c r="AX52" i="10"/>
  <c r="AX67" i="10" s="1"/>
  <c r="J781" i="10" s="1"/>
  <c r="BJ52" i="10"/>
  <c r="BJ67" i="10" s="1"/>
  <c r="J793" i="10" s="1"/>
  <c r="AW52" i="10"/>
  <c r="AW67" i="10" s="1"/>
  <c r="J780" i="10" s="1"/>
  <c r="AB52" i="10"/>
  <c r="AB67" i="10" s="1"/>
  <c r="J759" i="10" s="1"/>
  <c r="E765" i="10"/>
  <c r="E752" i="10"/>
  <c r="E741" i="10"/>
  <c r="J71" i="10"/>
  <c r="E783" i="10"/>
  <c r="E799" i="10"/>
  <c r="E787" i="10"/>
  <c r="E766" i="10"/>
  <c r="E745" i="10"/>
  <c r="N71" i="10"/>
  <c r="E809" i="10"/>
  <c r="BZ71" i="10"/>
  <c r="E751" i="10"/>
  <c r="E748" i="10"/>
  <c r="Q71" i="10"/>
  <c r="D464" i="10"/>
  <c r="D465" i="10" s="1"/>
  <c r="AJ74" i="10"/>
  <c r="AK52" i="10"/>
  <c r="AK67" i="10" s="1"/>
  <c r="J768" i="10" s="1"/>
  <c r="F52" i="10"/>
  <c r="F67" i="10" s="1"/>
  <c r="J737" i="10" s="1"/>
  <c r="BR52" i="10"/>
  <c r="BR67" i="10" s="1"/>
  <c r="J801" i="10" s="1"/>
  <c r="BE52" i="10"/>
  <c r="BE67" i="10" s="1"/>
  <c r="J788" i="10" s="1"/>
  <c r="AJ52" i="10"/>
  <c r="AJ67" i="10" s="1"/>
  <c r="J767" i="10" s="1"/>
  <c r="D438" i="10"/>
  <c r="E749" i="10"/>
  <c r="R71" i="10"/>
  <c r="E780" i="10"/>
  <c r="E805" i="10"/>
  <c r="E794" i="10"/>
  <c r="E759" i="10"/>
  <c r="E796" i="10"/>
  <c r="BM71" i="10"/>
  <c r="E812" i="10"/>
  <c r="E795" i="10"/>
  <c r="BL71" i="10"/>
  <c r="E774" i="10"/>
  <c r="E753" i="10"/>
  <c r="R816" i="10"/>
  <c r="I612" i="10"/>
  <c r="G816" i="10"/>
  <c r="F612" i="10"/>
  <c r="C430" i="10"/>
  <c r="F816" i="10"/>
  <c r="C429" i="10"/>
  <c r="E767" i="10"/>
  <c r="E764" i="10"/>
  <c r="AG71" i="10"/>
  <c r="E754" i="10"/>
  <c r="E778" i="10"/>
  <c r="AU71" i="10"/>
  <c r="E738" i="10"/>
  <c r="E808" i="10"/>
  <c r="E803" i="10"/>
  <c r="E782" i="10"/>
  <c r="E761" i="10"/>
  <c r="E807" i="10"/>
  <c r="BX71" i="10"/>
  <c r="V52" i="10"/>
  <c r="V67" i="10" s="1"/>
  <c r="J753" i="10" s="1"/>
  <c r="I52" i="10"/>
  <c r="I67" i="10" s="1"/>
  <c r="J740" i="10" s="1"/>
  <c r="BU52" i="10"/>
  <c r="BU67" i="10" s="1"/>
  <c r="J804" i="10" s="1"/>
  <c r="AZ52" i="10"/>
  <c r="AZ67" i="10" s="1"/>
  <c r="J783" i="10" s="1"/>
  <c r="E746" i="10"/>
  <c r="E762" i="10"/>
  <c r="E768" i="10"/>
  <c r="AK71" i="10"/>
  <c r="E735" i="10"/>
  <c r="E747" i="10"/>
  <c r="P71" i="10"/>
  <c r="E811" i="10"/>
  <c r="E790" i="10"/>
  <c r="E769" i="10"/>
  <c r="E791" i="10"/>
  <c r="BH71" i="10"/>
  <c r="CB71" i="10" l="1"/>
  <c r="AR71" i="10"/>
  <c r="AV71" i="10"/>
  <c r="T71" i="10"/>
  <c r="BW71" i="10"/>
  <c r="AE71" i="10"/>
  <c r="BP71" i="10"/>
  <c r="BC71" i="10"/>
  <c r="C633" i="10" s="1"/>
  <c r="BU71" i="10"/>
  <c r="BO71" i="10"/>
  <c r="C627" i="10" s="1"/>
  <c r="O71" i="10"/>
  <c r="C680" i="10" s="1"/>
  <c r="AD71" i="10"/>
  <c r="CC71" i="10"/>
  <c r="C574" i="10" s="1"/>
  <c r="BT71" i="10"/>
  <c r="S71" i="10"/>
  <c r="BQ71" i="10"/>
  <c r="C562" i="10" s="1"/>
  <c r="M71" i="10"/>
  <c r="AI71" i="10"/>
  <c r="C700" i="10" s="1"/>
  <c r="U71" i="10"/>
  <c r="C686" i="10" s="1"/>
  <c r="E71" i="10"/>
  <c r="AC71" i="10"/>
  <c r="C694" i="10" s="1"/>
  <c r="BG71" i="10"/>
  <c r="BK71" i="10"/>
  <c r="AS71" i="10"/>
  <c r="C538" i="10" s="1"/>
  <c r="G538" i="10" s="1"/>
  <c r="J797" i="10"/>
  <c r="BN71" i="10"/>
  <c r="C573" i="10"/>
  <c r="C622" i="10"/>
  <c r="BY71" i="10"/>
  <c r="C675" i="10"/>
  <c r="C503" i="10"/>
  <c r="G503" i="10" s="1"/>
  <c r="C713" i="10"/>
  <c r="C541" i="10"/>
  <c r="BJ71" i="10"/>
  <c r="C632" i="10"/>
  <c r="C547" i="10"/>
  <c r="C620" i="10"/>
  <c r="C681" i="10"/>
  <c r="C509" i="10"/>
  <c r="G509" i="10" s="1"/>
  <c r="G71" i="10"/>
  <c r="BD71" i="10"/>
  <c r="BR71" i="10"/>
  <c r="T739" i="10"/>
  <c r="T815" i="10" s="1"/>
  <c r="CE80" i="10"/>
  <c r="C67" i="10"/>
  <c r="CE52" i="10"/>
  <c r="AL71" i="10"/>
  <c r="D71" i="10"/>
  <c r="AY71" i="10"/>
  <c r="C712" i="10"/>
  <c r="C540" i="10"/>
  <c r="G540" i="10" s="1"/>
  <c r="C571" i="10"/>
  <c r="C646" i="10"/>
  <c r="C621" i="10"/>
  <c r="C561" i="10"/>
  <c r="AH71" i="10"/>
  <c r="C498" i="10"/>
  <c r="G498" i="10" s="1"/>
  <c r="C670" i="10"/>
  <c r="F71" i="10"/>
  <c r="C704" i="10"/>
  <c r="C532" i="10"/>
  <c r="G532" i="10" s="1"/>
  <c r="AX71" i="10"/>
  <c r="BE71" i="10"/>
  <c r="AN71" i="10"/>
  <c r="H71" i="10"/>
  <c r="BF71" i="10"/>
  <c r="C676" i="10"/>
  <c r="C504" i="10"/>
  <c r="G504" i="10" s="1"/>
  <c r="BI71" i="10"/>
  <c r="C709" i="10"/>
  <c r="C537" i="10"/>
  <c r="G537" i="10" s="1"/>
  <c r="C689" i="10"/>
  <c r="C517" i="10"/>
  <c r="G517" i="10" s="1"/>
  <c r="C696" i="10"/>
  <c r="C524" i="10"/>
  <c r="G524" i="10" s="1"/>
  <c r="C698" i="10"/>
  <c r="C526" i="10"/>
  <c r="G526" i="10" s="1"/>
  <c r="Z71" i="10"/>
  <c r="C522" i="10"/>
  <c r="G522" i="10" s="1"/>
  <c r="BV71" i="10"/>
  <c r="BI730" i="10"/>
  <c r="C816" i="10"/>
  <c r="H612" i="10"/>
  <c r="C636" i="10"/>
  <c r="C553" i="10"/>
  <c r="C508" i="10"/>
  <c r="G508" i="10" s="1"/>
  <c r="AJ71" i="10"/>
  <c r="C685" i="10"/>
  <c r="C513" i="10"/>
  <c r="G513" i="10" s="1"/>
  <c r="L71" i="10"/>
  <c r="C684" i="10"/>
  <c r="C512" i="10"/>
  <c r="G512" i="10" s="1"/>
  <c r="CA71" i="10"/>
  <c r="C643" i="10"/>
  <c r="C568" i="10"/>
  <c r="E734" i="10"/>
  <c r="E815" i="10" s="1"/>
  <c r="C71" i="10"/>
  <c r="CE62" i="10"/>
  <c r="V71" i="10"/>
  <c r="AW71" i="10"/>
  <c r="AQ71" i="10"/>
  <c r="AB71" i="10"/>
  <c r="C683" i="10"/>
  <c r="C511" i="10"/>
  <c r="G511" i="10" s="1"/>
  <c r="AJ75" i="10"/>
  <c r="CE74" i="10"/>
  <c r="C464" i="10" s="1"/>
  <c r="C706" i="10"/>
  <c r="C534" i="10"/>
  <c r="G534" i="10" s="1"/>
  <c r="C637" i="10"/>
  <c r="C557" i="10"/>
  <c r="C682" i="10"/>
  <c r="C510" i="10"/>
  <c r="G510" i="10" s="1"/>
  <c r="C644" i="10"/>
  <c r="C569" i="10"/>
  <c r="C523" i="10"/>
  <c r="G523" i="10" s="1"/>
  <c r="C695" i="10"/>
  <c r="C514" i="10"/>
  <c r="G514" i="10" s="1"/>
  <c r="C641" i="10"/>
  <c r="C566" i="10"/>
  <c r="C678" i="10"/>
  <c r="C506" i="10"/>
  <c r="G506" i="10" s="1"/>
  <c r="C638" i="10"/>
  <c r="C558" i="10"/>
  <c r="C552" i="10"/>
  <c r="C618" i="10"/>
  <c r="C702" i="10"/>
  <c r="C530" i="10"/>
  <c r="G530" i="10" s="1"/>
  <c r="C640" i="10"/>
  <c r="C565" i="10"/>
  <c r="W71" i="10"/>
  <c r="C679" i="10"/>
  <c r="C507" i="10"/>
  <c r="G507" i="10" s="1"/>
  <c r="AZ71" i="10"/>
  <c r="AA71" i="10"/>
  <c r="J784" i="10"/>
  <c r="BA71" i="10"/>
  <c r="I71" i="10"/>
  <c r="AP71" i="10"/>
  <c r="Y71" i="10"/>
  <c r="AF71" i="10"/>
  <c r="AT71" i="10"/>
  <c r="BS71" i="10"/>
  <c r="C635" i="10"/>
  <c r="C556" i="10"/>
  <c r="C548" i="10" l="1"/>
  <c r="C623" i="10"/>
  <c r="C710" i="10"/>
  <c r="C528" i="10"/>
  <c r="G528" i="10" s="1"/>
  <c r="C560" i="10"/>
  <c r="C707" i="10"/>
  <c r="C535" i="10"/>
  <c r="G535" i="10" s="1"/>
  <c r="C550" i="10"/>
  <c r="G550" i="10" s="1"/>
  <c r="C614" i="10"/>
  <c r="C531" i="10"/>
  <c r="G531" i="10" s="1"/>
  <c r="C703" i="10"/>
  <c r="C674" i="10"/>
  <c r="C502" i="10"/>
  <c r="G502" i="10" s="1"/>
  <c r="C693" i="10"/>
  <c r="C521" i="10"/>
  <c r="G521" i="10" s="1"/>
  <c r="C616" i="10"/>
  <c r="C543" i="10"/>
  <c r="C630" i="10"/>
  <c r="C546" i="10"/>
  <c r="G546" i="10" s="1"/>
  <c r="C708" i="10"/>
  <c r="C536" i="10"/>
  <c r="G536" i="10" s="1"/>
  <c r="C572" i="10"/>
  <c r="C647" i="10"/>
  <c r="C634" i="10"/>
  <c r="C554" i="10"/>
  <c r="J734" i="10"/>
  <c r="J815" i="10" s="1"/>
  <c r="CE67" i="10"/>
  <c r="C642" i="10"/>
  <c r="C567" i="10"/>
  <c r="T816" i="10"/>
  <c r="L612" i="10"/>
  <c r="C692" i="10"/>
  <c r="C520" i="10"/>
  <c r="G520" i="10" s="1"/>
  <c r="C687" i="10"/>
  <c r="C515" i="10"/>
  <c r="G515" i="10" s="1"/>
  <c r="C711" i="10"/>
  <c r="C539" i="10"/>
  <c r="G539" i="10" s="1"/>
  <c r="C545" i="10"/>
  <c r="G545" i="10" s="1"/>
  <c r="C628" i="10"/>
  <c r="E816" i="10"/>
  <c r="C428" i="10"/>
  <c r="C677" i="10"/>
  <c r="C505" i="10"/>
  <c r="G505" i="10" s="1"/>
  <c r="C691" i="10"/>
  <c r="C519" i="10"/>
  <c r="G519" i="10" s="1"/>
  <c r="C629" i="10"/>
  <c r="C551" i="10"/>
  <c r="C626" i="10"/>
  <c r="C563" i="10"/>
  <c r="C645" i="10"/>
  <c r="C570" i="10"/>
  <c r="C697" i="10"/>
  <c r="C525" i="10"/>
  <c r="G525" i="10" s="1"/>
  <c r="N767" i="10"/>
  <c r="N815" i="10" s="1"/>
  <c r="CE75" i="10"/>
  <c r="C668" i="10"/>
  <c r="C496" i="10"/>
  <c r="G496" i="10" s="1"/>
  <c r="C673" i="10"/>
  <c r="C501" i="10"/>
  <c r="G501" i="10" s="1"/>
  <c r="C544" i="10"/>
  <c r="G544" i="10" s="1"/>
  <c r="C625" i="10"/>
  <c r="C624" i="10"/>
  <c r="C549" i="10"/>
  <c r="C688" i="10"/>
  <c r="C516" i="10"/>
  <c r="G516" i="10" s="1"/>
  <c r="C529" i="10"/>
  <c r="G529" i="10" s="1"/>
  <c r="C701" i="10"/>
  <c r="C631" i="10"/>
  <c r="C542" i="10"/>
  <c r="C639" i="10"/>
  <c r="C564" i="10"/>
  <c r="C671" i="10"/>
  <c r="C499" i="10"/>
  <c r="G499" i="10" s="1"/>
  <c r="C690" i="10"/>
  <c r="C518" i="10"/>
  <c r="G518" i="10" s="1"/>
  <c r="C705" i="10"/>
  <c r="C533" i="10"/>
  <c r="G533" i="10" s="1"/>
  <c r="C699" i="10"/>
  <c r="C527" i="10"/>
  <c r="G527" i="10" s="1"/>
  <c r="C669" i="10"/>
  <c r="C497" i="10"/>
  <c r="G497" i="10" s="1"/>
  <c r="C672" i="10"/>
  <c r="C500" i="10"/>
  <c r="G500" i="10" s="1"/>
  <c r="C555" i="10"/>
  <c r="C617" i="10"/>
  <c r="C619" i="10"/>
  <c r="C559" i="10"/>
  <c r="J816" i="10" l="1"/>
  <c r="C433" i="10"/>
  <c r="C441" i="10" s="1"/>
  <c r="C715" i="10"/>
  <c r="D615" i="10"/>
  <c r="C648" i="10"/>
  <c r="M716" i="10" s="1"/>
  <c r="Y816" i="10" s="1"/>
  <c r="CE71" i="10"/>
  <c r="C716" i="10" s="1"/>
  <c r="N816" i="10"/>
  <c r="K612" i="10"/>
  <c r="C465" i="10"/>
  <c r="D711" i="10" l="1"/>
  <c r="D703" i="10"/>
  <c r="D695" i="10"/>
  <c r="D687" i="10"/>
  <c r="D708" i="10"/>
  <c r="D713" i="10"/>
  <c r="D710" i="10"/>
  <c r="D702" i="10"/>
  <c r="D694" i="10"/>
  <c r="D716" i="10"/>
  <c r="D707" i="10"/>
  <c r="D699" i="10"/>
  <c r="D691" i="10"/>
  <c r="D705" i="10"/>
  <c r="D698" i="10"/>
  <c r="D686" i="10"/>
  <c r="D680" i="10"/>
  <c r="D672" i="10"/>
  <c r="D712" i="10"/>
  <c r="D700" i="10"/>
  <c r="D693" i="10"/>
  <c r="D682" i="10"/>
  <c r="D674" i="10"/>
  <c r="D623" i="10"/>
  <c r="D619" i="10"/>
  <c r="D696" i="10"/>
  <c r="D690" i="10"/>
  <c r="D683" i="10"/>
  <c r="D681" i="10"/>
  <c r="D679" i="10"/>
  <c r="D641" i="10"/>
  <c r="D637" i="10"/>
  <c r="D633" i="10"/>
  <c r="D616" i="10"/>
  <c r="D678" i="10"/>
  <c r="D677" i="10"/>
  <c r="D676" i="10"/>
  <c r="D646" i="10"/>
  <c r="D620" i="10"/>
  <c r="D688" i="10"/>
  <c r="D673" i="10"/>
  <c r="D643" i="10"/>
  <c r="D636" i="10"/>
  <c r="D634" i="10"/>
  <c r="D704" i="10"/>
  <c r="D669" i="10"/>
  <c r="D628" i="10"/>
  <c r="D621" i="10"/>
  <c r="D639" i="10"/>
  <c r="D632" i="10"/>
  <c r="D630" i="10"/>
  <c r="D625" i="10"/>
  <c r="D670" i="10"/>
  <c r="D684" i="10"/>
  <c r="D647" i="10"/>
  <c r="D627" i="10"/>
  <c r="D697" i="10"/>
  <c r="D692" i="10"/>
  <c r="D631" i="10"/>
  <c r="D624" i="10"/>
  <c r="D645" i="10"/>
  <c r="D640" i="10"/>
  <c r="D635" i="10"/>
  <c r="D709" i="10"/>
  <c r="D701" i="10"/>
  <c r="D675" i="10"/>
  <c r="D644" i="10"/>
  <c r="D622" i="10"/>
  <c r="D671" i="10"/>
  <c r="D668" i="10"/>
  <c r="D618" i="10"/>
  <c r="D642" i="10"/>
  <c r="D629" i="10"/>
  <c r="D706" i="10"/>
  <c r="D689" i="10"/>
  <c r="D638" i="10"/>
  <c r="D626" i="10"/>
  <c r="D617" i="10"/>
  <c r="D685" i="10"/>
  <c r="D715" i="10" l="1"/>
  <c r="E623" i="10"/>
  <c r="E612" i="10"/>
  <c r="E708" i="10" l="1"/>
  <c r="E700" i="10"/>
  <c r="E692" i="10"/>
  <c r="E713" i="10"/>
  <c r="E705" i="10"/>
  <c r="E710" i="10"/>
  <c r="E716" i="10"/>
  <c r="E707" i="10"/>
  <c r="E699" i="10"/>
  <c r="E691" i="10"/>
  <c r="E712" i="10"/>
  <c r="E704" i="10"/>
  <c r="E696" i="10"/>
  <c r="E688" i="10"/>
  <c r="E685" i="10"/>
  <c r="E677" i="10"/>
  <c r="E669" i="10"/>
  <c r="E627" i="10"/>
  <c r="E701" i="10"/>
  <c r="E679" i="10"/>
  <c r="E671" i="10"/>
  <c r="E625" i="10"/>
  <c r="E711" i="10"/>
  <c r="E686" i="10"/>
  <c r="E680" i="10"/>
  <c r="E678" i="10"/>
  <c r="E676" i="10"/>
  <c r="E646" i="10"/>
  <c r="E702" i="10"/>
  <c r="E675" i="10"/>
  <c r="E674" i="10"/>
  <c r="E673" i="10"/>
  <c r="E642" i="10"/>
  <c r="E638" i="10"/>
  <c r="E634" i="10"/>
  <c r="E630" i="10"/>
  <c r="E624" i="10"/>
  <c r="E698" i="10"/>
  <c r="E628" i="10"/>
  <c r="E682" i="10"/>
  <c r="E641" i="10"/>
  <c r="E639" i="10"/>
  <c r="E632" i="10"/>
  <c r="E670" i="10"/>
  <c r="E706" i="10"/>
  <c r="E697" i="10"/>
  <c r="E695" i="10"/>
  <c r="E693" i="10"/>
  <c r="E689" i="10"/>
  <c r="E683" i="10"/>
  <c r="E644" i="10"/>
  <c r="E637" i="10"/>
  <c r="E635" i="10"/>
  <c r="E709" i="10"/>
  <c r="E640" i="10"/>
  <c r="E633" i="10"/>
  <c r="E631" i="10"/>
  <c r="E645" i="10"/>
  <c r="E636" i="10"/>
  <c r="E672" i="10"/>
  <c r="E668" i="10"/>
  <c r="E690" i="10"/>
  <c r="E629" i="10"/>
  <c r="E626" i="10"/>
  <c r="E684" i="10"/>
  <c r="E694" i="10"/>
  <c r="E643" i="10"/>
  <c r="E681" i="10"/>
  <c r="E703" i="10"/>
  <c r="E687" i="10"/>
  <c r="E647" i="10"/>
  <c r="E715" i="10" l="1"/>
  <c r="F624" i="10"/>
  <c r="F713" i="10" l="1"/>
  <c r="F705" i="10"/>
  <c r="F697" i="10"/>
  <c r="F689" i="10"/>
  <c r="F710" i="10"/>
  <c r="F716" i="10"/>
  <c r="F707" i="10"/>
  <c r="F712" i="10"/>
  <c r="F704" i="10"/>
  <c r="F696" i="10"/>
  <c r="F709" i="10"/>
  <c r="F701" i="10"/>
  <c r="F693" i="10"/>
  <c r="F685" i="10"/>
  <c r="F699" i="10"/>
  <c r="F692" i="10"/>
  <c r="F682" i="10"/>
  <c r="F674" i="10"/>
  <c r="F706" i="10"/>
  <c r="F694" i="10"/>
  <c r="F684" i="10"/>
  <c r="F676" i="10"/>
  <c r="F668" i="10"/>
  <c r="F628" i="10"/>
  <c r="F708" i="10"/>
  <c r="F702" i="10"/>
  <c r="F677" i="10"/>
  <c r="F675" i="10"/>
  <c r="F673" i="10"/>
  <c r="F642" i="10"/>
  <c r="F638" i="10"/>
  <c r="F634" i="10"/>
  <c r="F630" i="10"/>
  <c r="F687" i="10"/>
  <c r="F672" i="10"/>
  <c r="F671" i="10"/>
  <c r="F670" i="10"/>
  <c r="F647" i="10"/>
  <c r="F626" i="10"/>
  <c r="F669" i="10"/>
  <c r="F641" i="10"/>
  <c r="F639" i="10"/>
  <c r="F632" i="10"/>
  <c r="F686" i="10"/>
  <c r="F678" i="10"/>
  <c r="F646" i="10"/>
  <c r="F625" i="10"/>
  <c r="F711" i="10"/>
  <c r="F695" i="10"/>
  <c r="F691" i="10"/>
  <c r="F683" i="10"/>
  <c r="F644" i="10"/>
  <c r="F637" i="10"/>
  <c r="F635" i="10"/>
  <c r="F703" i="10"/>
  <c r="F679" i="10"/>
  <c r="F680" i="10"/>
  <c r="F645" i="10"/>
  <c r="F629" i="10"/>
  <c r="F640" i="10"/>
  <c r="F690" i="10"/>
  <c r="F643" i="10"/>
  <c r="F688" i="10"/>
  <c r="F698" i="10"/>
  <c r="F631" i="10"/>
  <c r="F681" i="10"/>
  <c r="F627" i="10"/>
  <c r="F700" i="10"/>
  <c r="F636" i="10"/>
  <c r="F633" i="10"/>
  <c r="F715" i="10" l="1"/>
  <c r="G625" i="10"/>
  <c r="G710" i="10" l="1"/>
  <c r="G702" i="10"/>
  <c r="G694" i="10"/>
  <c r="G686" i="10"/>
  <c r="G716" i="10"/>
  <c r="G707" i="10"/>
  <c r="G712" i="10"/>
  <c r="G709" i="10"/>
  <c r="G701" i="10"/>
  <c r="G693" i="10"/>
  <c r="G706" i="10"/>
  <c r="G698" i="10"/>
  <c r="G690" i="10"/>
  <c r="G700" i="10"/>
  <c r="G679" i="10"/>
  <c r="G671" i="10"/>
  <c r="G708" i="10"/>
  <c r="G695" i="10"/>
  <c r="G681" i="10"/>
  <c r="G673" i="10"/>
  <c r="G699" i="10"/>
  <c r="G687" i="10"/>
  <c r="G674" i="10"/>
  <c r="G672" i="10"/>
  <c r="G670" i="10"/>
  <c r="G647" i="10"/>
  <c r="G626" i="10"/>
  <c r="G713" i="10"/>
  <c r="G691" i="10"/>
  <c r="G669" i="10"/>
  <c r="G668" i="10"/>
  <c r="G643" i="10"/>
  <c r="G639" i="10"/>
  <c r="G635" i="10"/>
  <c r="G631" i="10"/>
  <c r="G628" i="10"/>
  <c r="G704" i="10"/>
  <c r="G682" i="10"/>
  <c r="G678" i="10"/>
  <c r="G646" i="10"/>
  <c r="G711" i="10"/>
  <c r="G683" i="10"/>
  <c r="G644" i="10"/>
  <c r="G637" i="10"/>
  <c r="G630" i="10"/>
  <c r="G703" i="10"/>
  <c r="G697" i="10"/>
  <c r="G689" i="10"/>
  <c r="G684" i="10"/>
  <c r="G675" i="10"/>
  <c r="G642" i="10"/>
  <c r="G640" i="10"/>
  <c r="G633" i="10"/>
  <c r="G627" i="10"/>
  <c r="G705" i="10"/>
  <c r="G676" i="10"/>
  <c r="G638" i="10"/>
  <c r="G636" i="10"/>
  <c r="G696" i="10"/>
  <c r="G629" i="10"/>
  <c r="G685" i="10"/>
  <c r="G634" i="10"/>
  <c r="G680" i="10"/>
  <c r="G677" i="10"/>
  <c r="G632" i="10"/>
  <c r="G645" i="10"/>
  <c r="G692" i="10"/>
  <c r="G641" i="10"/>
  <c r="G688" i="10"/>
  <c r="H628" i="10" l="1"/>
  <c r="G715" i="10"/>
  <c r="H716" i="10" l="1"/>
  <c r="H707" i="10"/>
  <c r="H699" i="10"/>
  <c r="H691" i="10"/>
  <c r="H712" i="10"/>
  <c r="H709" i="10"/>
  <c r="H706" i="10"/>
  <c r="H698" i="10"/>
  <c r="H690" i="10"/>
  <c r="H711" i="10"/>
  <c r="H703" i="10"/>
  <c r="H695" i="10"/>
  <c r="H687" i="10"/>
  <c r="H693" i="10"/>
  <c r="H684" i="10"/>
  <c r="H676" i="10"/>
  <c r="H668" i="10"/>
  <c r="H710" i="10"/>
  <c r="H702" i="10"/>
  <c r="H678" i="10"/>
  <c r="H670" i="10"/>
  <c r="H647" i="10"/>
  <c r="H646" i="10"/>
  <c r="H645" i="10"/>
  <c r="H629" i="10"/>
  <c r="H713" i="10"/>
  <c r="H671" i="10"/>
  <c r="H669" i="10"/>
  <c r="H643" i="10"/>
  <c r="H639" i="10"/>
  <c r="H635" i="10"/>
  <c r="H631" i="10"/>
  <c r="H705" i="10"/>
  <c r="H697" i="10"/>
  <c r="H694" i="10"/>
  <c r="H688" i="10"/>
  <c r="H686" i="10"/>
  <c r="H683" i="10"/>
  <c r="H644" i="10"/>
  <c r="H637" i="10"/>
  <c r="H630" i="10"/>
  <c r="H689" i="10"/>
  <c r="H674" i="10"/>
  <c r="H679" i="10"/>
  <c r="H675" i="10"/>
  <c r="H642" i="10"/>
  <c r="H640" i="10"/>
  <c r="H633" i="10"/>
  <c r="H701" i="10"/>
  <c r="H680" i="10"/>
  <c r="H692" i="10"/>
  <c r="H685" i="10"/>
  <c r="H681" i="10"/>
  <c r="H672" i="10"/>
  <c r="H696" i="10"/>
  <c r="H682" i="10"/>
  <c r="H634" i="10"/>
  <c r="H708" i="10"/>
  <c r="H700" i="10"/>
  <c r="H638" i="10"/>
  <c r="H704" i="10"/>
  <c r="H641" i="10"/>
  <c r="H636" i="10"/>
  <c r="H632" i="10"/>
  <c r="H673" i="10"/>
  <c r="H677" i="10"/>
  <c r="H715" i="10" l="1"/>
  <c r="I629" i="10"/>
  <c r="I712" i="10" l="1"/>
  <c r="I704" i="10"/>
  <c r="I696" i="10"/>
  <c r="I688" i="10"/>
  <c r="I709" i="10"/>
  <c r="I706" i="10"/>
  <c r="I711" i="10"/>
  <c r="I703" i="10"/>
  <c r="I695" i="10"/>
  <c r="I708" i="10"/>
  <c r="I700" i="10"/>
  <c r="I692" i="10"/>
  <c r="I701" i="10"/>
  <c r="I694" i="10"/>
  <c r="I681" i="10"/>
  <c r="I673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5" i="10"/>
  <c r="I697" i="10"/>
  <c r="I691" i="10"/>
  <c r="I668" i="10"/>
  <c r="I710" i="10"/>
  <c r="I689" i="10"/>
  <c r="I674" i="10"/>
  <c r="I716" i="10"/>
  <c r="I707" i="10"/>
  <c r="I679" i="10"/>
  <c r="I670" i="10"/>
  <c r="I693" i="10"/>
  <c r="I684" i="10"/>
  <c r="I680" i="10"/>
  <c r="I699" i="10"/>
  <c r="I687" i="10"/>
  <c r="I671" i="10"/>
  <c r="I647" i="10"/>
  <c r="I645" i="10"/>
  <c r="I713" i="10"/>
  <c r="I690" i="10"/>
  <c r="I677" i="10"/>
  <c r="I672" i="10"/>
  <c r="I669" i="10"/>
  <c r="I702" i="10"/>
  <c r="I686" i="10"/>
  <c r="I682" i="10"/>
  <c r="I685" i="10"/>
  <c r="I678" i="10"/>
  <c r="I698" i="10"/>
  <c r="I646" i="10"/>
  <c r="I676" i="10"/>
  <c r="I715" i="10" l="1"/>
  <c r="J630" i="10"/>
  <c r="J709" i="10" l="1"/>
  <c r="J701" i="10"/>
  <c r="J693" i="10"/>
  <c r="J706" i="10"/>
  <c r="J711" i="10"/>
  <c r="J708" i="10"/>
  <c r="J700" i="10"/>
  <c r="J692" i="10"/>
  <c r="J713" i="10"/>
  <c r="J705" i="10"/>
  <c r="J697" i="10"/>
  <c r="J689" i="10"/>
  <c r="J710" i="10"/>
  <c r="J702" i="10"/>
  <c r="J678" i="10"/>
  <c r="J670" i="10"/>
  <c r="J647" i="10"/>
  <c r="J646" i="10"/>
  <c r="J645" i="10"/>
  <c r="J703" i="10"/>
  <c r="J696" i="10"/>
  <c r="J680" i="10"/>
  <c r="J672" i="10"/>
  <c r="J694" i="10"/>
  <c r="J688" i="10"/>
  <c r="J716" i="10"/>
  <c r="J644" i="10"/>
  <c r="J640" i="10"/>
  <c r="J636" i="10"/>
  <c r="J632" i="10"/>
  <c r="J704" i="10"/>
  <c r="J707" i="10"/>
  <c r="J679" i="10"/>
  <c r="J695" i="10"/>
  <c r="J691" i="10"/>
  <c r="J684" i="10"/>
  <c r="J675" i="10"/>
  <c r="J642" i="10"/>
  <c r="J635" i="10"/>
  <c r="J633" i="10"/>
  <c r="J699" i="10"/>
  <c r="J687" i="10"/>
  <c r="J671" i="10"/>
  <c r="J685" i="10"/>
  <c r="J676" i="10"/>
  <c r="J638" i="10"/>
  <c r="J631" i="10"/>
  <c r="J698" i="10"/>
  <c r="J682" i="10"/>
  <c r="J668" i="10"/>
  <c r="J643" i="10"/>
  <c r="J641" i="10"/>
  <c r="J634" i="10"/>
  <c r="J712" i="10"/>
  <c r="J686" i="10"/>
  <c r="J690" i="10"/>
  <c r="J639" i="10"/>
  <c r="J681" i="10"/>
  <c r="J673" i="10"/>
  <c r="J674" i="10"/>
  <c r="J683" i="10"/>
  <c r="J677" i="10"/>
  <c r="J669" i="10"/>
  <c r="J637" i="10"/>
  <c r="J715" i="10" l="1"/>
  <c r="K644" i="10"/>
  <c r="L647" i="10"/>
  <c r="L711" i="10" l="1"/>
  <c r="L703" i="10"/>
  <c r="L695" i="10"/>
  <c r="L687" i="10"/>
  <c r="L708" i="10"/>
  <c r="L713" i="10"/>
  <c r="L705" i="10"/>
  <c r="L710" i="10"/>
  <c r="L702" i="10"/>
  <c r="L694" i="10"/>
  <c r="L716" i="10"/>
  <c r="L707" i="10"/>
  <c r="L699" i="10"/>
  <c r="L691" i="10"/>
  <c r="L696" i="10"/>
  <c r="L680" i="10"/>
  <c r="L672" i="10"/>
  <c r="L697" i="10"/>
  <c r="L690" i="10"/>
  <c r="L686" i="10"/>
  <c r="L685" i="10"/>
  <c r="L682" i="10"/>
  <c r="L674" i="10"/>
  <c r="L700" i="10"/>
  <c r="L692" i="10"/>
  <c r="L689" i="10"/>
  <c r="L684" i="10"/>
  <c r="L693" i="10"/>
  <c r="L675" i="10"/>
  <c r="L671" i="10"/>
  <c r="L701" i="10"/>
  <c r="L676" i="10"/>
  <c r="L706" i="10"/>
  <c r="L681" i="10"/>
  <c r="L677" i="10"/>
  <c r="L668" i="10"/>
  <c r="L688" i="10"/>
  <c r="L678" i="10"/>
  <c r="L669" i="10"/>
  <c r="L709" i="10"/>
  <c r="L683" i="10"/>
  <c r="L673" i="10"/>
  <c r="L712" i="10"/>
  <c r="L704" i="10"/>
  <c r="L679" i="10"/>
  <c r="L670" i="10"/>
  <c r="L698" i="10"/>
  <c r="K706" i="10"/>
  <c r="K698" i="10"/>
  <c r="K690" i="10"/>
  <c r="K711" i="10"/>
  <c r="K708" i="10"/>
  <c r="K713" i="10"/>
  <c r="K705" i="10"/>
  <c r="K697" i="10"/>
  <c r="K710" i="10"/>
  <c r="K702" i="10"/>
  <c r="K694" i="10"/>
  <c r="K686" i="10"/>
  <c r="K712" i="10"/>
  <c r="K695" i="10"/>
  <c r="K683" i="10"/>
  <c r="K675" i="10"/>
  <c r="K704" i="10"/>
  <c r="K689" i="10"/>
  <c r="K688" i="10"/>
  <c r="K687" i="10"/>
  <c r="K677" i="10"/>
  <c r="K669" i="10"/>
  <c r="K716" i="10"/>
  <c r="K707" i="10"/>
  <c r="K703" i="10"/>
  <c r="K700" i="10"/>
  <c r="K709" i="10"/>
  <c r="K691" i="10"/>
  <c r="K684" i="10"/>
  <c r="K670" i="10"/>
  <c r="K699" i="10"/>
  <c r="K693" i="10"/>
  <c r="K680" i="10"/>
  <c r="K671" i="10"/>
  <c r="K701" i="10"/>
  <c r="K685" i="10"/>
  <c r="K676" i="10"/>
  <c r="K681" i="10"/>
  <c r="K672" i="10"/>
  <c r="K696" i="10"/>
  <c r="K673" i="10"/>
  <c r="K682" i="10"/>
  <c r="K679" i="10"/>
  <c r="K668" i="10"/>
  <c r="K678" i="10"/>
  <c r="K674" i="10"/>
  <c r="K692" i="10"/>
  <c r="M709" i="10" l="1"/>
  <c r="Y775" i="10" s="1"/>
  <c r="M700" i="10"/>
  <c r="Y766" i="10" s="1"/>
  <c r="M698" i="10"/>
  <c r="Y764" i="10" s="1"/>
  <c r="M701" i="10"/>
  <c r="Y767" i="10" s="1"/>
  <c r="M669" i="10"/>
  <c r="Y735" i="10" s="1"/>
  <c r="M676" i="10"/>
  <c r="Y742" i="10" s="1"/>
  <c r="M680" i="10"/>
  <c r="Y746" i="10" s="1"/>
  <c r="M710" i="10"/>
  <c r="Y776" i="10" s="1"/>
  <c r="M674" i="10"/>
  <c r="Y740" i="10" s="1"/>
  <c r="M696" i="10"/>
  <c r="Y762" i="10" s="1"/>
  <c r="M705" i="10"/>
  <c r="Y771" i="10" s="1"/>
  <c r="M670" i="10"/>
  <c r="Y736" i="10" s="1"/>
  <c r="M678" i="10"/>
  <c r="Y744" i="10" s="1"/>
  <c r="M671" i="10"/>
  <c r="Y737" i="10" s="1"/>
  <c r="M682" i="10"/>
  <c r="Y748" i="10" s="1"/>
  <c r="M691" i="10"/>
  <c r="Y757" i="10" s="1"/>
  <c r="M713" i="10"/>
  <c r="Y779" i="10" s="1"/>
  <c r="M679" i="10"/>
  <c r="Y745" i="10" s="1"/>
  <c r="M688" i="10"/>
  <c r="Y754" i="10" s="1"/>
  <c r="M675" i="10"/>
  <c r="Y741" i="10" s="1"/>
  <c r="M685" i="10"/>
  <c r="Y751" i="10" s="1"/>
  <c r="M699" i="10"/>
  <c r="Y765" i="10" s="1"/>
  <c r="M708" i="10"/>
  <c r="Y774" i="10" s="1"/>
  <c r="M704" i="10"/>
  <c r="Y770" i="10" s="1"/>
  <c r="L715" i="10"/>
  <c r="M668" i="10"/>
  <c r="M693" i="10"/>
  <c r="Y759" i="10" s="1"/>
  <c r="M686" i="10"/>
  <c r="Y752" i="10" s="1"/>
  <c r="M707" i="10"/>
  <c r="Y773" i="10" s="1"/>
  <c r="M687" i="10"/>
  <c r="Y753" i="10" s="1"/>
  <c r="K715" i="10"/>
  <c r="M712" i="10"/>
  <c r="Y778" i="10" s="1"/>
  <c r="M677" i="10"/>
  <c r="Y743" i="10" s="1"/>
  <c r="M684" i="10"/>
  <c r="Y750" i="10" s="1"/>
  <c r="M690" i="10"/>
  <c r="Y756" i="10" s="1"/>
  <c r="M695" i="10"/>
  <c r="Y761" i="10" s="1"/>
  <c r="M673" i="10"/>
  <c r="Y739" i="10" s="1"/>
  <c r="M681" i="10"/>
  <c r="Y747" i="10" s="1"/>
  <c r="M689" i="10"/>
  <c r="Y755" i="10" s="1"/>
  <c r="M697" i="10"/>
  <c r="Y763" i="10" s="1"/>
  <c r="M694" i="10"/>
  <c r="Y760" i="10" s="1"/>
  <c r="M703" i="10"/>
  <c r="Y769" i="10" s="1"/>
  <c r="M683" i="10"/>
  <c r="Y749" i="10" s="1"/>
  <c r="M706" i="10"/>
  <c r="Y772" i="10" s="1"/>
  <c r="M692" i="10"/>
  <c r="Y758" i="10" s="1"/>
  <c r="M672" i="10"/>
  <c r="Y738" i="10" s="1"/>
  <c r="M702" i="10"/>
  <c r="Y768" i="10" s="1"/>
  <c r="M711" i="10"/>
  <c r="Y777" i="10" s="1"/>
  <c r="Y734" i="10" l="1"/>
  <c r="Y815" i="10" s="1"/>
  <c r="M715" i="10"/>
  <c r="F493" i="1" l="1"/>
  <c r="D493" i="1"/>
  <c r="B493" i="1"/>
  <c r="B575" i="1" l="1"/>
  <c r="A493" i="1"/>
  <c r="A730" i="1"/>
  <c r="A726" i="1"/>
  <c r="A722" i="1"/>
  <c r="C115" i="8"/>
  <c r="CB730" i="1"/>
  <c r="C444" i="1"/>
  <c r="D221" i="1"/>
  <c r="B444" i="1" s="1"/>
  <c r="D12" i="6"/>
  <c r="I286" i="9"/>
  <c r="G159" i="9"/>
  <c r="S764" i="1"/>
  <c r="D127" i="9"/>
  <c r="I63" i="9"/>
  <c r="V813" i="1"/>
  <c r="V815" i="1" s="1"/>
  <c r="CE47" i="1"/>
  <c r="B47" i="1" s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R48" i="1" s="1"/>
  <c r="BR62" i="1" s="1"/>
  <c r="CE65" i="1"/>
  <c r="CE63" i="1"/>
  <c r="I365" i="9" s="1"/>
  <c r="CE66" i="1"/>
  <c r="I368" i="9" s="1"/>
  <c r="CE68" i="1"/>
  <c r="D75" i="1"/>
  <c r="AR75" i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AJ75" i="1"/>
  <c r="AL75" i="1"/>
  <c r="C186" i="9" s="1"/>
  <c r="AK75" i="1"/>
  <c r="AG75" i="1"/>
  <c r="E154" i="9" s="1"/>
  <c r="AE75" i="1"/>
  <c r="AC75" i="1"/>
  <c r="H122" i="9" s="1"/>
  <c r="AB75" i="1"/>
  <c r="N759" i="1" s="1"/>
  <c r="Y75" i="1"/>
  <c r="D122" i="9" s="1"/>
  <c r="U75" i="1"/>
  <c r="S75" i="1"/>
  <c r="E90" i="9" s="1"/>
  <c r="K75" i="1"/>
  <c r="J75" i="1"/>
  <c r="E75" i="1"/>
  <c r="N736" i="1" s="1"/>
  <c r="E26" i="9"/>
  <c r="CE73" i="1"/>
  <c r="CE74" i="1"/>
  <c r="C464" i="1" s="1"/>
  <c r="C75" i="1"/>
  <c r="C26" i="9" s="1"/>
  <c r="CE80" i="1"/>
  <c r="CE78" i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D236" i="1"/>
  <c r="C365" i="1" s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E196" i="1"/>
  <c r="C469" i="1" s="1"/>
  <c r="E197" i="1"/>
  <c r="F9" i="6" s="1"/>
  <c r="E198" i="1"/>
  <c r="E199" i="1"/>
  <c r="C472" i="1" s="1"/>
  <c r="E200" i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C359" i="1" s="1"/>
  <c r="E140" i="1"/>
  <c r="D10" i="4" s="1"/>
  <c r="E139" i="1"/>
  <c r="E127" i="1"/>
  <c r="G34" i="3" s="1"/>
  <c r="CF79" i="1"/>
  <c r="CE51" i="1"/>
  <c r="B51" i="1" s="1"/>
  <c r="B53" i="1" s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48" i="1"/>
  <c r="N761" i="1"/>
  <c r="N764" i="1"/>
  <c r="N739" i="1"/>
  <c r="N76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J730" i="1"/>
  <c r="BF730" i="1"/>
  <c r="BE730" i="1"/>
  <c r="BB730" i="1"/>
  <c r="BA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3" i="1"/>
  <c r="C459" i="1"/>
  <c r="B459" i="1"/>
  <c r="B458" i="1"/>
  <c r="B455" i="1"/>
  <c r="B454" i="1"/>
  <c r="B453" i="1"/>
  <c r="C447" i="1"/>
  <c r="C446" i="1"/>
  <c r="C431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0" i="7"/>
  <c r="D9" i="7"/>
  <c r="D8" i="7"/>
  <c r="D7" i="7"/>
  <c r="B28" i="2"/>
  <c r="E21" i="2"/>
  <c r="E18" i="2"/>
  <c r="E17" i="2"/>
  <c r="N769" i="1"/>
  <c r="N758" i="1"/>
  <c r="N753" i="1"/>
  <c r="C473" i="1"/>
  <c r="F12" i="6"/>
  <c r="I377" i="9"/>
  <c r="G122" i="9"/>
  <c r="I26" i="9"/>
  <c r="N740" i="1"/>
  <c r="F90" i="9"/>
  <c r="N751" i="1"/>
  <c r="C218" i="9"/>
  <c r="D366" i="9"/>
  <c r="G812" i="1"/>
  <c r="CE64" i="1"/>
  <c r="G816" i="1" s="1"/>
  <c r="D368" i="9"/>
  <c r="I812" i="1"/>
  <c r="C276" i="9"/>
  <c r="CE70" i="1"/>
  <c r="CE76" i="1"/>
  <c r="P812" i="1"/>
  <c r="CE77" i="1"/>
  <c r="CF77" i="1" s="1"/>
  <c r="I29" i="9"/>
  <c r="C95" i="9"/>
  <c r="CE79" i="1"/>
  <c r="J612" i="1" s="1"/>
  <c r="S748" i="1"/>
  <c r="E142" i="1"/>
  <c r="G9" i="4"/>
  <c r="F9" i="4"/>
  <c r="AC726" i="1"/>
  <c r="E138" i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CD722" i="1"/>
  <c r="CD71" i="1"/>
  <c r="E373" i="9" s="1"/>
  <c r="N757" i="1"/>
  <c r="C615" i="1"/>
  <c r="I612" i="1"/>
  <c r="O816" i="1"/>
  <c r="E372" i="9"/>
  <c r="I381" i="9"/>
  <c r="D361" i="1" l="1"/>
  <c r="C112" i="8" s="1"/>
  <c r="F11" i="6"/>
  <c r="F10" i="4"/>
  <c r="C360" i="1"/>
  <c r="G612" i="1"/>
  <c r="Q816" i="1"/>
  <c r="N747" i="1"/>
  <c r="N774" i="1"/>
  <c r="G19" i="4"/>
  <c r="I816" i="1"/>
  <c r="N734" i="1"/>
  <c r="D463" i="1"/>
  <c r="N743" i="1"/>
  <c r="C33" i="8"/>
  <c r="C432" i="1"/>
  <c r="C816" i="1"/>
  <c r="C141" i="8"/>
  <c r="F816" i="1"/>
  <c r="C429" i="1"/>
  <c r="D5" i="7"/>
  <c r="C14" i="5"/>
  <c r="L816" i="1"/>
  <c r="BJ48" i="1"/>
  <c r="BJ62" i="1" s="1"/>
  <c r="F268" i="9" s="1"/>
  <c r="AZ48" i="1"/>
  <c r="AZ62" i="1" s="1"/>
  <c r="CF76" i="1"/>
  <c r="AN52" i="1" s="1"/>
  <c r="AN67" i="1" s="1"/>
  <c r="AZ52" i="1"/>
  <c r="AZ67" i="1" s="1"/>
  <c r="I362" i="9"/>
  <c r="B440" i="1"/>
  <c r="E52" i="1"/>
  <c r="E67" i="1" s="1"/>
  <c r="J736" i="1" s="1"/>
  <c r="O48" i="1"/>
  <c r="O62" i="1" s="1"/>
  <c r="E746" i="1" s="1"/>
  <c r="L48" i="1"/>
  <c r="L62" i="1" s="1"/>
  <c r="E743" i="1" s="1"/>
  <c r="D816" i="1"/>
  <c r="N755" i="1"/>
  <c r="BP52" i="1"/>
  <c r="BP67" i="1" s="1"/>
  <c r="J799" i="1" s="1"/>
  <c r="K48" i="1"/>
  <c r="K62" i="1" s="1"/>
  <c r="D44" i="9" s="1"/>
  <c r="F15" i="6"/>
  <c r="N817" i="1"/>
  <c r="G28" i="4"/>
  <c r="F8" i="6"/>
  <c r="BG48" i="1"/>
  <c r="BG62" i="1" s="1"/>
  <c r="N746" i="1"/>
  <c r="N760" i="1"/>
  <c r="N737" i="1"/>
  <c r="C470" i="1"/>
  <c r="AS48" i="1"/>
  <c r="AS62" i="1" s="1"/>
  <c r="D612" i="1"/>
  <c r="AN48" i="1"/>
  <c r="AN62" i="1" s="1"/>
  <c r="E172" i="9" s="1"/>
  <c r="AK48" i="1"/>
  <c r="AK62" i="1" s="1"/>
  <c r="E768" i="1" s="1"/>
  <c r="N766" i="1"/>
  <c r="B465" i="1"/>
  <c r="N745" i="1"/>
  <c r="N765" i="1"/>
  <c r="C421" i="1"/>
  <c r="BW52" i="1"/>
  <c r="BW67" i="1" s="1"/>
  <c r="J806" i="1" s="1"/>
  <c r="P816" i="1"/>
  <c r="AV48" i="1"/>
  <c r="AV62" i="1" s="1"/>
  <c r="D815" i="1"/>
  <c r="I380" i="9"/>
  <c r="BI730" i="1"/>
  <c r="C440" i="1"/>
  <c r="N777" i="1"/>
  <c r="I90" i="9"/>
  <c r="K52" i="1"/>
  <c r="K67" i="1" s="1"/>
  <c r="J742" i="1" s="1"/>
  <c r="G10" i="4"/>
  <c r="BK48" i="1"/>
  <c r="BK62" i="1" s="1"/>
  <c r="AB48" i="1"/>
  <c r="AB62" i="1" s="1"/>
  <c r="D48" i="1"/>
  <c r="D62" i="1" s="1"/>
  <c r="D12" i="9" s="1"/>
  <c r="BS48" i="1"/>
  <c r="BS62" i="1" s="1"/>
  <c r="U48" i="1"/>
  <c r="U62" i="1" s="1"/>
  <c r="BE48" i="1"/>
  <c r="BE62" i="1" s="1"/>
  <c r="CC48" i="1"/>
  <c r="CC62" i="1" s="1"/>
  <c r="E812" i="1" s="1"/>
  <c r="C48" i="1"/>
  <c r="BX48" i="1"/>
  <c r="BX62" i="1" s="1"/>
  <c r="BN48" i="1"/>
  <c r="BN62" i="1" s="1"/>
  <c r="E797" i="1" s="1"/>
  <c r="AR48" i="1"/>
  <c r="AR62" i="1" s="1"/>
  <c r="AH48" i="1"/>
  <c r="AH62" i="1" s="1"/>
  <c r="F140" i="9" s="1"/>
  <c r="BZ48" i="1"/>
  <c r="BZ62" i="1" s="1"/>
  <c r="M48" i="1"/>
  <c r="M62" i="1" s="1"/>
  <c r="F44" i="9" s="1"/>
  <c r="AM48" i="1"/>
  <c r="AM62" i="1" s="1"/>
  <c r="Y48" i="1"/>
  <c r="Y62" i="1" s="1"/>
  <c r="AQ48" i="1"/>
  <c r="AQ62" i="1" s="1"/>
  <c r="E774" i="1" s="1"/>
  <c r="CB48" i="1"/>
  <c r="CB62" i="1" s="1"/>
  <c r="C364" i="9" s="1"/>
  <c r="BL48" i="1"/>
  <c r="BL62" i="1" s="1"/>
  <c r="BB48" i="1"/>
  <c r="BB62" i="1" s="1"/>
  <c r="E236" i="9" s="1"/>
  <c r="AF48" i="1"/>
  <c r="AF62" i="1" s="1"/>
  <c r="N48" i="1"/>
  <c r="N62" i="1" s="1"/>
  <c r="G44" i="9" s="1"/>
  <c r="X48" i="1"/>
  <c r="X62" i="1" s="1"/>
  <c r="AE48" i="1"/>
  <c r="AE62" i="1" s="1"/>
  <c r="E48" i="1"/>
  <c r="E62" i="1" s="1"/>
  <c r="E12" i="9" s="1"/>
  <c r="BW48" i="1"/>
  <c r="BW62" i="1" s="1"/>
  <c r="E332" i="9" s="1"/>
  <c r="AI48" i="1"/>
  <c r="AI62" i="1" s="1"/>
  <c r="E766" i="1" s="1"/>
  <c r="BV48" i="1"/>
  <c r="BV62" i="1" s="1"/>
  <c r="D332" i="9" s="1"/>
  <c r="AP48" i="1"/>
  <c r="AP62" i="1" s="1"/>
  <c r="E773" i="1" s="1"/>
  <c r="J48" i="1"/>
  <c r="J62" i="1" s="1"/>
  <c r="W48" i="1"/>
  <c r="W62" i="1" s="1"/>
  <c r="I76" i="9" s="1"/>
  <c r="BA48" i="1"/>
  <c r="BA62" i="1" s="1"/>
  <c r="BU48" i="1"/>
  <c r="BU62" i="1" s="1"/>
  <c r="AO48" i="1"/>
  <c r="AO62" i="1" s="1"/>
  <c r="BO48" i="1"/>
  <c r="BO62" i="1" s="1"/>
  <c r="AA48" i="1"/>
  <c r="AA62" i="1" s="1"/>
  <c r="F108" i="9" s="1"/>
  <c r="BH48" i="1"/>
  <c r="BH62" i="1" s="1"/>
  <c r="AX48" i="1"/>
  <c r="AX62" i="1" s="1"/>
  <c r="E781" i="1" s="1"/>
  <c r="Z48" i="1"/>
  <c r="Z62" i="1" s="1"/>
  <c r="F48" i="1"/>
  <c r="F62" i="1" s="1"/>
  <c r="P48" i="1"/>
  <c r="P62" i="1" s="1"/>
  <c r="AQ52" i="1"/>
  <c r="AQ67" i="1" s="1"/>
  <c r="CC52" i="1"/>
  <c r="CC67" i="1" s="1"/>
  <c r="J812" i="1" s="1"/>
  <c r="R52" i="1"/>
  <c r="R67" i="1" s="1"/>
  <c r="D81" i="9" s="1"/>
  <c r="R48" i="1"/>
  <c r="R62" i="1" s="1"/>
  <c r="AT48" i="1"/>
  <c r="AT62" i="1" s="1"/>
  <c r="E777" i="1" s="1"/>
  <c r="T48" i="1"/>
  <c r="T62" i="1" s="1"/>
  <c r="E10" i="4"/>
  <c r="C458" i="1"/>
  <c r="M816" i="1"/>
  <c r="C154" i="9"/>
  <c r="N762" i="1"/>
  <c r="BT52" i="1"/>
  <c r="BT67" i="1" s="1"/>
  <c r="J803" i="1" s="1"/>
  <c r="H52" i="1"/>
  <c r="H67" i="1" s="1"/>
  <c r="I372" i="9"/>
  <c r="V48" i="1"/>
  <c r="V62" i="1" s="1"/>
  <c r="BP48" i="1"/>
  <c r="BP62" i="1" s="1"/>
  <c r="AW48" i="1"/>
  <c r="AW62" i="1" s="1"/>
  <c r="G204" i="9" s="1"/>
  <c r="BQ48" i="1"/>
  <c r="BQ62" i="1" s="1"/>
  <c r="BC48" i="1"/>
  <c r="BC62" i="1" s="1"/>
  <c r="I815" i="1"/>
  <c r="I363" i="9"/>
  <c r="I382" i="9"/>
  <c r="R816" i="1"/>
  <c r="I154" i="9"/>
  <c r="N768" i="1"/>
  <c r="I186" i="9"/>
  <c r="N775" i="1"/>
  <c r="AD48" i="1"/>
  <c r="AD62" i="1" s="1"/>
  <c r="E761" i="1" s="1"/>
  <c r="H815" i="1"/>
  <c r="G90" i="9"/>
  <c r="N752" i="1"/>
  <c r="C434" i="1"/>
  <c r="I370" i="9"/>
  <c r="K816" i="1"/>
  <c r="BT48" i="1"/>
  <c r="BT62" i="1" s="1"/>
  <c r="I48" i="1"/>
  <c r="I62" i="1" s="1"/>
  <c r="BM48" i="1"/>
  <c r="BM62" i="1" s="1"/>
  <c r="C414" i="1"/>
  <c r="B10" i="4"/>
  <c r="F612" i="1"/>
  <c r="I366" i="9"/>
  <c r="C430" i="1"/>
  <c r="P52" i="1"/>
  <c r="P67" i="1" s="1"/>
  <c r="BJ52" i="1"/>
  <c r="BJ67" i="1" s="1"/>
  <c r="J793" i="1" s="1"/>
  <c r="C575" i="1"/>
  <c r="BD48" i="1"/>
  <c r="BD62" i="1" s="1"/>
  <c r="BY48" i="1"/>
  <c r="BY62" i="1" s="1"/>
  <c r="G332" i="9" s="1"/>
  <c r="S48" i="1"/>
  <c r="S62" i="1" s="1"/>
  <c r="AU48" i="1"/>
  <c r="AU62" i="1" s="1"/>
  <c r="D436" i="1"/>
  <c r="C34" i="5"/>
  <c r="AJ48" i="1"/>
  <c r="AJ62" i="1" s="1"/>
  <c r="BF48" i="1"/>
  <c r="BF62" i="1" s="1"/>
  <c r="Q48" i="1"/>
  <c r="Q62" i="1" s="1"/>
  <c r="C427" i="1"/>
  <c r="AC48" i="1"/>
  <c r="AC62" i="1" s="1"/>
  <c r="H108" i="9" s="1"/>
  <c r="N771" i="1"/>
  <c r="C10" i="4"/>
  <c r="C415" i="1"/>
  <c r="C85" i="8"/>
  <c r="D330" i="1"/>
  <c r="C86" i="8" s="1"/>
  <c r="G186" i="9"/>
  <c r="N773" i="1"/>
  <c r="AL48" i="1"/>
  <c r="AL62" i="1" s="1"/>
  <c r="C172" i="9" s="1"/>
  <c r="CA48" i="1"/>
  <c r="CA62" i="1" s="1"/>
  <c r="AY48" i="1"/>
  <c r="AY62" i="1" s="1"/>
  <c r="E782" i="1" s="1"/>
  <c r="AG48" i="1"/>
  <c r="AG62" i="1" s="1"/>
  <c r="BI48" i="1"/>
  <c r="BI62" i="1" s="1"/>
  <c r="G48" i="1"/>
  <c r="G62" i="1" s="1"/>
  <c r="G12" i="9" s="1"/>
  <c r="AI52" i="1"/>
  <c r="AI67" i="1" s="1"/>
  <c r="Y52" i="1"/>
  <c r="Y67" i="1" s="1"/>
  <c r="AF52" i="1"/>
  <c r="AF67" i="1" s="1"/>
  <c r="V52" i="1"/>
  <c r="V67" i="1" s="1"/>
  <c r="J753" i="1" s="1"/>
  <c r="Z52" i="1"/>
  <c r="Z67" i="1" s="1"/>
  <c r="Q52" i="1"/>
  <c r="Q67" i="1" s="1"/>
  <c r="L52" i="1"/>
  <c r="L67" i="1" s="1"/>
  <c r="J743" i="1" s="1"/>
  <c r="BL52" i="1"/>
  <c r="BL67" i="1" s="1"/>
  <c r="J795" i="1" s="1"/>
  <c r="AT52" i="1"/>
  <c r="AT67" i="1" s="1"/>
  <c r="BO52" i="1"/>
  <c r="BO67" i="1" s="1"/>
  <c r="BS52" i="1"/>
  <c r="BS67" i="1" s="1"/>
  <c r="H305" i="9" s="1"/>
  <c r="BK52" i="1"/>
  <c r="BK67" i="1" s="1"/>
  <c r="I52" i="1"/>
  <c r="I67" i="1" s="1"/>
  <c r="J740" i="1" s="1"/>
  <c r="J52" i="1"/>
  <c r="J67" i="1" s="1"/>
  <c r="J741" i="1" s="1"/>
  <c r="H48" i="1"/>
  <c r="H62" i="1" s="1"/>
  <c r="H71" i="1" s="1"/>
  <c r="C815" i="1"/>
  <c r="F815" i="1"/>
  <c r="G815" i="1"/>
  <c r="P815" i="1"/>
  <c r="Q815" i="1"/>
  <c r="S815" i="1"/>
  <c r="R815" i="1"/>
  <c r="D186" i="9"/>
  <c r="B500" i="1"/>
  <c r="B574" i="1"/>
  <c r="B524" i="1"/>
  <c r="B552" i="1"/>
  <c r="B547" i="1"/>
  <c r="B504" i="1"/>
  <c r="B506" i="1"/>
  <c r="B497" i="1"/>
  <c r="B538" i="1"/>
  <c r="B514" i="1"/>
  <c r="B525" i="1"/>
  <c r="B551" i="1"/>
  <c r="B543" i="1"/>
  <c r="B549" i="1"/>
  <c r="B501" i="1"/>
  <c r="B509" i="1"/>
  <c r="B513" i="1"/>
  <c r="B537" i="1"/>
  <c r="B534" i="1"/>
  <c r="B558" i="1"/>
  <c r="B542" i="1"/>
  <c r="B531" i="1"/>
  <c r="B570" i="1"/>
  <c r="B535" i="1"/>
  <c r="B546" i="1"/>
  <c r="B561" i="1"/>
  <c r="B550" i="1"/>
  <c r="B555" i="1"/>
  <c r="B540" i="1"/>
  <c r="B560" i="1"/>
  <c r="B548" i="1"/>
  <c r="B545" i="1"/>
  <c r="B571" i="1"/>
  <c r="B541" i="1"/>
  <c r="B554" i="1"/>
  <c r="B556" i="1"/>
  <c r="B568" i="1"/>
  <c r="B553" i="1"/>
  <c r="B559" i="1"/>
  <c r="B507" i="1"/>
  <c r="B563" i="1"/>
  <c r="B564" i="1"/>
  <c r="B499" i="1"/>
  <c r="B527" i="1"/>
  <c r="B505" i="1"/>
  <c r="B503" i="1"/>
  <c r="B522" i="1"/>
  <c r="B544" i="1"/>
  <c r="B519" i="1"/>
  <c r="B528" i="1"/>
  <c r="B533" i="1"/>
  <c r="B510" i="1"/>
  <c r="B508" i="1"/>
  <c r="B520" i="1"/>
  <c r="B539" i="1"/>
  <c r="B512" i="1"/>
  <c r="B515" i="1"/>
  <c r="B502" i="1"/>
  <c r="B565" i="1"/>
  <c r="B523" i="1"/>
  <c r="E801" i="1"/>
  <c r="G300" i="9"/>
  <c r="B446" i="1"/>
  <c r="F12" i="9"/>
  <c r="C418" i="1"/>
  <c r="D438" i="1"/>
  <c r="F14" i="6"/>
  <c r="O815" i="1"/>
  <c r="T815" i="1"/>
  <c r="C471" i="1"/>
  <c r="F10" i="6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BD52" i="1"/>
  <c r="BD67" i="1" s="1"/>
  <c r="AM52" i="1"/>
  <c r="AM67" i="1" s="1"/>
  <c r="F52" i="1"/>
  <c r="F67" i="1" s="1"/>
  <c r="BY52" i="1"/>
  <c r="BY67" i="1" s="1"/>
  <c r="CB52" i="1"/>
  <c r="CB67" i="1" s="1"/>
  <c r="AW52" i="1"/>
  <c r="AW67" i="1" s="1"/>
  <c r="M52" i="1"/>
  <c r="M67" i="1" s="1"/>
  <c r="AK52" i="1"/>
  <c r="AK67" i="1" s="1"/>
  <c r="AA52" i="1"/>
  <c r="AA67" i="1" s="1"/>
  <c r="BE52" i="1"/>
  <c r="BE67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BV52" i="1" l="1"/>
  <c r="BV67" i="1" s="1"/>
  <c r="D337" i="9" s="1"/>
  <c r="AY52" i="1"/>
  <c r="AY67" i="1" s="1"/>
  <c r="S52" i="1"/>
  <c r="S67" i="1" s="1"/>
  <c r="BH52" i="1"/>
  <c r="BH67" i="1" s="1"/>
  <c r="AP52" i="1"/>
  <c r="AP67" i="1" s="1"/>
  <c r="J773" i="1" s="1"/>
  <c r="O52" i="1"/>
  <c r="O67" i="1" s="1"/>
  <c r="J746" i="1" s="1"/>
  <c r="AR52" i="1"/>
  <c r="AR67" i="1" s="1"/>
  <c r="J775" i="1" s="1"/>
  <c r="AU52" i="1"/>
  <c r="AU67" i="1" s="1"/>
  <c r="J778" i="1" s="1"/>
  <c r="AU71" i="1"/>
  <c r="C712" i="1" s="1"/>
  <c r="G52" i="1"/>
  <c r="G67" i="1" s="1"/>
  <c r="BN52" i="1"/>
  <c r="BN67" i="1" s="1"/>
  <c r="BQ52" i="1"/>
  <c r="BQ67" i="1" s="1"/>
  <c r="E337" i="9"/>
  <c r="BA52" i="1"/>
  <c r="BA67" i="1" s="1"/>
  <c r="J784" i="1" s="1"/>
  <c r="AD52" i="1"/>
  <c r="AD67" i="1" s="1"/>
  <c r="AC52" i="1"/>
  <c r="AC67" i="1" s="1"/>
  <c r="AG52" i="1"/>
  <c r="AG67" i="1" s="1"/>
  <c r="E145" i="9" s="1"/>
  <c r="BG52" i="1"/>
  <c r="BG67" i="1" s="1"/>
  <c r="BI52" i="1"/>
  <c r="BI67" i="1" s="1"/>
  <c r="J792" i="1" s="1"/>
  <c r="X52" i="1"/>
  <c r="X67" i="1" s="1"/>
  <c r="C113" i="9" s="1"/>
  <c r="BJ71" i="1"/>
  <c r="AX52" i="1"/>
  <c r="AX67" i="1" s="1"/>
  <c r="T52" i="1"/>
  <c r="T67" i="1" s="1"/>
  <c r="BF52" i="1"/>
  <c r="BF67" i="1" s="1"/>
  <c r="BF71" i="1" s="1"/>
  <c r="AH52" i="1"/>
  <c r="AH67" i="1" s="1"/>
  <c r="F145" i="9" s="1"/>
  <c r="AE52" i="1"/>
  <c r="AE67" i="1" s="1"/>
  <c r="C145" i="9" s="1"/>
  <c r="N52" i="1"/>
  <c r="N67" i="1" s="1"/>
  <c r="J745" i="1" s="1"/>
  <c r="U52" i="1"/>
  <c r="U67" i="1" s="1"/>
  <c r="G81" i="9" s="1"/>
  <c r="AO52" i="1"/>
  <c r="AO67" i="1" s="1"/>
  <c r="F177" i="9" s="1"/>
  <c r="AV52" i="1"/>
  <c r="AV67" i="1" s="1"/>
  <c r="F209" i="9" s="1"/>
  <c r="C52" i="1"/>
  <c r="C67" i="1" s="1"/>
  <c r="J734" i="1" s="1"/>
  <c r="B464" i="1"/>
  <c r="C111" i="8"/>
  <c r="BK730" i="1"/>
  <c r="D52" i="1"/>
  <c r="D67" i="1" s="1"/>
  <c r="BM52" i="1"/>
  <c r="BM67" i="1" s="1"/>
  <c r="BM71" i="1" s="1"/>
  <c r="CA52" i="1"/>
  <c r="CA67" i="1" s="1"/>
  <c r="BU52" i="1"/>
  <c r="BU67" i="1" s="1"/>
  <c r="AL52" i="1"/>
  <c r="AL67" i="1" s="1"/>
  <c r="BZ52" i="1"/>
  <c r="BZ67" i="1" s="1"/>
  <c r="BZ71" i="1" s="1"/>
  <c r="BB52" i="1"/>
  <c r="BB67" i="1" s="1"/>
  <c r="X71" i="1"/>
  <c r="C689" i="1" s="1"/>
  <c r="E273" i="9"/>
  <c r="BO71" i="1"/>
  <c r="W52" i="1"/>
  <c r="W67" i="1" s="1"/>
  <c r="BX52" i="1"/>
  <c r="BX67" i="1" s="1"/>
  <c r="F337" i="9" s="1"/>
  <c r="J749" i="1"/>
  <c r="V71" i="1"/>
  <c r="C515" i="1" s="1"/>
  <c r="G515" i="1" s="1"/>
  <c r="AV71" i="1"/>
  <c r="E17" i="9"/>
  <c r="E305" i="9"/>
  <c r="BG71" i="1"/>
  <c r="C618" i="1" s="1"/>
  <c r="AZ71" i="1"/>
  <c r="Y71" i="1"/>
  <c r="C518" i="1" s="1"/>
  <c r="G518" i="1" s="1"/>
  <c r="J755" i="1"/>
  <c r="E793" i="1"/>
  <c r="D108" i="9"/>
  <c r="AX71" i="1"/>
  <c r="C616" i="1" s="1"/>
  <c r="H76" i="9"/>
  <c r="E785" i="1"/>
  <c r="I108" i="9"/>
  <c r="E765" i="1"/>
  <c r="BB71" i="1"/>
  <c r="C632" i="1" s="1"/>
  <c r="I140" i="9"/>
  <c r="E745" i="1"/>
  <c r="AK71" i="1"/>
  <c r="C530" i="1" s="1"/>
  <c r="G530" i="1" s="1"/>
  <c r="C300" i="9"/>
  <c r="K71" i="1"/>
  <c r="D53" i="9" s="1"/>
  <c r="BN71" i="1"/>
  <c r="C309" i="9" s="1"/>
  <c r="BV71" i="1"/>
  <c r="C642" i="1" s="1"/>
  <c r="D204" i="9"/>
  <c r="H172" i="9"/>
  <c r="E71" i="1"/>
  <c r="C498" i="1" s="1"/>
  <c r="G498" i="1" s="1"/>
  <c r="E790" i="1"/>
  <c r="C268" i="9"/>
  <c r="AI71" i="1"/>
  <c r="G149" i="9" s="1"/>
  <c r="D71" i="1"/>
  <c r="C497" i="1" s="1"/>
  <c r="G497" i="1" s="1"/>
  <c r="G140" i="9"/>
  <c r="AA71" i="1"/>
  <c r="F117" i="9" s="1"/>
  <c r="E742" i="1"/>
  <c r="L71" i="1"/>
  <c r="C505" i="1" s="1"/>
  <c r="G505" i="1" s="1"/>
  <c r="E44" i="9"/>
  <c r="AT71" i="1"/>
  <c r="C711" i="1" s="1"/>
  <c r="AL71" i="1"/>
  <c r="C703" i="1" s="1"/>
  <c r="E769" i="1"/>
  <c r="E736" i="1"/>
  <c r="E805" i="1"/>
  <c r="AD71" i="1"/>
  <c r="I117" i="9" s="1"/>
  <c r="AQ71" i="1"/>
  <c r="H181" i="9" s="1"/>
  <c r="E806" i="1"/>
  <c r="CB71" i="1"/>
  <c r="C573" i="1" s="1"/>
  <c r="E758" i="1"/>
  <c r="BW71" i="1"/>
  <c r="C643" i="1" s="1"/>
  <c r="E811" i="1"/>
  <c r="I236" i="9"/>
  <c r="AY71" i="1"/>
  <c r="C625" i="1" s="1"/>
  <c r="E789" i="1"/>
  <c r="E753" i="1"/>
  <c r="J771" i="1"/>
  <c r="E177" i="9"/>
  <c r="J762" i="1"/>
  <c r="J765" i="1"/>
  <c r="I177" i="9"/>
  <c r="D49" i="9"/>
  <c r="J807" i="1"/>
  <c r="H49" i="9"/>
  <c r="O71" i="1"/>
  <c r="H53" i="9" s="1"/>
  <c r="H44" i="9"/>
  <c r="E808" i="1"/>
  <c r="E755" i="1"/>
  <c r="H204" i="9"/>
  <c r="BC52" i="1"/>
  <c r="BC67" i="1" s="1"/>
  <c r="AB52" i="1"/>
  <c r="AB67" i="1" s="1"/>
  <c r="AJ52" i="1"/>
  <c r="AJ67" i="1" s="1"/>
  <c r="AJ71" i="1" s="1"/>
  <c r="AS52" i="1"/>
  <c r="AS67" i="1" s="1"/>
  <c r="AS71" i="1" s="1"/>
  <c r="M71" i="1"/>
  <c r="C506" i="1" s="1"/>
  <c r="G506" i="1" s="1"/>
  <c r="C17" i="9"/>
  <c r="J779" i="1"/>
  <c r="D364" i="9"/>
  <c r="G71" i="1"/>
  <c r="G21" i="9" s="1"/>
  <c r="D241" i="9"/>
  <c r="E771" i="1"/>
  <c r="E779" i="1"/>
  <c r="F204" i="9"/>
  <c r="CC71" i="1"/>
  <c r="C620" i="1" s="1"/>
  <c r="F273" i="9"/>
  <c r="E778" i="1"/>
  <c r="E738" i="1"/>
  <c r="E760" i="1"/>
  <c r="AN71" i="1"/>
  <c r="C705" i="1" s="1"/>
  <c r="E209" i="9"/>
  <c r="H81" i="9"/>
  <c r="C204" i="9"/>
  <c r="E776" i="1"/>
  <c r="AC71" i="1"/>
  <c r="C522" i="1" s="1"/>
  <c r="G522" i="1" s="1"/>
  <c r="C108" i="9"/>
  <c r="H273" i="9"/>
  <c r="G172" i="9"/>
  <c r="I305" i="9"/>
  <c r="G49" i="9"/>
  <c r="E49" i="9"/>
  <c r="J802" i="1"/>
  <c r="D209" i="9"/>
  <c r="J777" i="1"/>
  <c r="G145" i="9"/>
  <c r="J766" i="1"/>
  <c r="F236" i="9"/>
  <c r="BC71" i="1"/>
  <c r="E786" i="1"/>
  <c r="I172" i="9"/>
  <c r="AR71" i="1"/>
  <c r="E775" i="1"/>
  <c r="I17" i="9"/>
  <c r="E754" i="1"/>
  <c r="E744" i="1"/>
  <c r="D369" i="9"/>
  <c r="J764" i="1"/>
  <c r="E735" i="1"/>
  <c r="G273" i="9"/>
  <c r="J794" i="1"/>
  <c r="F300" i="9"/>
  <c r="E800" i="1"/>
  <c r="BQ71" i="1"/>
  <c r="P71" i="1"/>
  <c r="E747" i="1"/>
  <c r="I44" i="9"/>
  <c r="C332" i="9"/>
  <c r="E804" i="1"/>
  <c r="BU71" i="1"/>
  <c r="E759" i="1"/>
  <c r="AB71" i="1"/>
  <c r="G108" i="9"/>
  <c r="C540" i="1"/>
  <c r="G540" i="1" s="1"/>
  <c r="W71" i="1"/>
  <c r="C516" i="1" s="1"/>
  <c r="G516" i="1" s="1"/>
  <c r="N815" i="1"/>
  <c r="J757" i="1"/>
  <c r="E113" i="9"/>
  <c r="F76" i="9"/>
  <c r="T71" i="1"/>
  <c r="E751" i="1"/>
  <c r="J774" i="1"/>
  <c r="H177" i="9"/>
  <c r="E772" i="1"/>
  <c r="AO71" i="1"/>
  <c r="F172" i="9"/>
  <c r="H268" i="9"/>
  <c r="BL71" i="1"/>
  <c r="E795" i="1"/>
  <c r="E204" i="9"/>
  <c r="D339" i="1"/>
  <c r="C482" i="1" s="1"/>
  <c r="J772" i="1"/>
  <c r="BY71" i="1"/>
  <c r="G341" i="9" s="1"/>
  <c r="J810" i="1"/>
  <c r="I337" i="9"/>
  <c r="J769" i="1"/>
  <c r="C177" i="9"/>
  <c r="E792" i="1"/>
  <c r="E268" i="9"/>
  <c r="BI71" i="1"/>
  <c r="E780" i="1"/>
  <c r="AW71" i="1"/>
  <c r="R71" i="1"/>
  <c r="D76" i="9"/>
  <c r="E749" i="1"/>
  <c r="F71" i="1"/>
  <c r="E737" i="1"/>
  <c r="D236" i="9"/>
  <c r="E784" i="1"/>
  <c r="BA71" i="1"/>
  <c r="F332" i="9"/>
  <c r="E807" i="1"/>
  <c r="BX71" i="1"/>
  <c r="G268" i="9"/>
  <c r="BK71" i="1"/>
  <c r="E794" i="1"/>
  <c r="J750" i="1"/>
  <c r="E81" i="9"/>
  <c r="J791" i="1"/>
  <c r="D273" i="9"/>
  <c r="E799" i="1"/>
  <c r="E300" i="9"/>
  <c r="BP71" i="1"/>
  <c r="E108" i="9"/>
  <c r="E757" i="1"/>
  <c r="Z71" i="1"/>
  <c r="E762" i="1"/>
  <c r="AE71" i="1"/>
  <c r="C140" i="9"/>
  <c r="D117" i="9"/>
  <c r="C62" i="1"/>
  <c r="CE48" i="1"/>
  <c r="E756" i="1"/>
  <c r="N71" i="1"/>
  <c r="G53" i="9" s="1"/>
  <c r="E739" i="1"/>
  <c r="H12" i="9"/>
  <c r="D145" i="9"/>
  <c r="J763" i="1"/>
  <c r="E764" i="1"/>
  <c r="E140" i="9"/>
  <c r="E750" i="1"/>
  <c r="E76" i="9"/>
  <c r="S71" i="1"/>
  <c r="I49" i="9"/>
  <c r="J747" i="1"/>
  <c r="C44" i="9"/>
  <c r="J71" i="1"/>
  <c r="E741" i="1"/>
  <c r="C117" i="9"/>
  <c r="C517" i="1"/>
  <c r="G517" i="1" s="1"/>
  <c r="AM71" i="1"/>
  <c r="E770" i="1"/>
  <c r="D172" i="9"/>
  <c r="Q71" i="1"/>
  <c r="E748" i="1"/>
  <c r="C76" i="9"/>
  <c r="J748" i="1"/>
  <c r="C81" i="9"/>
  <c r="D113" i="9"/>
  <c r="J756" i="1"/>
  <c r="E767" i="1"/>
  <c r="H140" i="9"/>
  <c r="J783" i="1"/>
  <c r="C241" i="9"/>
  <c r="I268" i="9"/>
  <c r="E796" i="1"/>
  <c r="H236" i="9"/>
  <c r="BE71" i="1"/>
  <c r="E788" i="1"/>
  <c r="C49" i="9"/>
  <c r="J761" i="1"/>
  <c r="I113" i="9"/>
  <c r="H113" i="9"/>
  <c r="J760" i="1"/>
  <c r="I332" i="9"/>
  <c r="CA71" i="1"/>
  <c r="E810" i="1"/>
  <c r="G236" i="9"/>
  <c r="E787" i="1"/>
  <c r="BD71" i="1"/>
  <c r="J790" i="1"/>
  <c r="C273" i="9"/>
  <c r="I71" i="1"/>
  <c r="E740" i="1"/>
  <c r="I12" i="9"/>
  <c r="H17" i="9"/>
  <c r="J739" i="1"/>
  <c r="C277" i="9"/>
  <c r="C552" i="1"/>
  <c r="E241" i="9"/>
  <c r="J785" i="1"/>
  <c r="C236" i="9"/>
  <c r="E783" i="1"/>
  <c r="D140" i="9"/>
  <c r="E763" i="1"/>
  <c r="AF71" i="1"/>
  <c r="H332" i="9"/>
  <c r="E809" i="1"/>
  <c r="G76" i="9"/>
  <c r="E752" i="1"/>
  <c r="D305" i="9"/>
  <c r="J798" i="1"/>
  <c r="D268" i="9"/>
  <c r="E791" i="1"/>
  <c r="BH71" i="1"/>
  <c r="I204" i="9"/>
  <c r="I300" i="9"/>
  <c r="E803" i="1"/>
  <c r="BT71" i="1"/>
  <c r="D300" i="9"/>
  <c r="E798" i="1"/>
  <c r="E802" i="1"/>
  <c r="H300" i="9"/>
  <c r="BS71" i="1"/>
  <c r="C713" i="1"/>
  <c r="C541" i="1"/>
  <c r="F213" i="9"/>
  <c r="B529" i="1"/>
  <c r="B516" i="1"/>
  <c r="F516" i="1" s="1"/>
  <c r="B536" i="1"/>
  <c r="F536" i="1" s="1"/>
  <c r="B567" i="1"/>
  <c r="B532" i="1"/>
  <c r="F532" i="1" s="1"/>
  <c r="B498" i="1"/>
  <c r="H498" i="1" s="1"/>
  <c r="B518" i="1"/>
  <c r="B517" i="1"/>
  <c r="F517" i="1" s="1"/>
  <c r="B526" i="1"/>
  <c r="B521" i="1"/>
  <c r="B572" i="1"/>
  <c r="B569" i="1"/>
  <c r="B530" i="1"/>
  <c r="B562" i="1"/>
  <c r="B566" i="1"/>
  <c r="B557" i="1"/>
  <c r="B511" i="1"/>
  <c r="B573" i="1"/>
  <c r="F501" i="1"/>
  <c r="F499" i="1"/>
  <c r="H499" i="1"/>
  <c r="H505" i="1"/>
  <c r="F505" i="1"/>
  <c r="H497" i="1"/>
  <c r="F497" i="1"/>
  <c r="F515" i="1"/>
  <c r="H515" i="1"/>
  <c r="J738" i="1"/>
  <c r="G17" i="9"/>
  <c r="J796" i="1"/>
  <c r="D21" i="9"/>
  <c r="F544" i="1"/>
  <c r="F528" i="1"/>
  <c r="H528" i="1"/>
  <c r="F520" i="1"/>
  <c r="H520" i="1"/>
  <c r="D341" i="1"/>
  <c r="C481" i="1" s="1"/>
  <c r="C50" i="8"/>
  <c r="D309" i="9"/>
  <c r="C627" i="1"/>
  <c r="C560" i="1"/>
  <c r="J781" i="1"/>
  <c r="H209" i="9"/>
  <c r="J751" i="1"/>
  <c r="F81" i="9"/>
  <c r="J782" i="1"/>
  <c r="I209" i="9"/>
  <c r="I241" i="9"/>
  <c r="I378" i="9"/>
  <c r="K612" i="1"/>
  <c r="C465" i="1"/>
  <c r="N816" i="1"/>
  <c r="F32" i="6"/>
  <c r="C478" i="1"/>
  <c r="C305" i="9"/>
  <c r="J797" i="1"/>
  <c r="C102" i="8"/>
  <c r="C687" i="1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C563" i="1"/>
  <c r="G309" i="9"/>
  <c r="C626" i="1"/>
  <c r="H516" i="1"/>
  <c r="J735" i="1"/>
  <c r="D17" i="9"/>
  <c r="J800" i="1"/>
  <c r="F305" i="9"/>
  <c r="F540" i="1"/>
  <c r="H540" i="1"/>
  <c r="H524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555" i="1"/>
  <c r="C617" i="1"/>
  <c r="F277" i="9"/>
  <c r="I245" i="9" l="1"/>
  <c r="C629" i="1"/>
  <c r="C551" i="1"/>
  <c r="J805" i="1"/>
  <c r="I273" i="9"/>
  <c r="AP71" i="1"/>
  <c r="C535" i="1" s="1"/>
  <c r="G535" i="1" s="1"/>
  <c r="J752" i="1"/>
  <c r="U71" i="1"/>
  <c r="G177" i="9"/>
  <c r="C337" i="9"/>
  <c r="J804" i="1"/>
  <c r="J789" i="1"/>
  <c r="AG71" i="1"/>
  <c r="AH71" i="1"/>
  <c r="C527" i="1" s="1"/>
  <c r="G527" i="1" s="1"/>
  <c r="E213" i="9"/>
  <c r="H337" i="9"/>
  <c r="J809" i="1"/>
  <c r="I81" i="9"/>
  <c r="J754" i="1"/>
  <c r="H85" i="9"/>
  <c r="C538" i="1"/>
  <c r="G538" i="1" s="1"/>
  <c r="C710" i="1"/>
  <c r="C213" i="9"/>
  <c r="C690" i="1"/>
  <c r="C676" i="1"/>
  <c r="C504" i="1"/>
  <c r="G504" i="1" s="1"/>
  <c r="C559" i="1"/>
  <c r="C568" i="1"/>
  <c r="E245" i="9"/>
  <c r="C692" i="1"/>
  <c r="C520" i="1"/>
  <c r="G520" i="1" s="1"/>
  <c r="C547" i="1"/>
  <c r="E21" i="9"/>
  <c r="H117" i="9"/>
  <c r="C694" i="1"/>
  <c r="C536" i="1"/>
  <c r="G536" i="1" s="1"/>
  <c r="H213" i="9"/>
  <c r="C543" i="1"/>
  <c r="C677" i="1"/>
  <c r="C670" i="1"/>
  <c r="E53" i="9"/>
  <c r="C708" i="1"/>
  <c r="I149" i="9"/>
  <c r="C539" i="1"/>
  <c r="G539" i="1" s="1"/>
  <c r="C373" i="9"/>
  <c r="D213" i="9"/>
  <c r="I213" i="9"/>
  <c r="C619" i="1"/>
  <c r="C702" i="1"/>
  <c r="C695" i="1"/>
  <c r="C669" i="1"/>
  <c r="C567" i="1"/>
  <c r="D341" i="9"/>
  <c r="C700" i="1"/>
  <c r="C528" i="1"/>
  <c r="G528" i="1" s="1"/>
  <c r="C181" i="9"/>
  <c r="C622" i="1"/>
  <c r="D373" i="9"/>
  <c r="E341" i="9"/>
  <c r="C523" i="1"/>
  <c r="G523" i="1" s="1"/>
  <c r="C544" i="1"/>
  <c r="G544" i="1" s="1"/>
  <c r="C531" i="1"/>
  <c r="G531" i="1" s="1"/>
  <c r="C678" i="1"/>
  <c r="F53" i="9"/>
  <c r="C679" i="1"/>
  <c r="C574" i="1"/>
  <c r="C507" i="1"/>
  <c r="G507" i="1" s="1"/>
  <c r="C680" i="1"/>
  <c r="G181" i="9"/>
  <c r="C508" i="1"/>
  <c r="G508" i="1" s="1"/>
  <c r="C570" i="1"/>
  <c r="C645" i="1"/>
  <c r="E181" i="9"/>
  <c r="C533" i="1"/>
  <c r="G533" i="1" s="1"/>
  <c r="J767" i="1"/>
  <c r="H145" i="9"/>
  <c r="J759" i="1"/>
  <c r="G113" i="9"/>
  <c r="CE67" i="1"/>
  <c r="F241" i="9"/>
  <c r="J786" i="1"/>
  <c r="CE52" i="1"/>
  <c r="J776" i="1"/>
  <c r="C209" i="9"/>
  <c r="C500" i="1"/>
  <c r="G500" i="1" s="1"/>
  <c r="C672" i="1"/>
  <c r="C630" i="1"/>
  <c r="C546" i="1"/>
  <c r="G546" i="1" s="1"/>
  <c r="D245" i="9"/>
  <c r="C688" i="1"/>
  <c r="H501" i="1"/>
  <c r="C638" i="1"/>
  <c r="C558" i="1"/>
  <c r="I277" i="9"/>
  <c r="C532" i="1"/>
  <c r="G532" i="1" s="1"/>
  <c r="D181" i="9"/>
  <c r="C704" i="1"/>
  <c r="E85" i="9"/>
  <c r="C512" i="1"/>
  <c r="G512" i="1" s="1"/>
  <c r="C684" i="1"/>
  <c r="C621" i="1"/>
  <c r="E309" i="9"/>
  <c r="C561" i="1"/>
  <c r="C647" i="1"/>
  <c r="I341" i="9"/>
  <c r="C572" i="1"/>
  <c r="C71" i="1"/>
  <c r="C12" i="9"/>
  <c r="CE62" i="1"/>
  <c r="E734" i="1"/>
  <c r="E815" i="1" s="1"/>
  <c r="C511" i="1"/>
  <c r="G511" i="1" s="1"/>
  <c r="C683" i="1"/>
  <c r="D85" i="9"/>
  <c r="I85" i="9"/>
  <c r="E277" i="9"/>
  <c r="C554" i="1"/>
  <c r="C634" i="1"/>
  <c r="C557" i="1"/>
  <c r="C637" i="1"/>
  <c r="H277" i="9"/>
  <c r="C513" i="1"/>
  <c r="G513" i="1" s="1"/>
  <c r="F85" i="9"/>
  <c r="C685" i="1"/>
  <c r="I53" i="9"/>
  <c r="C681" i="1"/>
  <c r="C509" i="1"/>
  <c r="G509" i="1" s="1"/>
  <c r="I181" i="9"/>
  <c r="C709" i="1"/>
  <c r="C537" i="1"/>
  <c r="G537" i="1" s="1"/>
  <c r="D149" i="9"/>
  <c r="C525" i="1"/>
  <c r="G525" i="1" s="1"/>
  <c r="C697" i="1"/>
  <c r="H245" i="9"/>
  <c r="C550" i="1"/>
  <c r="C614" i="1"/>
  <c r="C624" i="1"/>
  <c r="C549" i="1"/>
  <c r="G245" i="9"/>
  <c r="C553" i="1"/>
  <c r="C636" i="1"/>
  <c r="D277" i="9"/>
  <c r="C545" i="1"/>
  <c r="G545" i="1" s="1"/>
  <c r="C245" i="9"/>
  <c r="C628" i="1"/>
  <c r="G277" i="9"/>
  <c r="C635" i="1"/>
  <c r="C556" i="1"/>
  <c r="G117" i="9"/>
  <c r="C693" i="1"/>
  <c r="C521" i="1"/>
  <c r="G521" i="1" s="1"/>
  <c r="F309" i="9"/>
  <c r="C623" i="1"/>
  <c r="C562" i="1"/>
  <c r="G85" i="9"/>
  <c r="C686" i="1"/>
  <c r="C514" i="1"/>
  <c r="G514" i="1" s="1"/>
  <c r="C640" i="1"/>
  <c r="C565" i="1"/>
  <c r="I309" i="9"/>
  <c r="C571" i="1"/>
  <c r="H341" i="9"/>
  <c r="C646" i="1"/>
  <c r="C524" i="1"/>
  <c r="G524" i="1" s="1"/>
  <c r="C149" i="9"/>
  <c r="C696" i="1"/>
  <c r="F21" i="9"/>
  <c r="C499" i="1"/>
  <c r="G499" i="1" s="1"/>
  <c r="C671" i="1"/>
  <c r="C510" i="1"/>
  <c r="G510" i="1" s="1"/>
  <c r="C682" i="1"/>
  <c r="C85" i="9"/>
  <c r="C519" i="1"/>
  <c r="G519" i="1" s="1"/>
  <c r="E117" i="9"/>
  <c r="C691" i="1"/>
  <c r="C639" i="1"/>
  <c r="H309" i="9"/>
  <c r="C564" i="1"/>
  <c r="G213" i="9"/>
  <c r="C542" i="1"/>
  <c r="C631" i="1"/>
  <c r="C502" i="1"/>
  <c r="G502" i="1" s="1"/>
  <c r="I21" i="9"/>
  <c r="C674" i="1"/>
  <c r="H149" i="9"/>
  <c r="C529" i="1"/>
  <c r="G529" i="1" s="1"/>
  <c r="C701" i="1"/>
  <c r="C53" i="9"/>
  <c r="C503" i="1"/>
  <c r="G503" i="1" s="1"/>
  <c r="C675" i="1"/>
  <c r="C698" i="1"/>
  <c r="E149" i="9"/>
  <c r="C526" i="1"/>
  <c r="G526" i="1" s="1"/>
  <c r="F341" i="9"/>
  <c r="C569" i="1"/>
  <c r="C644" i="1"/>
  <c r="F181" i="9"/>
  <c r="C534" i="1"/>
  <c r="G534" i="1" s="1"/>
  <c r="C706" i="1"/>
  <c r="C641" i="1"/>
  <c r="C341" i="9"/>
  <c r="C566" i="1"/>
  <c r="C633" i="1"/>
  <c r="F245" i="9"/>
  <c r="C548" i="1"/>
  <c r="H536" i="1"/>
  <c r="H517" i="1"/>
  <c r="H532" i="1"/>
  <c r="F498" i="1"/>
  <c r="H511" i="1"/>
  <c r="F511" i="1"/>
  <c r="B496" i="1"/>
  <c r="H496" i="1" s="1"/>
  <c r="F522" i="1"/>
  <c r="H522" i="1"/>
  <c r="F510" i="1"/>
  <c r="H510" i="1"/>
  <c r="F513" i="1"/>
  <c r="H51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07" i="1"/>
  <c r="F507" i="1"/>
  <c r="H518" i="1"/>
  <c r="F518" i="1"/>
  <c r="F546" i="1"/>
  <c r="F506" i="1"/>
  <c r="H506" i="1"/>
  <c r="H500" i="1"/>
  <c r="F500" i="1"/>
  <c r="F509" i="1"/>
  <c r="H509" i="1"/>
  <c r="C707" i="1" l="1"/>
  <c r="F149" i="9"/>
  <c r="C699" i="1"/>
  <c r="H546" i="1"/>
  <c r="H544" i="1"/>
  <c r="J815" i="1"/>
  <c r="J816" i="1"/>
  <c r="I369" i="9"/>
  <c r="C433" i="1"/>
  <c r="C496" i="1"/>
  <c r="G496" i="1" s="1"/>
  <c r="C21" i="9"/>
  <c r="C668" i="1"/>
  <c r="C715" i="1" s="1"/>
  <c r="H514" i="1"/>
  <c r="G550" i="1"/>
  <c r="H550" i="1" s="1"/>
  <c r="I364" i="9"/>
  <c r="E816" i="1"/>
  <c r="C428" i="1"/>
  <c r="C441" i="1" s="1"/>
  <c r="CE71" i="1"/>
  <c r="C648" i="1"/>
  <c r="M716" i="1" s="1"/>
  <c r="Y816" i="1" s="1"/>
  <c r="D615" i="1"/>
  <c r="F496" i="1"/>
  <c r="H545" i="1"/>
  <c r="F545" i="1"/>
  <c r="H525" i="1"/>
  <c r="F525" i="1"/>
  <c r="F529" i="1"/>
  <c r="H529" i="1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D632" i="1" l="1"/>
  <c r="D617" i="1"/>
  <c r="D697" i="1"/>
  <c r="D685" i="1"/>
  <c r="D690" i="1"/>
  <c r="D707" i="1"/>
  <c r="D637" i="1"/>
  <c r="D694" i="1"/>
  <c r="D647" i="1"/>
  <c r="D635" i="1"/>
  <c r="D691" i="1"/>
  <c r="D696" i="1"/>
  <c r="D710" i="1"/>
  <c r="D643" i="1"/>
  <c r="D619" i="1"/>
  <c r="D683" i="1"/>
  <c r="D645" i="1"/>
  <c r="D628" i="1"/>
  <c r="D706" i="1"/>
  <c r="D671" i="1"/>
  <c r="D634" i="1"/>
  <c r="D638" i="1"/>
  <c r="D703" i="1"/>
  <c r="D670" i="1"/>
  <c r="D627" i="1"/>
  <c r="D621" i="1"/>
  <c r="D712" i="1"/>
  <c r="D678" i="1"/>
  <c r="D629" i="1"/>
  <c r="D640" i="1"/>
  <c r="D668" i="1"/>
  <c r="D624" i="1"/>
  <c r="D644" i="1"/>
  <c r="D639" i="1"/>
  <c r="D705" i="1"/>
  <c r="D672" i="1"/>
  <c r="D626" i="1"/>
  <c r="D641" i="1"/>
  <c r="D633" i="1"/>
  <c r="D646" i="1"/>
  <c r="D708" i="1"/>
  <c r="D688" i="1"/>
  <c r="D679" i="1"/>
  <c r="D693" i="1"/>
  <c r="D618" i="1"/>
  <c r="D673" i="1"/>
  <c r="D701" i="1"/>
  <c r="D680" i="1"/>
  <c r="D695" i="1"/>
  <c r="D681" i="1"/>
  <c r="D676" i="1"/>
  <c r="D687" i="1"/>
  <c r="D692" i="1"/>
  <c r="D622" i="1"/>
  <c r="D700" i="1"/>
  <c r="D623" i="1"/>
  <c r="D686" i="1"/>
  <c r="D699" i="1"/>
  <c r="D675" i="1"/>
  <c r="D630" i="1"/>
  <c r="D682" i="1"/>
  <c r="D620" i="1"/>
  <c r="D677" i="1"/>
  <c r="D711" i="1"/>
  <c r="D684" i="1"/>
  <c r="D642" i="1"/>
  <c r="D674" i="1"/>
  <c r="D716" i="1"/>
  <c r="D709" i="1"/>
  <c r="D636" i="1"/>
  <c r="D702" i="1"/>
  <c r="D713" i="1"/>
  <c r="D698" i="1"/>
  <c r="D616" i="1"/>
  <c r="D669" i="1"/>
  <c r="D689" i="1"/>
  <c r="D625" i="1"/>
  <c r="D704" i="1"/>
  <c r="D631" i="1"/>
  <c r="C716" i="1"/>
  <c r="I373" i="9"/>
  <c r="E623" i="1" l="1"/>
  <c r="E716" i="1" s="1"/>
  <c r="E612" i="1"/>
  <c r="D715" i="1"/>
  <c r="D12" i="7"/>
  <c r="D229" i="1"/>
  <c r="C364" i="1" s="1"/>
  <c r="BY722" i="1"/>
  <c r="D367" i="1" l="1"/>
  <c r="C116" i="8"/>
  <c r="C445" i="1"/>
  <c r="BL730" i="1"/>
  <c r="D11" i="7"/>
  <c r="E711" i="1"/>
  <c r="E693" i="1"/>
  <c r="E696" i="1"/>
  <c r="E713" i="1"/>
  <c r="E633" i="1"/>
  <c r="E694" i="1"/>
  <c r="E674" i="1"/>
  <c r="E701" i="1"/>
  <c r="E639" i="1"/>
  <c r="E629" i="1"/>
  <c r="E687" i="1"/>
  <c r="E689" i="1"/>
  <c r="E624" i="1"/>
  <c r="F624" i="1" s="1"/>
  <c r="E710" i="1"/>
  <c r="E641" i="1"/>
  <c r="E673" i="1"/>
  <c r="E643" i="1"/>
  <c r="E679" i="1"/>
  <c r="E647" i="1"/>
  <c r="E675" i="1"/>
  <c r="E709" i="1"/>
  <c r="E644" i="1"/>
  <c r="E638" i="1"/>
  <c r="E642" i="1"/>
  <c r="E672" i="1"/>
  <c r="E627" i="1"/>
  <c r="E681" i="1"/>
  <c r="E636" i="1"/>
  <c r="E706" i="1"/>
  <c r="E676" i="1"/>
  <c r="E680" i="1"/>
  <c r="E646" i="1"/>
  <c r="E677" i="1"/>
  <c r="E695" i="1"/>
  <c r="E640" i="1"/>
  <c r="E703" i="1"/>
  <c r="E683" i="1"/>
  <c r="E692" i="1"/>
  <c r="E668" i="1"/>
  <c r="E708" i="1"/>
  <c r="E704" i="1"/>
  <c r="E712" i="1"/>
  <c r="E697" i="1"/>
  <c r="E699" i="1"/>
  <c r="E682" i="1"/>
  <c r="E630" i="1"/>
  <c r="E702" i="1"/>
  <c r="E685" i="1"/>
  <c r="E635" i="1"/>
  <c r="E625" i="1"/>
  <c r="E686" i="1"/>
  <c r="E637" i="1"/>
  <c r="E670" i="1"/>
  <c r="E690" i="1"/>
  <c r="E705" i="1"/>
  <c r="E707" i="1"/>
  <c r="E684" i="1"/>
  <c r="E669" i="1"/>
  <c r="E628" i="1"/>
  <c r="E678" i="1"/>
  <c r="E645" i="1"/>
  <c r="E626" i="1"/>
  <c r="E700" i="1"/>
  <c r="E691" i="1"/>
  <c r="E632" i="1"/>
  <c r="E688" i="1"/>
  <c r="E634" i="1"/>
  <c r="E631" i="1"/>
  <c r="E671" i="1"/>
  <c r="E698" i="1"/>
  <c r="D242" i="1"/>
  <c r="D13" i="7"/>
  <c r="B445" i="1"/>
  <c r="BX722" i="1"/>
  <c r="C448" i="1" l="1"/>
  <c r="C119" i="8"/>
  <c r="D368" i="1"/>
  <c r="F630" i="1"/>
  <c r="F698" i="1"/>
  <c r="F628" i="1"/>
  <c r="F673" i="1"/>
  <c r="F699" i="1"/>
  <c r="F703" i="1"/>
  <c r="F669" i="1"/>
  <c r="F627" i="1"/>
  <c r="F693" i="1"/>
  <c r="F682" i="1"/>
  <c r="F705" i="1"/>
  <c r="F704" i="1"/>
  <c r="F716" i="1"/>
  <c r="F632" i="1"/>
  <c r="F696" i="1"/>
  <c r="F713" i="1"/>
  <c r="F671" i="1"/>
  <c r="F691" i="1"/>
  <c r="F684" i="1"/>
  <c r="F672" i="1"/>
  <c r="F687" i="1"/>
  <c r="F688" i="1"/>
  <c r="F710" i="1"/>
  <c r="F709" i="1"/>
  <c r="F707" i="1"/>
  <c r="F670" i="1"/>
  <c r="F674" i="1"/>
  <c r="F647" i="1"/>
  <c r="F635" i="1"/>
  <c r="F690" i="1"/>
  <c r="F675" i="1"/>
  <c r="F678" i="1"/>
  <c r="F697" i="1"/>
  <c r="F629" i="1"/>
  <c r="F642" i="1"/>
  <c r="F694" i="1"/>
  <c r="F644" i="1"/>
  <c r="F643" i="1"/>
  <c r="F641" i="1"/>
  <c r="F639" i="1"/>
  <c r="F680" i="1"/>
  <c r="F712" i="1"/>
  <c r="F683" i="1"/>
  <c r="F686" i="1"/>
  <c r="F638" i="1"/>
  <c r="F646" i="1"/>
  <c r="F625" i="1"/>
  <c r="F626" i="1"/>
  <c r="F681" i="1"/>
  <c r="F637" i="1"/>
  <c r="F700" i="1"/>
  <c r="F706" i="1"/>
  <c r="F676" i="1"/>
  <c r="F679" i="1"/>
  <c r="F708" i="1"/>
  <c r="F711" i="1"/>
  <c r="F692" i="1"/>
  <c r="F640" i="1"/>
  <c r="F645" i="1"/>
  <c r="F636" i="1"/>
  <c r="F677" i="1"/>
  <c r="F634" i="1"/>
  <c r="F631" i="1"/>
  <c r="F668" i="1"/>
  <c r="F701" i="1"/>
  <c r="F695" i="1"/>
  <c r="F689" i="1"/>
  <c r="F633" i="1"/>
  <c r="F702" i="1"/>
  <c r="F685" i="1"/>
  <c r="E715" i="1"/>
  <c r="B448" i="1"/>
  <c r="D27" i="7"/>
  <c r="C120" i="8" l="1"/>
  <c r="D373" i="1"/>
  <c r="F715" i="1"/>
  <c r="G625" i="1"/>
  <c r="C126" i="8" l="1"/>
  <c r="D391" i="1"/>
  <c r="G638" i="1"/>
  <c r="G704" i="1"/>
  <c r="G686" i="1"/>
  <c r="G711" i="1"/>
  <c r="G680" i="1"/>
  <c r="G693" i="1"/>
  <c r="G678" i="1"/>
  <c r="G706" i="1"/>
  <c r="G687" i="1"/>
  <c r="G644" i="1"/>
  <c r="G636" i="1"/>
  <c r="G702" i="1"/>
  <c r="G713" i="1"/>
  <c r="G671" i="1"/>
  <c r="G695" i="1"/>
  <c r="G698" i="1"/>
  <c r="G630" i="1"/>
  <c r="G716" i="1"/>
  <c r="G709" i="1"/>
  <c r="G679" i="1"/>
  <c r="G669" i="1"/>
  <c r="G708" i="1"/>
  <c r="G629" i="1"/>
  <c r="G646" i="1"/>
  <c r="G627" i="1"/>
  <c r="G691" i="1"/>
  <c r="G633" i="1"/>
  <c r="G682" i="1"/>
  <c r="G675" i="1"/>
  <c r="G645" i="1"/>
  <c r="G628" i="1"/>
  <c r="G681" i="1"/>
  <c r="G634" i="1"/>
  <c r="G668" i="1"/>
  <c r="G673" i="1"/>
  <c r="G697" i="1"/>
  <c r="G672" i="1"/>
  <c r="G641" i="1"/>
  <c r="G640" i="1"/>
  <c r="G674" i="1"/>
  <c r="G647" i="1"/>
  <c r="G676" i="1"/>
  <c r="G635" i="1"/>
  <c r="G692" i="1"/>
  <c r="G688" i="1"/>
  <c r="G670" i="1"/>
  <c r="G705" i="1"/>
  <c r="G694" i="1"/>
  <c r="G707" i="1"/>
  <c r="G626" i="1"/>
  <c r="G696" i="1"/>
  <c r="G637" i="1"/>
  <c r="G639" i="1"/>
  <c r="G643" i="1"/>
  <c r="G677" i="1"/>
  <c r="G690" i="1"/>
  <c r="G631" i="1"/>
  <c r="G703" i="1"/>
  <c r="G684" i="1"/>
  <c r="G689" i="1"/>
  <c r="G632" i="1"/>
  <c r="G685" i="1"/>
  <c r="G700" i="1"/>
  <c r="G712" i="1"/>
  <c r="G683" i="1"/>
  <c r="G710" i="1"/>
  <c r="G701" i="1"/>
  <c r="G699" i="1"/>
  <c r="G642" i="1"/>
  <c r="H628" i="1" l="1"/>
  <c r="H675" i="1" s="1"/>
  <c r="D393" i="1"/>
  <c r="C142" i="8"/>
  <c r="G715" i="1"/>
  <c r="H631" i="1"/>
  <c r="H629" i="1"/>
  <c r="H704" i="1"/>
  <c r="H642" i="1"/>
  <c r="H683" i="1"/>
  <c r="H632" i="1"/>
  <c r="H696" i="1"/>
  <c r="H676" i="1"/>
  <c r="H633" i="1"/>
  <c r="H670" i="1"/>
  <c r="H684" i="1"/>
  <c r="H668" i="1"/>
  <c r="H680" i="1"/>
  <c r="H681" i="1"/>
  <c r="H637" i="1"/>
  <c r="H630" i="1"/>
  <c r="H691" i="1"/>
  <c r="H674" i="1"/>
  <c r="H703" i="1"/>
  <c r="H679" i="1"/>
  <c r="H697" i="1"/>
  <c r="H644" i="1"/>
  <c r="H693" i="1"/>
  <c r="H682" i="1"/>
  <c r="H701" i="1"/>
  <c r="H686" i="1"/>
  <c r="H645" i="1"/>
  <c r="H695" i="1"/>
  <c r="H638" i="1"/>
  <c r="H685" i="1"/>
  <c r="H689" i="1" l="1"/>
  <c r="H707" i="1"/>
  <c r="H705" i="1"/>
  <c r="H690" i="1"/>
  <c r="H700" i="1"/>
  <c r="H716" i="1"/>
  <c r="H706" i="1"/>
  <c r="H640" i="1"/>
  <c r="H694" i="1"/>
  <c r="H672" i="1"/>
  <c r="H677" i="1"/>
  <c r="H669" i="1"/>
  <c r="H634" i="1"/>
  <c r="H702" i="1"/>
  <c r="H699" i="1"/>
  <c r="H698" i="1"/>
  <c r="H712" i="1"/>
  <c r="H713" i="1"/>
  <c r="H711" i="1"/>
  <c r="H709" i="1"/>
  <c r="H688" i="1"/>
  <c r="H643" i="1"/>
  <c r="H673" i="1"/>
  <c r="H641" i="1"/>
  <c r="H692" i="1"/>
  <c r="H678" i="1"/>
  <c r="C146" i="8"/>
  <c r="D396" i="1"/>
  <c r="C151" i="8" s="1"/>
  <c r="H687" i="1"/>
  <c r="H636" i="1"/>
  <c r="H647" i="1"/>
  <c r="H639" i="1"/>
  <c r="H715" i="1" s="1"/>
  <c r="H671" i="1"/>
  <c r="H635" i="1"/>
  <c r="H646" i="1"/>
  <c r="H710" i="1"/>
  <c r="H708" i="1"/>
  <c r="I629" i="1"/>
  <c r="I647" i="1" l="1"/>
  <c r="I705" i="1"/>
  <c r="I698" i="1"/>
  <c r="I642" i="1"/>
  <c r="I639" i="1"/>
  <c r="I643" i="1"/>
  <c r="I697" i="1"/>
  <c r="I710" i="1"/>
  <c r="I669" i="1"/>
  <c r="I676" i="1"/>
  <c r="I674" i="1"/>
  <c r="I679" i="1"/>
  <c r="I711" i="1"/>
  <c r="I638" i="1"/>
  <c r="I633" i="1"/>
  <c r="I712" i="1"/>
  <c r="I671" i="1"/>
  <c r="I677" i="1"/>
  <c r="I672" i="1"/>
  <c r="I689" i="1"/>
  <c r="I635" i="1"/>
  <c r="I634" i="1"/>
  <c r="I700" i="1"/>
  <c r="I645" i="1"/>
  <c r="I708" i="1"/>
  <c r="I707" i="1"/>
  <c r="I706" i="1"/>
  <c r="I640" i="1"/>
  <c r="I641" i="1"/>
  <c r="I696" i="1"/>
  <c r="I636" i="1"/>
  <c r="I699" i="1"/>
  <c r="I670" i="1"/>
  <c r="I675" i="1"/>
  <c r="I682" i="1"/>
  <c r="I709" i="1"/>
  <c r="I694" i="1"/>
  <c r="I644" i="1"/>
  <c r="I683" i="1"/>
  <c r="I688" i="1"/>
  <c r="I681" i="1"/>
  <c r="I686" i="1"/>
  <c r="I668" i="1"/>
  <c r="I678" i="1"/>
  <c r="I630" i="1"/>
  <c r="I702" i="1"/>
  <c r="I695" i="1"/>
  <c r="I704" i="1"/>
  <c r="I701" i="1"/>
  <c r="I684" i="1"/>
  <c r="I631" i="1"/>
  <c r="I703" i="1"/>
  <c r="I691" i="1"/>
  <c r="I637" i="1"/>
  <c r="I685" i="1"/>
  <c r="I673" i="1"/>
  <c r="I713" i="1"/>
  <c r="I646" i="1"/>
  <c r="I632" i="1"/>
  <c r="I693" i="1"/>
  <c r="I716" i="1"/>
  <c r="I687" i="1"/>
  <c r="I692" i="1"/>
  <c r="I680" i="1"/>
  <c r="I690" i="1"/>
  <c r="I715" i="1" l="1"/>
  <c r="J630" i="1"/>
  <c r="J637" i="1" l="1"/>
  <c r="J692" i="1"/>
  <c r="J686" i="1"/>
  <c r="J693" i="1"/>
  <c r="J676" i="1"/>
  <c r="J694" i="1"/>
  <c r="J679" i="1"/>
  <c r="J706" i="1"/>
  <c r="J703" i="1"/>
  <c r="J668" i="1"/>
  <c r="J684" i="1"/>
  <c r="J683" i="1"/>
  <c r="J633" i="1"/>
  <c r="J709" i="1"/>
  <c r="J696" i="1"/>
  <c r="J688" i="1"/>
  <c r="J701" i="1"/>
  <c r="J708" i="1"/>
  <c r="J646" i="1"/>
  <c r="J704" i="1"/>
  <c r="J699" i="1"/>
  <c r="J675" i="1"/>
  <c r="J673" i="1"/>
  <c r="J712" i="1"/>
  <c r="J639" i="1"/>
  <c r="J691" i="1"/>
  <c r="J642" i="1"/>
  <c r="J634" i="1"/>
  <c r="J670" i="1"/>
  <c r="J678" i="1"/>
  <c r="J672" i="1"/>
  <c r="J716" i="1"/>
  <c r="J638" i="1"/>
  <c r="J680" i="1"/>
  <c r="J685" i="1"/>
  <c r="J641" i="1"/>
  <c r="J690" i="1"/>
  <c r="J644" i="1"/>
  <c r="J674" i="1"/>
  <c r="J710" i="1"/>
  <c r="J647" i="1"/>
  <c r="J677" i="1"/>
  <c r="J702" i="1"/>
  <c r="J640" i="1"/>
  <c r="J713" i="1"/>
  <c r="J687" i="1"/>
  <c r="J645" i="1"/>
  <c r="J671" i="1"/>
  <c r="J711" i="1"/>
  <c r="J695" i="1"/>
  <c r="J681" i="1"/>
  <c r="J632" i="1"/>
  <c r="J700" i="1"/>
  <c r="J705" i="1"/>
  <c r="J697" i="1"/>
  <c r="J682" i="1"/>
  <c r="J643" i="1"/>
  <c r="J636" i="1"/>
  <c r="J689" i="1"/>
  <c r="J631" i="1"/>
  <c r="J669" i="1"/>
  <c r="J635" i="1"/>
  <c r="J698" i="1"/>
  <c r="J707" i="1"/>
  <c r="J715" i="1" l="1"/>
  <c r="K644" i="1"/>
  <c r="L647" i="1"/>
  <c r="K682" i="1" l="1"/>
  <c r="K697" i="1"/>
  <c r="K679" i="1"/>
  <c r="K695" i="1"/>
  <c r="K683" i="1"/>
  <c r="K711" i="1"/>
  <c r="K676" i="1"/>
  <c r="K708" i="1"/>
  <c r="K669" i="1"/>
  <c r="K686" i="1"/>
  <c r="K701" i="1"/>
  <c r="K689" i="1"/>
  <c r="K691" i="1"/>
  <c r="K707" i="1"/>
  <c r="K672" i="1"/>
  <c r="K678" i="1"/>
  <c r="K681" i="1"/>
  <c r="K704" i="1"/>
  <c r="K675" i="1"/>
  <c r="K696" i="1"/>
  <c r="K698" i="1"/>
  <c r="K700" i="1"/>
  <c r="K674" i="1"/>
  <c r="K677" i="1"/>
  <c r="K694" i="1"/>
  <c r="K688" i="1"/>
  <c r="K673" i="1"/>
  <c r="K684" i="1"/>
  <c r="K687" i="1"/>
  <c r="K702" i="1"/>
  <c r="K705" i="1"/>
  <c r="K680" i="1"/>
  <c r="K670" i="1"/>
  <c r="K692" i="1"/>
  <c r="K706" i="1"/>
  <c r="K709" i="1"/>
  <c r="K699" i="1"/>
  <c r="K693" i="1"/>
  <c r="K690" i="1"/>
  <c r="K716" i="1"/>
  <c r="K671" i="1"/>
  <c r="K668" i="1"/>
  <c r="K713" i="1"/>
  <c r="K710" i="1"/>
  <c r="K685" i="1"/>
  <c r="K712" i="1"/>
  <c r="K703" i="1"/>
  <c r="L688" i="1"/>
  <c r="L701" i="1"/>
  <c r="L691" i="1"/>
  <c r="L716" i="1"/>
  <c r="L678" i="1"/>
  <c r="L697" i="1"/>
  <c r="L674" i="1"/>
  <c r="M674" i="1" s="1"/>
  <c r="L708" i="1"/>
  <c r="L693" i="1"/>
  <c r="L676" i="1"/>
  <c r="L683" i="1"/>
  <c r="L711" i="1"/>
  <c r="L684" i="1"/>
  <c r="M684" i="1" s="1"/>
  <c r="L712" i="1"/>
  <c r="L680" i="1"/>
  <c r="L675" i="1"/>
  <c r="L679" i="1"/>
  <c r="L690" i="1"/>
  <c r="L668" i="1"/>
  <c r="L689" i="1"/>
  <c r="L682" i="1"/>
  <c r="L671" i="1"/>
  <c r="L686" i="1"/>
  <c r="L700" i="1"/>
  <c r="L677" i="1"/>
  <c r="M677" i="1" s="1"/>
  <c r="L713" i="1"/>
  <c r="L695" i="1"/>
  <c r="M695" i="1" s="1"/>
  <c r="L705" i="1"/>
  <c r="L702" i="1"/>
  <c r="L685" i="1"/>
  <c r="M685" i="1" s="1"/>
  <c r="L673" i="1"/>
  <c r="L694" i="1"/>
  <c r="L706" i="1"/>
  <c r="L670" i="1"/>
  <c r="M670" i="1" s="1"/>
  <c r="L699" i="1"/>
  <c r="L681" i="1"/>
  <c r="L709" i="1"/>
  <c r="M709" i="1" s="1"/>
  <c r="L698" i="1"/>
  <c r="M698" i="1" s="1"/>
  <c r="L672" i="1"/>
  <c r="M672" i="1" s="1"/>
  <c r="L669" i="1"/>
  <c r="L687" i="1"/>
  <c r="L696" i="1"/>
  <c r="L707" i="1"/>
  <c r="L710" i="1"/>
  <c r="M710" i="1" s="1"/>
  <c r="L703" i="1"/>
  <c r="M703" i="1" s="1"/>
  <c r="L692" i="1"/>
  <c r="L704" i="1"/>
  <c r="M687" i="1" l="1"/>
  <c r="M669" i="1"/>
  <c r="Y735" i="1" s="1"/>
  <c r="M694" i="1"/>
  <c r="M671" i="1"/>
  <c r="M682" i="1"/>
  <c r="Y748" i="1" s="1"/>
  <c r="M699" i="1"/>
  <c r="F151" i="9" s="1"/>
  <c r="M693" i="1"/>
  <c r="M707" i="1"/>
  <c r="Y773" i="1" s="1"/>
  <c r="M700" i="1"/>
  <c r="Y766" i="1" s="1"/>
  <c r="M702" i="1"/>
  <c r="Y768" i="1" s="1"/>
  <c r="M681" i="1"/>
  <c r="M705" i="1"/>
  <c r="M689" i="1"/>
  <c r="C119" i="9" s="1"/>
  <c r="M696" i="1"/>
  <c r="C151" i="9" s="1"/>
  <c r="M690" i="1"/>
  <c r="D119" i="9" s="1"/>
  <c r="M712" i="1"/>
  <c r="Y778" i="1" s="1"/>
  <c r="M676" i="1"/>
  <c r="Y742" i="1" s="1"/>
  <c r="M688" i="1"/>
  <c r="I87" i="9" s="1"/>
  <c r="M675" i="1"/>
  <c r="Y741" i="1" s="1"/>
  <c r="M706" i="1"/>
  <c r="F183" i="9" s="1"/>
  <c r="M704" i="1"/>
  <c r="D183" i="9" s="1"/>
  <c r="M673" i="1"/>
  <c r="Y739" i="1" s="1"/>
  <c r="M686" i="1"/>
  <c r="G87" i="9" s="1"/>
  <c r="M679" i="1"/>
  <c r="G55" i="9" s="1"/>
  <c r="M697" i="1"/>
  <c r="D151" i="9" s="1"/>
  <c r="M692" i="1"/>
  <c r="F119" i="9" s="1"/>
  <c r="M713" i="1"/>
  <c r="F215" i="9" s="1"/>
  <c r="M701" i="1"/>
  <c r="H151" i="9" s="1"/>
  <c r="M711" i="1"/>
  <c r="D215" i="9" s="1"/>
  <c r="M683" i="1"/>
  <c r="D87" i="9" s="1"/>
  <c r="M691" i="1"/>
  <c r="Y757" i="1" s="1"/>
  <c r="Y745" i="1"/>
  <c r="D23" i="9"/>
  <c r="H119" i="9"/>
  <c r="Y760" i="1"/>
  <c r="M708" i="1"/>
  <c r="G23" i="9"/>
  <c r="Y738" i="1"/>
  <c r="M680" i="1"/>
  <c r="I23" i="9"/>
  <c r="Y740" i="1"/>
  <c r="Y751" i="1"/>
  <c r="F87" i="9"/>
  <c r="F23" i="9"/>
  <c r="Y737" i="1"/>
  <c r="E215" i="9"/>
  <c r="G119" i="9"/>
  <c r="Y759" i="1"/>
  <c r="Y764" i="1"/>
  <c r="E151" i="9"/>
  <c r="I151" i="9"/>
  <c r="C87" i="9"/>
  <c r="E87" i="9"/>
  <c r="Y750" i="1"/>
  <c r="M678" i="1"/>
  <c r="H87" i="9"/>
  <c r="Y753" i="1"/>
  <c r="Y775" i="1"/>
  <c r="I183" i="9"/>
  <c r="Y776" i="1"/>
  <c r="C215" i="9"/>
  <c r="Y747" i="1"/>
  <c r="I55" i="9"/>
  <c r="E183" i="9"/>
  <c r="Y771" i="1"/>
  <c r="C183" i="9"/>
  <c r="Y769" i="1"/>
  <c r="Y761" i="1"/>
  <c r="I119" i="9"/>
  <c r="L715" i="1"/>
  <c r="K715" i="1"/>
  <c r="M668" i="1"/>
  <c r="Y743" i="1"/>
  <c r="E55" i="9"/>
  <c r="Y736" i="1"/>
  <c r="E23" i="9"/>
  <c r="G183" i="9" l="1"/>
  <c r="Y765" i="1"/>
  <c r="G151" i="9"/>
  <c r="D55" i="9"/>
  <c r="Y777" i="1"/>
  <c r="Y755" i="1"/>
  <c r="Y770" i="1"/>
  <c r="Y762" i="1"/>
  <c r="Y779" i="1"/>
  <c r="Y763" i="1"/>
  <c r="Y772" i="1"/>
  <c r="Y756" i="1"/>
  <c r="Y767" i="1"/>
  <c r="C55" i="9"/>
  <c r="Y749" i="1"/>
  <c r="H23" i="9"/>
  <c r="Y752" i="1"/>
  <c r="E119" i="9"/>
  <c r="Y758" i="1"/>
  <c r="Y754" i="1"/>
  <c r="Y734" i="1"/>
  <c r="M715" i="1"/>
  <c r="C23" i="9"/>
  <c r="H55" i="9"/>
  <c r="Y746" i="1"/>
  <c r="Y744" i="1"/>
  <c r="F55" i="9"/>
  <c r="Y774" i="1"/>
  <c r="H183" i="9"/>
  <c r="Y8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Terri Logsdon</author>
  </authors>
  <commentList>
    <comment ref="C17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Terri Logsdon:</t>
        </r>
        <r>
          <rPr>
            <sz val="9"/>
            <color indexed="81"/>
            <rFont val="Tahoma"/>
            <family val="2"/>
          </rPr>
          <t xml:space="preserve">
Employee Appreciation
</t>
        </r>
      </text>
    </comment>
    <comment ref="C17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Terri Logsdon:</t>
        </r>
        <r>
          <rPr>
            <sz val="9"/>
            <color indexed="81"/>
            <rFont val="Tahoma"/>
            <family val="2"/>
          </rPr>
          <t xml:space="preserve">
Recruitment</t>
        </r>
      </text>
    </comment>
  </commentList>
</comments>
</file>

<file path=xl/sharedStrings.xml><?xml version="1.0" encoding="utf-8"?>
<sst xmlns="http://schemas.openxmlformats.org/spreadsheetml/2006/main" count="4942" uniqueCount="1282">
  <si>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</si>
  <si>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</si>
  <si>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</si>
  <si>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</si>
  <si>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</si>
  <si>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</si>
  <si>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</si>
  <si>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</si>
  <si>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</si>
  <si>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</si>
  <si>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</si>
  <si>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</si>
  <si>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</si>
  <si>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</si>
  <si>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</si>
  <si>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</si>
  <si>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</si>
  <si>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</si>
  <si>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</si>
  <si>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</si>
  <si>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</si>
  <si>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</si>
  <si>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</si>
  <si>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</si>
  <si>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</si>
  <si>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</si>
  <si>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</si>
  <si>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</si>
  <si>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</si>
  <si>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</si>
  <si>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</si>
  <si>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</si>
  <si>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</si>
  <si>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</si>
  <si>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</si>
  <si>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</si>
  <si>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</si>
  <si>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</si>
  <si>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</si>
  <si>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</si>
  <si>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</si>
  <si>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</si>
  <si>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</si>
  <si>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</si>
  <si>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</si>
  <si>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</si>
  <si>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</si>
  <si>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</si>
  <si>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</si>
  <si>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</si>
  <si>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</si>
  <si>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</si>
  <si>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</si>
  <si>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</si>
  <si>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</si>
  <si>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</si>
  <si>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</si>
  <si>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</si>
  <si>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</si>
  <si>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</si>
  <si>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</si>
  <si>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</si>
  <si>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</si>
  <si>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</si>
  <si>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</si>
  <si>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</si>
  <si>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</si>
  <si>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</si>
  <si>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</si>
  <si>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</si>
  <si>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</si>
  <si>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</si>
  <si>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</si>
  <si>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</si>
  <si>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</si>
  <si>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</si>
  <si>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</si>
  <si>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</si>
  <si>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</si>
  <si>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</si>
  <si>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</si>
  <si>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</si>
  <si>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</si>
  <si>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</si>
  <si>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</si>
  <si>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</si>
  <si>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</si>
  <si>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</si>
  <si>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</si>
  <si>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</si>
  <si>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</si>
  <si>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</si>
  <si>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</si>
  <si>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</si>
  <si>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</si>
  <si>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</si>
  <si>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</si>
  <si>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</si>
  <si>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</si>
  <si>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</si>
  <si>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</si>
  <si>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</si>
  <si>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</si>
  <si>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</si>
  <si>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</si>
  <si>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</si>
  <si>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</si>
  <si>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</si>
  <si>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</si>
  <si>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</si>
  <si>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</si>
  <si>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</si>
  <si>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</si>
  <si>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</si>
  <si>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</si>
  <si>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</si>
  <si>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</si>
  <si>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</si>
  <si>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</si>
  <si>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</si>
  <si>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</si>
  <si>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</si>
  <si>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</si>
  <si>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</si>
  <si>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</si>
  <si>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</si>
  <si>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</si>
  <si>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</si>
  <si>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</si>
  <si>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</si>
  <si>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</si>
  <si>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</si>
  <si>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</si>
  <si>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</si>
  <si>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</si>
  <si>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</si>
  <si>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</si>
  <si>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</si>
  <si>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</si>
  <si>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</si>
  <si>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</si>
  <si>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</si>
  <si>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</si>
  <si>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</si>
  <si>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</si>
  <si>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</si>
  <si>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</si>
  <si>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</si>
  <si>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</si>
  <si>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</si>
  <si>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</si>
  <si>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</si>
  <si>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</si>
  <si>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</si>
  <si>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</si>
  <si>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</si>
  <si>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</si>
  <si>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</si>
  <si>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</si>
  <si>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</si>
  <si>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</si>
  <si>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</si>
  <si>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</si>
  <si>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</si>
  <si>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</si>
  <si>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</si>
  <si>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</si>
  <si>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</si>
  <si>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</si>
  <si>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</si>
  <si>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</si>
  <si>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</si>
  <si>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</si>
  <si>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</si>
  <si>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</si>
  <si>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</si>
  <si>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</si>
  <si>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</si>
  <si>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</si>
  <si>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</si>
  <si>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</si>
  <si>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</si>
  <si>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</si>
  <si>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</si>
  <si>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</si>
  <si>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</si>
  <si>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</si>
  <si>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</si>
  <si>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</si>
  <si>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</si>
  <si>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</si>
  <si>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</si>
  <si>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</si>
  <si>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</si>
  <si>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</si>
  <si>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</si>
  <si>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</si>
  <si>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</si>
  <si>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</si>
  <si>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</si>
  <si>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</si>
  <si>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</si>
  <si>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</si>
  <si>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</si>
  <si>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</si>
  <si>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</si>
  <si>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</si>
  <si>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</si>
  <si>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</si>
  <si>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</si>
  <si>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</si>
  <si>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</si>
  <si>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</si>
  <si>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</si>
  <si>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</si>
  <si>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</si>
  <si>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</si>
  <si>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</si>
  <si>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</si>
  <si>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</si>
  <si>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</si>
  <si>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</si>
  <si>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</si>
  <si>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</si>
  <si>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</si>
  <si>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</si>
  <si>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</si>
  <si>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</si>
  <si>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</si>
  <si>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</si>
  <si>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</si>
  <si>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</si>
  <si>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</si>
  <si>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</si>
  <si>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</si>
  <si>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</si>
  <si>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</si>
  <si>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</si>
  <si>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</si>
  <si>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</si>
  <si>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</si>
  <si>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</si>
  <si>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</si>
  <si>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</si>
  <si>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</si>
  <si>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</si>
  <si>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</si>
  <si>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</si>
  <si>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</si>
  <si>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</si>
  <si>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</si>
  <si>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</si>
  <si>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</si>
  <si>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</si>
  <si>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</si>
  <si>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</si>
  <si>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</si>
  <si>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</si>
  <si>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</si>
  <si>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</si>
  <si>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</si>
  <si>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</si>
  <si>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</si>
  <si>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</si>
  <si>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</si>
  <si>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</si>
  <si>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</si>
  <si>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</si>
  <si>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</si>
  <si>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</si>
  <si>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</si>
  <si>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</si>
  <si>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</si>
  <si>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</si>
  <si>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</si>
  <si>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</si>
  <si>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</si>
  <si>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</si>
  <si>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</si>
  <si>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</si>
  <si>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</si>
  <si>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</si>
  <si>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</si>
  <si>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</si>
  <si>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</si>
  <si>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</si>
  <si>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</si>
  <si>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</si>
  <si>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</si>
  <si>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</si>
  <si>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</si>
  <si>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</si>
  <si>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</si>
  <si>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</si>
  <si>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</si>
  <si>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</si>
  <si>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</si>
  <si>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</si>
  <si>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</si>
  <si>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</si>
  <si>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</si>
  <si>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</si>
  <si>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</si>
  <si>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</si>
  <si>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</si>
  <si>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</si>
  <si>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</si>
  <si>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</si>
  <si>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</si>
  <si>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</si>
  <si>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</si>
  <si>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</si>
  <si>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</si>
  <si>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</si>
  <si>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</si>
  <si>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</si>
  <si>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</si>
  <si>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</si>
  <si>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</si>
  <si>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</si>
  <si>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</si>
  <si>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</si>
  <si>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</si>
  <si>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</si>
  <si>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</si>
  <si>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</si>
  <si>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</si>
  <si>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</si>
  <si>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</si>
  <si>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</si>
  <si>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</si>
  <si>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</si>
  <si>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</si>
  <si>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</si>
  <si>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</si>
  <si>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</si>
  <si>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</si>
  <si>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</si>
  <si>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</si>
  <si>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</si>
  <si>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</si>
  <si>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</si>
  <si>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</si>
  <si>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</si>
  <si>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</si>
  <si>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</si>
  <si>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</si>
  <si>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</si>
  <si>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</si>
  <si>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</si>
  <si>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</si>
  <si>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</si>
  <si>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</si>
  <si>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</si>
  <si>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</si>
  <si>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</si>
  <si>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</si>
  <si>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</si>
  <si>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</si>
  <si>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</si>
  <si>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</si>
  <si>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</si>
  <si>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</si>
  <si>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</si>
  <si>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</si>
  <si>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</si>
  <si>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</si>
  <si>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</si>
  <si>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</si>
  <si>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</si>
  <si>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</si>
  <si>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</si>
  <si>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</si>
  <si>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</si>
  <si>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</si>
  <si>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</si>
  <si>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</si>
  <si>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</si>
  <si>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</si>
  <si>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</si>
  <si>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</si>
  <si>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</si>
  <si>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</si>
  <si>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</si>
  <si>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</si>
  <si>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</si>
  <si>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</si>
  <si>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</si>
  <si>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</si>
  <si>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</si>
  <si>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</si>
  <si>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</si>
  <si>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</si>
  <si>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</si>
  <si>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</si>
  <si>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</si>
  <si>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</si>
  <si>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</si>
  <si>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</si>
  <si>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</si>
  <si>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</si>
  <si>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</si>
  <si>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</si>
  <si>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</si>
  <si>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</si>
  <si>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</si>
  <si>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</si>
  <si>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</si>
  <si>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</si>
  <si>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</si>
  <si>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</si>
  <si>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</si>
  <si>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</si>
  <si>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</si>
  <si>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</si>
  <si>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</si>
  <si>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</si>
  <si>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</si>
  <si>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</si>
  <si>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</si>
  <si>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</si>
  <si>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</si>
  <si>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</si>
  <si>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</si>
  <si>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</si>
  <si>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</si>
  <si>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</si>
  <si>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</si>
  <si>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</si>
  <si>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</si>
  <si>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</si>
  <si>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</si>
  <si>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</si>
  <si>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</si>
  <si>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</si>
  <si>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</si>
  <si>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</si>
  <si>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</si>
  <si>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</si>
  <si>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</si>
  <si>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</si>
  <si>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</si>
  <si>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</si>
  <si>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</si>
  <si>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</si>
  <si>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</si>
  <si>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</si>
  <si>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</si>
  <si>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</si>
  <si>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</si>
  <si>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</si>
  <si>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</si>
  <si>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</si>
  <si>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</si>
  <si>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</si>
  <si>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</si>
  <si>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</si>
  <si>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</si>
  <si>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</si>
  <si>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</si>
  <si>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</si>
  <si>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</si>
  <si>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</si>
  <si>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</si>
  <si>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</si>
  <si>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</si>
  <si>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</si>
  <si>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</si>
  <si>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</si>
  <si>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</si>
  <si>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</si>
  <si>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</si>
  <si>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</si>
  <si>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</si>
  <si>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</si>
  <si>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</si>
  <si>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</si>
  <si>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</si>
  <si>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</si>
  <si>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</si>
  <si>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</si>
  <si>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</si>
  <si>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</si>
  <si>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</si>
  <si>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</si>
  <si>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</si>
  <si>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</si>
  <si>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</si>
  <si>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</si>
  <si>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</si>
  <si>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</si>
  <si>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</si>
  <si>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</si>
  <si>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</si>
  <si>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</si>
  <si>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</si>
  <si>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</si>
  <si>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</si>
  <si>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</si>
  <si>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</si>
  <si>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</si>
  <si>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</si>
  <si>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</si>
  <si>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</si>
  <si>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</si>
  <si>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</si>
  <si>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</si>
  <si>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</si>
  <si>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</si>
  <si>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</si>
  <si>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</si>
  <si>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</si>
  <si>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</si>
  <si>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</si>
  <si>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</si>
  <si>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</si>
  <si>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</si>
  <si>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</si>
  <si>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</si>
  <si>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</si>
  <si>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</si>
  <si>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</si>
  <si>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</si>
  <si>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</si>
  <si>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</si>
  <si>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</si>
  <si>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</si>
  <si>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</si>
  <si>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</si>
  <si>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</si>
  <si>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</si>
  <si>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</si>
  <si>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</si>
  <si>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</si>
  <si>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</si>
  <si>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</si>
  <si>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</si>
  <si>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</si>
  <si>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</si>
  <si>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</si>
  <si>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</si>
  <si>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</si>
  <si>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</si>
  <si>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</si>
  <si>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</si>
  <si>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</si>
  <si>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</si>
  <si>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</si>
  <si>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</si>
  <si>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</si>
  <si>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</si>
  <si>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</si>
  <si>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</si>
  <si>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</si>
  <si>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</si>
  <si>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</si>
  <si>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</si>
  <si>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</si>
  <si>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</si>
  <si>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</si>
  <si>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</si>
  <si>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</si>
  <si>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</si>
  <si>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</si>
  <si>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</si>
  <si>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</si>
  <si>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</si>
  <si>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</si>
  <si>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</si>
  <si>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</si>
  <si>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</si>
  <si>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</si>
  <si>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</si>
  <si>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</si>
  <si>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</si>
  <si>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</si>
  <si>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</si>
  <si>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</si>
  <si>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</si>
  <si>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</si>
  <si>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</si>
  <si>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</si>
  <si>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</si>
  <si>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</si>
  <si>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</si>
  <si>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</si>
  <si>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</si>
  <si>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</si>
  <si>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</si>
  <si>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</si>
  <si>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</si>
  <si>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</si>
  <si>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</si>
  <si>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</si>
  <si>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</si>
  <si>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</si>
  <si>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</si>
  <si>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</si>
  <si>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</si>
  <si>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</si>
  <si>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</si>
  <si>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</si>
  <si>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</si>
  <si>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</si>
  <si>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</si>
  <si>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</si>
  <si>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</si>
  <si>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</si>
  <si>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</si>
  <si>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</si>
  <si>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</si>
  <si>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</si>
  <si>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</si>
  <si>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</si>
  <si>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</si>
  <si>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</si>
  <si>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</si>
  <si>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</si>
  <si>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</si>
  <si>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</si>
  <si>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</si>
  <si>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</si>
  <si>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</si>
  <si>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</si>
  <si>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</si>
  <si>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</si>
  <si>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</si>
  <si>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</si>
  <si>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</si>
  <si>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</si>
  <si>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</si>
  <si>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</si>
  <si>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</si>
  <si>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</si>
  <si>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</si>
  <si>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</si>
  <si>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</si>
  <si>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</si>
  <si>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</si>
  <si>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</si>
  <si>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</si>
  <si>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</si>
  <si>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</si>
  <si>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</si>
  <si>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</si>
  <si>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</si>
  <si>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</si>
  <si>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</si>
  <si>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</si>
  <si>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</si>
  <si>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</si>
  <si>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</si>
  <si>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</si>
  <si>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</si>
  <si>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</si>
  <si>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</si>
  <si>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</si>
  <si>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</si>
  <si>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</si>
  <si>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</si>
  <si>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</si>
  <si>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</si>
  <si>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</si>
  <si>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</si>
  <si>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</si>
  <si>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</si>
  <si>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</si>
  <si>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</si>
  <si>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</si>
  <si>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</si>
  <si>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</si>
  <si>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</si>
  <si>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</si>
  <si>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</si>
  <si>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</si>
  <si>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</si>
  <si>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</si>
  <si>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</si>
  <si>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</si>
  <si>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</si>
  <si>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</si>
  <si>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</si>
  <si>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</si>
  <si>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</si>
  <si>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</si>
  <si>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</si>
  <si>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</si>
  <si>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</si>
  <si>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</si>
  <si>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</si>
  <si>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</si>
  <si>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</si>
  <si>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</si>
  <si>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</si>
  <si>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</si>
  <si>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</si>
  <si>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</si>
  <si>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</si>
  <si>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</si>
  <si>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</si>
  <si>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</si>
  <si>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</si>
  <si>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</si>
  <si>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</si>
  <si>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</si>
  <si>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</si>
  <si>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</si>
  <si>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</si>
  <si>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</si>
  <si>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</si>
  <si>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</si>
  <si>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</si>
  <si>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</si>
  <si>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</si>
  <si>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</si>
  <si>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</si>
  <si>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</si>
  <si>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</si>
  <si>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</si>
  <si>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</si>
  <si>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</si>
  <si>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</si>
  <si>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</si>
  <si>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</si>
  <si>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</si>
  <si>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</si>
  <si>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</si>
  <si>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</si>
  <si>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</si>
  <si>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</si>
  <si>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</si>
  <si>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</si>
  <si>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</si>
  <si>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</si>
  <si>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</si>
  <si>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</si>
  <si>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</si>
  <si>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</si>
  <si>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</si>
  <si>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</si>
  <si>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</si>
  <si>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</si>
  <si>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</si>
  <si>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</si>
  <si>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</si>
  <si>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</si>
  <si>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</si>
  <si>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</si>
  <si>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</si>
  <si>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</si>
  <si>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</si>
  <si>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</si>
  <si>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</si>
  <si>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</si>
  <si>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</si>
  <si>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</si>
  <si>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</si>
  <si>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</si>
  <si>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</si>
  <si>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</si>
  <si>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</si>
  <si>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</si>
  <si>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</si>
  <si>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</si>
  <si>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</si>
  <si>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</si>
  <si>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</si>
  <si>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</si>
  <si>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</si>
  <si>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</si>
  <si>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</si>
  <si>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</si>
  <si>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</si>
  <si>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</si>
  <si>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</si>
  <si>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</si>
  <si>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</si>
  <si>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</si>
  <si>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</si>
  <si>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</si>
  <si>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</si>
  <si>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</si>
  <si>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</si>
  <si>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</si>
  <si>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</si>
  <si>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</si>
  <si>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</si>
  <si>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</si>
  <si>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</si>
  <si>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</si>
  <si>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</si>
  <si>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</si>
  <si>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</si>
  <si>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</si>
  <si>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</si>
  <si>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</si>
  <si>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</si>
  <si>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</si>
  <si>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</si>
  <si>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</si>
  <si>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</si>
  <si>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</si>
  <si>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</si>
  <si>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</si>
  <si>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</si>
  <si>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</si>
  <si>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</si>
  <si>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</si>
  <si>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</si>
  <si>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</si>
  <si>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</si>
  <si>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</si>
  <si>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</si>
  <si>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</si>
  <si>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</si>
  <si>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</si>
  <si>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</si>
  <si>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</si>
  <si>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</si>
  <si>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</si>
  <si>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</si>
  <si>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</si>
  <si>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</si>
  <si>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</si>
  <si>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</si>
  <si>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</si>
  <si>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</si>
  <si>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</si>
  <si>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</si>
  <si>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</si>
  <si>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</si>
  <si>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</si>
  <si>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</si>
  <si>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</si>
  <si>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</si>
  <si>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</si>
  <si>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</si>
  <si>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</si>
  <si>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</si>
  <si>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</si>
  <si>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</si>
  <si>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</si>
  <si>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</si>
  <si>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</si>
  <si>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</si>
  <si>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</si>
  <si>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</si>
  <si>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</si>
  <si>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</si>
  <si>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</si>
  <si>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</si>
  <si>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</si>
  <si>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</si>
  <si>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</si>
  <si>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</si>
  <si>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</si>
  <si>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</si>
  <si>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</si>
  <si>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</si>
  <si>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</si>
  <si>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</si>
  <si>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</si>
  <si>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</si>
  <si>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</si>
  <si>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</si>
  <si>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</si>
  <si>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</si>
  <si>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</si>
  <si>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</si>
  <si>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</si>
  <si>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</si>
  <si>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</si>
  <si>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</si>
  <si>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</si>
  <si>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</si>
  <si>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</si>
  <si>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</si>
  <si>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</si>
  <si>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</si>
  <si>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</si>
  <si>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</si>
  <si>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</si>
  <si>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</si>
  <si>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</si>
  <si>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</si>
  <si>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</si>
  <si>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</si>
  <si>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</si>
  <si>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</si>
  <si>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</si>
  <si>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</si>
  <si>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</si>
  <si>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</si>
  <si>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</si>
  <si>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</si>
  <si>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</si>
  <si>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</si>
  <si>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</si>
  <si>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</si>
  <si>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</si>
  <si>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</si>
  <si>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</si>
  <si>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</si>
  <si>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</si>
  <si>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</si>
  <si>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</si>
  <si>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</si>
  <si>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</si>
  <si>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</si>
  <si>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</si>
  <si>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</si>
  <si>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</si>
  <si>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</si>
  <si>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</si>
  <si>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</si>
  <si>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</si>
  <si>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</si>
  <si>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</si>
  <si>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</si>
  <si>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</si>
  <si>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</si>
  <si>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</si>
  <si>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</si>
  <si>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</si>
  <si>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</si>
  <si>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</si>
  <si>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</si>
  <si>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</si>
  <si>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</si>
  <si>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</si>
  <si>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</si>
  <si>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</si>
  <si>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</si>
  <si>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</si>
  <si>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</si>
  <si>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</si>
  <si>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</si>
  <si>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</si>
  <si>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</si>
  <si>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</si>
  <si>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</si>
  <si>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</si>
  <si>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</si>
  <si>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</si>
  <si>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</si>
  <si>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</si>
  <si>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</si>
  <si>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</si>
  <si>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</si>
  <si>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</si>
  <si>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</si>
  <si>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</si>
  <si>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</si>
  <si>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</si>
  <si>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</si>
  <si>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</si>
  <si>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</si>
  <si>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</si>
  <si>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</si>
  <si>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</si>
  <si>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</si>
  <si>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</si>
  <si>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</si>
  <si>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</si>
  <si>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</si>
  <si>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</si>
  <si>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</si>
  <si>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</si>
  <si>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</si>
  <si>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</si>
  <si>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</si>
  <si>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</si>
  <si>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</si>
  <si>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</si>
  <si>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</si>
  <si>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</si>
  <si>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</si>
  <si>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</si>
  <si>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</si>
  <si>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</si>
  <si>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</si>
  <si>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</si>
  <si>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</si>
  <si>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</si>
  <si>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</si>
  <si>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</si>
  <si>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</si>
  <si>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</si>
  <si>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</si>
  <si>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</si>
  <si>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</si>
  <si>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</si>
  <si>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</si>
  <si>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</si>
  <si>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</si>
  <si>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</si>
  <si>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</si>
  <si>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</si>
  <si>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</si>
  <si>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</si>
  <si>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</si>
  <si>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</si>
  <si>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</si>
  <si>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</si>
  <si>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</si>
  <si>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</si>
  <si>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</si>
  <si>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</si>
  <si>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</si>
  <si>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</si>
  <si>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</si>
  <si>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</si>
  <si>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</si>
  <si>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</si>
  <si>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</si>
  <si>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</si>
  <si>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</si>
  <si>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</si>
  <si>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</si>
  <si>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</si>
  <si>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</si>
  <si>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</si>
  <si>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</si>
  <si>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</si>
  <si>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</si>
  <si>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</si>
  <si>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</si>
  <si>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</si>
  <si>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</si>
  <si>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</si>
  <si>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</si>
  <si>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</si>
  <si>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</si>
  <si>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</si>
  <si>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</si>
  <si>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</si>
  <si>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</si>
  <si>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</si>
  <si>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</si>
  <si>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</si>
  <si>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</si>
  <si>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</si>
  <si>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</si>
  <si>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</si>
  <si>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</si>
  <si>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</si>
  <si>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</si>
  <si>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</si>
  <si>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</si>
  <si>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</si>
  <si>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</si>
  <si>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</si>
  <si>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</si>
  <si>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</si>
  <si>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</si>
  <si>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</si>
  <si>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</si>
  <si>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</si>
  <si>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</si>
  <si>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</si>
  <si>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</si>
  <si>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</si>
  <si>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</si>
  <si>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</si>
  <si>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</si>
  <si>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</si>
  <si>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</si>
  <si>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</si>
  <si>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</si>
  <si>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</si>
  <si>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</si>
  <si>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</si>
  <si>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</si>
  <si>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</si>
  <si>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</si>
  <si>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</si>
  <si>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</si>
  <si>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</si>
  <si>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</si>
  <si>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</si>
  <si>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</si>
  <si>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</si>
  <si>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</si>
  <si>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</si>
  <si>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</si>
  <si>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</si>
  <si>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</si>
  <si>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</si>
  <si>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</si>
  <si>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</si>
  <si>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</si>
  <si>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</si>
  <si>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</si>
  <si>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</si>
  <si>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</si>
  <si>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</si>
  <si>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</si>
  <si>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</si>
  <si>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</si>
  <si>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</si>
  <si>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</si>
  <si>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</si>
  <si>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</si>
  <si>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</si>
  <si>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</si>
  <si>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</si>
  <si>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</si>
  <si>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</si>
  <si>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</si>
  <si>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</si>
  <si>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</si>
  <si>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</si>
  <si>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</si>
  <si>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</si>
  <si>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</si>
  <si>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</si>
  <si>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</si>
  <si>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</si>
  <si>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</si>
  <si>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</si>
  <si>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</si>
  <si>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</si>
  <si>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</si>
  <si>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</si>
  <si>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</si>
  <si>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</si>
  <si>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</si>
  <si>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</si>
  <si>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</si>
  <si>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</si>
  <si>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</si>
  <si>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</si>
  <si>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</si>
  <si>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</si>
  <si>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</si>
  <si>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</si>
  <si>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</si>
  <si>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</si>
  <si>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</si>
  <si>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</si>
  <si>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</si>
  <si>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</si>
  <si>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</si>
  <si>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</si>
  <si>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</si>
  <si>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</si>
  <si>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</si>
  <si>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</si>
  <si>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</si>
  <si>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</si>
  <si>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</si>
  <si>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</si>
  <si>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</si>
  <si>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</si>
  <si>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</si>
  <si>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</si>
  <si>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</si>
  <si>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</si>
  <si>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</si>
  <si>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</si>
  <si>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</si>
  <si>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</si>
  <si>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</si>
  <si>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</si>
  <si>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</si>
  <si>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</si>
  <si>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</si>
  <si>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</si>
  <si>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</si>
  <si>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</si>
  <si>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</si>
  <si>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</si>
  <si>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</si>
  <si>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</si>
  <si>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</si>
  <si>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</si>
  <si>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</si>
  <si>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</si>
  <si>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</si>
  <si>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</si>
  <si>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</si>
  <si>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</si>
  <si>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</si>
  <si>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</si>
  <si>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</si>
  <si>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</si>
  <si>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</si>
  <si>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</si>
  <si>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</si>
  <si>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</si>
  <si>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</si>
  <si>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</si>
  <si>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</si>
  <si>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</si>
  <si>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</si>
  <si>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</si>
  <si>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</si>
  <si>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</si>
  <si>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</si>
  <si>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</si>
  <si>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</si>
  <si>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</si>
  <si>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</si>
  <si>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</si>
  <si>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</si>
  <si>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</si>
  <si>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</si>
  <si>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</si>
  <si>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</si>
  <si>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</si>
  <si>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</si>
  <si>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</si>
  <si>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</si>
  <si>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</si>
  <si>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</si>
  <si>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</si>
  <si>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</si>
  <si>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</si>
  <si>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</si>
  <si>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</si>
  <si>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</si>
  <si>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</si>
  <si>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</si>
  <si>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</si>
  <si>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</si>
  <si>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</si>
  <si>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</si>
  <si>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</si>
  <si>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</si>
  <si>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</si>
  <si>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</si>
  <si>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</si>
  <si>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</si>
  <si>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</si>
  <si>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</si>
  <si>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</si>
  <si>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</si>
  <si>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</si>
  <si>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</si>
  <si>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</si>
  <si>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</si>
  <si>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</si>
  <si>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</si>
  <si>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</si>
  <si>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</si>
  <si>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</si>
  <si>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</si>
  <si>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</si>
  <si>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</si>
  <si>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</si>
  <si>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</si>
  <si>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</si>
  <si>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</si>
  <si>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</si>
  <si>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</si>
  <si>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</si>
  <si>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</si>
  <si>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</si>
  <si>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</si>
  <si>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</si>
  <si>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</si>
  <si>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</si>
  <si>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</si>
  <si>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</si>
  <si>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</si>
  <si>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</si>
  <si>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</si>
  <si>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924</t>
  </si>
  <si>
    <t>Vest Seattle, LLC dba Smokey Point Behavioral Hospital</t>
  </si>
  <si>
    <t>3955 156th Ave NE</t>
  </si>
  <si>
    <t>Marysville WA 98271</t>
  </si>
  <si>
    <t>Snohomish</t>
  </si>
  <si>
    <t>Christopher Burke</t>
  </si>
  <si>
    <t>Teresa Logsdon</t>
  </si>
  <si>
    <t>Dr. Richard Kresch</t>
  </si>
  <si>
    <t>360-651-6400 x5987</t>
  </si>
  <si>
    <t>1/17</t>
  </si>
  <si>
    <t>Vest Seattle, LLC</t>
  </si>
  <si>
    <t xml:space="preserve">3955 156th Street NE </t>
  </si>
  <si>
    <t>Marysville, WA  98271</t>
  </si>
  <si>
    <t>Richard Kresch</t>
  </si>
  <si>
    <t>360-651-6400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</si>
</sst>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288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8" fontId="10" fillId="4" borderId="1" xfId="0" applyNumberFormat="1" applyFont="1" applyFill="1" applyBorder="1" applyAlignment="1" applyProtection="1">
      <alignment horizontal="right"/>
      <protection locked="0"/>
    </xf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 xr:uid="{00000000-0005-0000-0000-000001000000}"/>
    <cellStyle name="Hyperlink" xfId="2" builtinId="8"/>
    <cellStyle name="Normal" xfId="0" builtinId="0"/>
    <cellStyle name="Normal 11" xfId="4" xr:uid="{00000000-0005-0000-0000-000004000000}"/>
    <cellStyle name="Normal 557" xfId="6" xr:uid="{00000000-0005-0000-0000-000005000000}"/>
    <cellStyle name="Normal 561" xfId="7" xr:uid="{00000000-0005-0000-0000-000006000000}"/>
    <cellStyle name="Normal 568" xfId="8" xr:uid="{00000000-0005-0000-0000-000007000000}"/>
    <cellStyle name="Normal 576" xfId="10" xr:uid="{00000000-0005-0000-0000-000008000000}"/>
    <cellStyle name="Percent" xfId="3" builtinId="5"/>
    <cellStyle name="Percent 460" xfId="5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CD70" sqref="CD7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5" width="11.75" style="180"/>
    <col min="6" max="7" width="11.75" style="180" customWidth="1"/>
    <col min="8" max="9" width="11.75" style="180"/>
    <col min="10" max="20" width="11.75" style="180" customWidth="1"/>
    <col min="21" max="21" width="11.75" style="180"/>
    <col min="22" max="24" width="11.75" style="180" customWidth="1"/>
    <col min="25" max="25" width="11.75" style="180"/>
    <col min="26" max="27" width="11.75" style="180" customWidth="1"/>
    <col min="28" max="28" width="11.75" style="180"/>
    <col min="29" max="38" width="11.75" style="180" customWidth="1"/>
    <col min="39" max="39" width="11.75" style="180"/>
    <col min="40" max="46" width="11.75" style="180" customWidth="1"/>
    <col min="47" max="47" width="11.75" style="180"/>
    <col min="48" max="50" width="11.75" style="180" customWidth="1"/>
    <col min="51" max="51" width="11.75" style="180"/>
    <col min="52" max="52" width="11.75" style="180" customWidth="1"/>
    <col min="53" max="54" width="11.75" style="180"/>
    <col min="55" max="56" width="11.75" style="180" customWidth="1"/>
    <col min="57" max="68" width="11.75" style="180"/>
    <col min="69" max="69" width="11.75" style="180" customWidth="1"/>
    <col min="70" max="70" width="11.75" style="180"/>
    <col min="71" max="73" width="11.75" style="180" customWidth="1"/>
    <col min="74" max="77" width="11.75" style="180"/>
    <col min="78" max="81" width="11.75" style="180" customWidth="1"/>
    <col min="82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f>CE47</f>
        <v>1150558</v>
      </c>
      <c r="C47" s="184"/>
      <c r="D47" s="184"/>
      <c r="E47" s="184"/>
      <c r="F47" s="184"/>
      <c r="G47" s="184"/>
      <c r="H47" s="184">
        <f>73885+126269+93934+78129+15866+693+5480</f>
        <v>394256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>
        <v>159</v>
      </c>
      <c r="AC47" s="184"/>
      <c r="AD47" s="184"/>
      <c r="AE47" s="184"/>
      <c r="AF47" s="184"/>
      <c r="AG47" s="184"/>
      <c r="AH47" s="184"/>
      <c r="AI47" s="184"/>
      <c r="AJ47" s="184">
        <f>10424+5653</f>
        <v>16077</v>
      </c>
      <c r="AK47" s="184"/>
      <c r="AL47" s="184"/>
      <c r="AM47" s="184">
        <v>21510</v>
      </c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30942</v>
      </c>
      <c r="AZ47" s="184"/>
      <c r="BA47" s="184"/>
      <c r="BB47" s="184">
        <v>92515</v>
      </c>
      <c r="BC47" s="184"/>
      <c r="BD47" s="184"/>
      <c r="BE47" s="184">
        <v>14977</v>
      </c>
      <c r="BF47" s="184">
        <v>15263</v>
      </c>
      <c r="BG47" s="184">
        <v>9503</v>
      </c>
      <c r="BH47" s="184">
        <v>3789</v>
      </c>
      <c r="BI47" s="184"/>
      <c r="BJ47" s="184">
        <v>19424</v>
      </c>
      <c r="BK47" s="184">
        <f>19881+3474</f>
        <v>23355</v>
      </c>
      <c r="BL47" s="184">
        <v>91914</v>
      </c>
      <c r="BM47" s="184"/>
      <c r="BN47" s="184">
        <v>31159</v>
      </c>
      <c r="BO47" s="184"/>
      <c r="BP47" s="184">
        <v>28885</v>
      </c>
      <c r="BQ47" s="184"/>
      <c r="BR47" s="184">
        <f>1578923-1573456</f>
        <v>5467</v>
      </c>
      <c r="BS47" s="184"/>
      <c r="BT47" s="184"/>
      <c r="BU47" s="184"/>
      <c r="BV47" s="184">
        <v>20520</v>
      </c>
      <c r="BW47" s="184">
        <v>173248</v>
      </c>
      <c r="BX47" s="184">
        <v>29549</v>
      </c>
      <c r="BY47" s="184">
        <f>104563+19895+3588</f>
        <v>128046</v>
      </c>
      <c r="BZ47" s="184"/>
      <c r="CA47" s="184"/>
      <c r="CB47" s="184"/>
      <c r="CC47" s="184"/>
      <c r="CD47" s="195"/>
      <c r="CE47" s="195">
        <f>SUM(C47:CC47)</f>
        <v>1150558</v>
      </c>
    </row>
    <row r="48" spans="1:83" ht="12.65" customHeight="1" x14ac:dyDescent="0.35">
      <c r="A48" s="175" t="s">
        <v>205</v>
      </c>
      <c r="B48" s="183">
        <f>1573456+3174+2031</f>
        <v>1578661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530562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69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23426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29940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42371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129861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20015</v>
      </c>
      <c r="BF48" s="195">
        <f>ROUND(((B48/CE61)*BF61),0)</f>
        <v>20029</v>
      </c>
      <c r="BG48" s="195">
        <f>ROUND(((B48/CE61)*BG61),0)</f>
        <v>12752</v>
      </c>
      <c r="BH48" s="195">
        <f>ROUND(((B48/CE61)*BH61),0)</f>
        <v>5996</v>
      </c>
      <c r="BI48" s="195">
        <f>ROUND(((B48/CE61)*BI61),0)</f>
        <v>0</v>
      </c>
      <c r="BJ48" s="195">
        <f>ROUND(((B48/CE61)*BJ61),0)</f>
        <v>25045</v>
      </c>
      <c r="BK48" s="195">
        <f>ROUND(((B48/CE61)*BK61),0)</f>
        <v>49487</v>
      </c>
      <c r="BL48" s="195">
        <f>ROUND(((B48/CE61)*BL61),0)</f>
        <v>135200</v>
      </c>
      <c r="BM48" s="195">
        <f>ROUND(((B48/CE61)*BM61),0)</f>
        <v>0</v>
      </c>
      <c r="BN48" s="195">
        <f>ROUND(((B48/CE61)*BN61),0)</f>
        <v>65752</v>
      </c>
      <c r="BO48" s="195">
        <f>ROUND(((B48/CE61)*BO61),0)</f>
        <v>0</v>
      </c>
      <c r="BP48" s="195">
        <f>ROUND(((B48/CE61)*BP61),0)</f>
        <v>41360</v>
      </c>
      <c r="BQ48" s="195">
        <f>ROUND(((B48/CE61)*BQ61),0)</f>
        <v>0</v>
      </c>
      <c r="BR48" s="195">
        <f>ROUND(((B48/CE61)*BR61),0)</f>
        <v>11563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30086</v>
      </c>
      <c r="BW48" s="195">
        <f>ROUND(((B48/CE61)*BW61),0)</f>
        <v>174136</v>
      </c>
      <c r="BX48" s="195">
        <f>ROUND(((B48/CE61)*BX61),0)</f>
        <v>40477</v>
      </c>
      <c r="BY48" s="195">
        <f>ROUND(((B48/CE61)*BY61),0)</f>
        <v>190536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1578663</v>
      </c>
    </row>
    <row r="49" spans="1:84" ht="12.65" customHeight="1" x14ac:dyDescent="0.35">
      <c r="A49" s="175" t="s">
        <v>206</v>
      </c>
      <c r="B49" s="195">
        <f>B47+B48</f>
        <v>2729219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3">
        <f>CE51</f>
        <v>2132546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>
        <f>1014744+829667+288135</f>
        <v>2132546</v>
      </c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2132546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2132546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>
        <v>26836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>
        <v>2536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70913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/>
      <c r="D60" s="187"/>
      <c r="E60" s="187"/>
      <c r="F60" s="223"/>
      <c r="G60" s="187"/>
      <c r="H60" s="187">
        <f>161015/2080</f>
        <v>77.411057692307693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f>6190/2080</f>
        <v>2.9759615384615383</v>
      </c>
      <c r="AC60" s="221"/>
      <c r="AD60" s="221"/>
      <c r="AE60" s="221"/>
      <c r="AF60" s="221"/>
      <c r="AG60" s="221"/>
      <c r="AH60" s="221"/>
      <c r="AI60" s="221"/>
      <c r="AJ60" s="221">
        <f>6343/2080</f>
        <v>3.0495192307692309</v>
      </c>
      <c r="AK60" s="221"/>
      <c r="AL60" s="221"/>
      <c r="AM60" s="221">
        <f>6890/2080</f>
        <v>3.3125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f>16139/2080</f>
        <v>7.7591346153846157</v>
      </c>
      <c r="AZ60" s="221"/>
      <c r="BA60" s="221"/>
      <c r="BB60" s="221">
        <f>34197/2080</f>
        <v>16.440865384615385</v>
      </c>
      <c r="BC60" s="221"/>
      <c r="BD60" s="221"/>
      <c r="BE60" s="221">
        <f>5956/2080</f>
        <v>2.8634615384615385</v>
      </c>
      <c r="BF60" s="221">
        <f>9487/2080</f>
        <v>4.561057692307692</v>
      </c>
      <c r="BG60" s="221">
        <f>6154/2080</f>
        <v>2.9586538461538461</v>
      </c>
      <c r="BH60" s="221">
        <f>1424/2080</f>
        <v>0.68461538461538463</v>
      </c>
      <c r="BI60" s="221"/>
      <c r="BJ60" s="221">
        <f>4438/2080</f>
        <v>2.1336538461538463</v>
      </c>
      <c r="BK60" s="221">
        <f>15665/2080</f>
        <v>7.53125</v>
      </c>
      <c r="BL60" s="221">
        <f>25968/2080</f>
        <v>12.484615384615385</v>
      </c>
      <c r="BM60" s="221"/>
      <c r="BN60" s="221">
        <f>4991/2080+6189/2080</f>
        <v>5.375</v>
      </c>
      <c r="BO60" s="221"/>
      <c r="BP60" s="221">
        <f>7276/2080</f>
        <v>3.4980769230769231</v>
      </c>
      <c r="BQ60" s="221"/>
      <c r="BR60" s="221">
        <f>3327/2080</f>
        <v>1.5995192307692307</v>
      </c>
      <c r="BS60" s="221"/>
      <c r="BT60" s="221"/>
      <c r="BU60" s="221"/>
      <c r="BV60" s="221">
        <f>7640/2080</f>
        <v>3.6730769230769229</v>
      </c>
      <c r="BW60" s="221">
        <f>8763/2080</f>
        <v>4.2129807692307688</v>
      </c>
      <c r="BX60" s="221">
        <f>10592/2080</f>
        <v>5.092307692307692</v>
      </c>
      <c r="BY60" s="221">
        <f>20571/2080</f>
        <v>9.889903846153846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177.50721153846155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>
        <f>827169+1418994+1074278+889265+147680-31793+73222</f>
        <v>4398815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570</v>
      </c>
      <c r="AC61" s="185"/>
      <c r="AD61" s="185"/>
      <c r="AE61" s="185"/>
      <c r="AF61" s="185"/>
      <c r="AG61" s="185"/>
      <c r="AH61" s="185"/>
      <c r="AI61" s="185"/>
      <c r="AJ61" s="185">
        <f>127888+66335</f>
        <v>194223</v>
      </c>
      <c r="AK61" s="185"/>
      <c r="AL61" s="185"/>
      <c r="AM61" s="185">
        <v>248226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351294</v>
      </c>
      <c r="AZ61" s="185"/>
      <c r="BA61" s="185"/>
      <c r="BB61" s="185">
        <v>1076660</v>
      </c>
      <c r="BC61" s="185"/>
      <c r="BD61" s="185"/>
      <c r="BE61" s="185">
        <v>165939</v>
      </c>
      <c r="BF61" s="185">
        <v>166055</v>
      </c>
      <c r="BG61" s="185">
        <v>105724</v>
      </c>
      <c r="BH61" s="185">
        <f>49709</f>
        <v>49709</v>
      </c>
      <c r="BI61" s="185"/>
      <c r="BJ61" s="185">
        <v>207646</v>
      </c>
      <c r="BK61" s="185">
        <f>359326+50965</f>
        <v>410291</v>
      </c>
      <c r="BL61" s="185">
        <v>1120923</v>
      </c>
      <c r="BM61" s="185"/>
      <c r="BN61" s="185">
        <f>546988-1846</f>
        <v>545142</v>
      </c>
      <c r="BO61" s="185"/>
      <c r="BP61" s="185">
        <v>342909</v>
      </c>
      <c r="BQ61" s="185"/>
      <c r="BR61" s="185">
        <v>95864</v>
      </c>
      <c r="BS61" s="185"/>
      <c r="BT61" s="185"/>
      <c r="BU61" s="185"/>
      <c r="BV61" s="185">
        <v>249437</v>
      </c>
      <c r="BW61" s="185">
        <v>1443737</v>
      </c>
      <c r="BX61" s="185">
        <v>335592</v>
      </c>
      <c r="BY61" s="185">
        <f>36859+1263723+34947+219152+25024</f>
        <v>1579705</v>
      </c>
      <c r="BZ61" s="185"/>
      <c r="CA61" s="185"/>
      <c r="CB61" s="185"/>
      <c r="CC61" s="185"/>
      <c r="CD61" s="249" t="s">
        <v>221</v>
      </c>
      <c r="CE61" s="195">
        <f t="shared" si="0"/>
        <v>13088461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924818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228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39503</v>
      </c>
      <c r="AK62" s="195">
        <f t="shared" si="1"/>
        <v>0</v>
      </c>
      <c r="AL62" s="195">
        <f t="shared" si="1"/>
        <v>0</v>
      </c>
      <c r="AM62" s="195">
        <f t="shared" si="1"/>
        <v>51450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73313</v>
      </c>
      <c r="AZ62" s="195">
        <f>ROUND(AZ47+AZ48,0)</f>
        <v>0</v>
      </c>
      <c r="BA62" s="195">
        <f>ROUND(BA47+BA48,0)</f>
        <v>0</v>
      </c>
      <c r="BB62" s="195">
        <f t="shared" si="1"/>
        <v>222376</v>
      </c>
      <c r="BC62" s="195">
        <f t="shared" si="1"/>
        <v>0</v>
      </c>
      <c r="BD62" s="195">
        <f t="shared" si="1"/>
        <v>0</v>
      </c>
      <c r="BE62" s="195">
        <f t="shared" si="1"/>
        <v>34992</v>
      </c>
      <c r="BF62" s="195">
        <f t="shared" si="1"/>
        <v>35292</v>
      </c>
      <c r="BG62" s="195">
        <f t="shared" si="1"/>
        <v>22255</v>
      </c>
      <c r="BH62" s="195">
        <f t="shared" si="1"/>
        <v>9785</v>
      </c>
      <c r="BI62" s="195">
        <f t="shared" si="1"/>
        <v>0</v>
      </c>
      <c r="BJ62" s="195">
        <f t="shared" si="1"/>
        <v>44469</v>
      </c>
      <c r="BK62" s="195">
        <f t="shared" si="1"/>
        <v>72842</v>
      </c>
      <c r="BL62" s="195">
        <f t="shared" si="1"/>
        <v>227114</v>
      </c>
      <c r="BM62" s="195">
        <f t="shared" si="1"/>
        <v>0</v>
      </c>
      <c r="BN62" s="195">
        <f t="shared" si="1"/>
        <v>96911</v>
      </c>
      <c r="BO62" s="195">
        <f t="shared" ref="BO62:CC62" si="2">ROUND(BO47+BO48,0)</f>
        <v>0</v>
      </c>
      <c r="BP62" s="195">
        <f t="shared" si="2"/>
        <v>70245</v>
      </c>
      <c r="BQ62" s="195">
        <f t="shared" si="2"/>
        <v>0</v>
      </c>
      <c r="BR62" s="195">
        <f t="shared" si="2"/>
        <v>17030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50606</v>
      </c>
      <c r="BW62" s="195">
        <f t="shared" si="2"/>
        <v>347384</v>
      </c>
      <c r="BX62" s="195">
        <f t="shared" si="2"/>
        <v>70026</v>
      </c>
      <c r="BY62" s="195">
        <f t="shared" si="2"/>
        <v>318582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2729221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>
        <v>0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>
        <f>2357.28+1826.02</f>
        <v>4183.3</v>
      </c>
      <c r="BF63" s="185"/>
      <c r="BG63" s="185"/>
      <c r="BH63" s="185"/>
      <c r="BI63" s="185"/>
      <c r="BJ63" s="185"/>
      <c r="BK63" s="185"/>
      <c r="BL63" s="185"/>
      <c r="BM63" s="185"/>
      <c r="BN63" s="185">
        <v>113613</v>
      </c>
      <c r="BO63" s="185"/>
      <c r="BP63" s="185"/>
      <c r="BQ63" s="185"/>
      <c r="BR63" s="185"/>
      <c r="BS63" s="185"/>
      <c r="BT63" s="185"/>
      <c r="BU63" s="185"/>
      <c r="BV63" s="185"/>
      <c r="BW63" s="185">
        <f>2968570-1443737-173248</f>
        <v>1351585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1469381.3</v>
      </c>
      <c r="CF63" s="252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>
        <f>790+44+156174</f>
        <v>157008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218227</v>
      </c>
      <c r="AC64" s="185"/>
      <c r="AD64" s="185"/>
      <c r="AE64" s="185"/>
      <c r="AF64" s="185"/>
      <c r="AG64" s="185"/>
      <c r="AH64" s="185"/>
      <c r="AI64" s="185"/>
      <c r="AJ64" s="185">
        <f>3654+656</f>
        <v>4310</v>
      </c>
      <c r="AK64" s="185"/>
      <c r="AL64" s="185"/>
      <c r="AM64" s="185">
        <v>10780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434555</v>
      </c>
      <c r="AZ64" s="185"/>
      <c r="BA64" s="185"/>
      <c r="BB64" s="185">
        <v>3707</v>
      </c>
      <c r="BC64" s="185"/>
      <c r="BD64" s="185"/>
      <c r="BE64" s="185">
        <v>28089</v>
      </c>
      <c r="BF64" s="185">
        <v>72759</v>
      </c>
      <c r="BG64" s="185">
        <v>233</v>
      </c>
      <c r="BH64" s="185">
        <v>13152</v>
      </c>
      <c r="BI64" s="185"/>
      <c r="BJ64" s="185">
        <v>9923</v>
      </c>
      <c r="BK64" s="185">
        <f>1994+2367</f>
        <v>4361</v>
      </c>
      <c r="BL64" s="185">
        <v>4517</v>
      </c>
      <c r="BM64" s="185"/>
      <c r="BN64" s="185">
        <v>2125</v>
      </c>
      <c r="BO64" s="185"/>
      <c r="BP64" s="185">
        <v>7386</v>
      </c>
      <c r="BQ64" s="185"/>
      <c r="BR64" s="185">
        <v>11102</v>
      </c>
      <c r="BS64" s="185"/>
      <c r="BT64" s="185"/>
      <c r="BU64" s="185"/>
      <c r="BV64" s="185">
        <v>12551</v>
      </c>
      <c r="BW64" s="185">
        <v>4940</v>
      </c>
      <c r="BX64" s="185">
        <v>1597</v>
      </c>
      <c r="BY64" s="185">
        <f>1061+19671</f>
        <v>20732</v>
      </c>
      <c r="BZ64" s="185"/>
      <c r="CA64" s="185"/>
      <c r="CB64" s="185"/>
      <c r="CC64" s="185"/>
      <c r="CD64" s="249" t="s">
        <v>221</v>
      </c>
      <c r="CE64" s="195">
        <f t="shared" si="0"/>
        <v>1022054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>
        <v>0</v>
      </c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256856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256856</v>
      </c>
      <c r="CF65" s="252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>
        <f>130421+508667+231726+353480+40704+31151</f>
        <v>1296149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79046</v>
      </c>
      <c r="V66" s="185"/>
      <c r="W66" s="185"/>
      <c r="X66" s="185"/>
      <c r="Y66" s="185">
        <v>27482</v>
      </c>
      <c r="Z66" s="185"/>
      <c r="AA66" s="185"/>
      <c r="AB66" s="185">
        <v>710516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>
        <v>29710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14626</v>
      </c>
      <c r="AZ66" s="185"/>
      <c r="BA66" s="185">
        <v>51083</v>
      </c>
      <c r="BB66" s="185">
        <v>137729</v>
      </c>
      <c r="BC66" s="185"/>
      <c r="BD66" s="185"/>
      <c r="BE66" s="185">
        <f>8888+300</f>
        <v>9188</v>
      </c>
      <c r="BF66" s="185"/>
      <c r="BG66" s="185">
        <v>8595</v>
      </c>
      <c r="BH66" s="185">
        <v>195976</v>
      </c>
      <c r="BI66" s="185"/>
      <c r="BJ66" s="185">
        <v>106500</v>
      </c>
      <c r="BK66" s="185">
        <v>87305</v>
      </c>
      <c r="BL66" s="185">
        <v>15616</v>
      </c>
      <c r="BM66" s="185"/>
      <c r="BN66" s="185">
        <v>66419</v>
      </c>
      <c r="BO66" s="185"/>
      <c r="BP66" s="185">
        <v>15099</v>
      </c>
      <c r="BQ66" s="185"/>
      <c r="BR66" s="185">
        <v>55232</v>
      </c>
      <c r="BS66" s="185"/>
      <c r="BT66" s="185"/>
      <c r="BU66" s="185"/>
      <c r="BV66" s="185">
        <v>104098</v>
      </c>
      <c r="BW66" s="185">
        <v>4207</v>
      </c>
      <c r="BX66" s="185"/>
      <c r="BY66" s="185">
        <f>36810+23041</f>
        <v>59851</v>
      </c>
      <c r="BZ66" s="185"/>
      <c r="CA66" s="185"/>
      <c r="CB66" s="185"/>
      <c r="CC66" s="185"/>
      <c r="CD66" s="249" t="s">
        <v>221</v>
      </c>
      <c r="CE66" s="195">
        <f t="shared" si="0"/>
        <v>3074427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2132546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2132546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>
        <v>0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>
        <v>153509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153509</v>
      </c>
      <c r="CF68" s="252"/>
    </row>
    <row r="69" spans="1:84" ht="12.65" customHeight="1" x14ac:dyDescent="0.35">
      <c r="A69" s="171" t="s">
        <v>241</v>
      </c>
      <c r="B69" s="175"/>
      <c r="C69" s="184"/>
      <c r="D69" s="184"/>
      <c r="E69" s="185"/>
      <c r="F69" s="185"/>
      <c r="G69" s="184"/>
      <c r="H69" s="184">
        <f>270</f>
        <v>270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489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>
        <v>422</v>
      </c>
      <c r="BC69" s="185"/>
      <c r="BD69" s="185"/>
      <c r="BE69" s="185">
        <f>21022.44+655+116911</f>
        <v>138588.44</v>
      </c>
      <c r="BF69" s="185"/>
      <c r="BG69" s="185"/>
      <c r="BH69" s="224">
        <v>-45</v>
      </c>
      <c r="BI69" s="185"/>
      <c r="BJ69" s="185">
        <v>18733</v>
      </c>
      <c r="BK69" s="185"/>
      <c r="BL69" s="185">
        <v>4867</v>
      </c>
      <c r="BM69" s="185"/>
      <c r="BN69" s="185">
        <f>155649-133182</f>
        <v>22467</v>
      </c>
      <c r="BO69" s="185"/>
      <c r="BP69" s="185">
        <v>53478</v>
      </c>
      <c r="BQ69" s="185"/>
      <c r="BR69" s="185">
        <v>221935</v>
      </c>
      <c r="BS69" s="185"/>
      <c r="BT69" s="185"/>
      <c r="BU69" s="185"/>
      <c r="BV69" s="185">
        <v>159</v>
      </c>
      <c r="BW69" s="185">
        <v>33</v>
      </c>
      <c r="BX69" s="185">
        <v>50</v>
      </c>
      <c r="BY69" s="185">
        <f>2099+36+2041</f>
        <v>4176</v>
      </c>
      <c r="BZ69" s="185"/>
      <c r="CA69" s="185"/>
      <c r="CB69" s="185"/>
      <c r="CC69" s="185"/>
      <c r="CD69" s="188">
        <f>422951+959758+449761+133182</f>
        <v>1965652</v>
      </c>
      <c r="CE69" s="195">
        <f t="shared" si="0"/>
        <v>2431274.44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>
        <v>0</v>
      </c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56403</v>
      </c>
      <c r="CE70" s="195">
        <f t="shared" si="0"/>
        <v>56403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6777060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79046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27482</v>
      </c>
      <c r="Z71" s="195">
        <f t="shared" si="5"/>
        <v>0</v>
      </c>
      <c r="AA71" s="195">
        <f t="shared" si="5"/>
        <v>0</v>
      </c>
      <c r="AB71" s="195">
        <f t="shared" si="5"/>
        <v>930030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238036</v>
      </c>
      <c r="AK71" s="195">
        <f t="shared" si="6"/>
        <v>0</v>
      </c>
      <c r="AL71" s="195">
        <f t="shared" si="6"/>
        <v>0</v>
      </c>
      <c r="AM71" s="195">
        <f t="shared" si="6"/>
        <v>340166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873788</v>
      </c>
      <c r="AZ71" s="195">
        <f t="shared" si="6"/>
        <v>0</v>
      </c>
      <c r="BA71" s="195">
        <f t="shared" si="6"/>
        <v>51083</v>
      </c>
      <c r="BB71" s="195">
        <f t="shared" si="6"/>
        <v>1440894</v>
      </c>
      <c r="BC71" s="195">
        <f t="shared" si="6"/>
        <v>0</v>
      </c>
      <c r="BD71" s="195">
        <f t="shared" si="6"/>
        <v>0</v>
      </c>
      <c r="BE71" s="195">
        <f t="shared" si="6"/>
        <v>2770381.7399999998</v>
      </c>
      <c r="BF71" s="195">
        <f t="shared" si="6"/>
        <v>274106</v>
      </c>
      <c r="BG71" s="195">
        <f t="shared" si="6"/>
        <v>136807</v>
      </c>
      <c r="BH71" s="195">
        <f t="shared" si="6"/>
        <v>268577</v>
      </c>
      <c r="BI71" s="195">
        <f t="shared" si="6"/>
        <v>0</v>
      </c>
      <c r="BJ71" s="195">
        <f t="shared" si="6"/>
        <v>387271</v>
      </c>
      <c r="BK71" s="195">
        <f t="shared" si="6"/>
        <v>574799</v>
      </c>
      <c r="BL71" s="195">
        <f t="shared" si="6"/>
        <v>1373037</v>
      </c>
      <c r="BM71" s="195">
        <f t="shared" si="6"/>
        <v>0</v>
      </c>
      <c r="BN71" s="195">
        <f t="shared" si="6"/>
        <v>1000186</v>
      </c>
      <c r="BO71" s="195">
        <f t="shared" si="6"/>
        <v>0</v>
      </c>
      <c r="BP71" s="195">
        <f t="shared" ref="BP71:CC71" si="7">SUM(BP61:BP69)-BP70</f>
        <v>489117</v>
      </c>
      <c r="BQ71" s="195">
        <f t="shared" si="7"/>
        <v>0</v>
      </c>
      <c r="BR71" s="195">
        <f t="shared" si="7"/>
        <v>401163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416851</v>
      </c>
      <c r="BW71" s="195">
        <f t="shared" si="7"/>
        <v>3151886</v>
      </c>
      <c r="BX71" s="195">
        <f t="shared" si="7"/>
        <v>407265</v>
      </c>
      <c r="BY71" s="195">
        <f t="shared" si="7"/>
        <v>1983046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1909249</v>
      </c>
      <c r="CE71" s="195">
        <f>SUM(CE61:CE69)-CE70</f>
        <v>26301326.740000002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/>
      <c r="D73" s="184"/>
      <c r="E73" s="185"/>
      <c r="F73" s="185"/>
      <c r="G73" s="184"/>
      <c r="H73" s="184">
        <v>80508000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80508000</v>
      </c>
      <c r="CF73" s="252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>
        <v>0</v>
      </c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v>1648400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1648400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80508000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1648400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82156400</v>
      </c>
      <c r="CF75" s="252"/>
    </row>
    <row r="76" spans="1:84" ht="12.65" customHeight="1" x14ac:dyDescent="0.35">
      <c r="A76" s="171" t="s">
        <v>248</v>
      </c>
      <c r="B76" s="175"/>
      <c r="C76" s="184"/>
      <c r="D76" s="184"/>
      <c r="E76" s="185"/>
      <c r="F76" s="185"/>
      <c r="G76" s="184"/>
      <c r="H76" s="184">
        <v>39983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820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3473</v>
      </c>
      <c r="AZ76" s="185"/>
      <c r="BA76" s="185">
        <v>1162</v>
      </c>
      <c r="BB76" s="185"/>
      <c r="BC76" s="185"/>
      <c r="BD76" s="185">
        <v>691</v>
      </c>
      <c r="BE76" s="185">
        <v>5998</v>
      </c>
      <c r="BF76" s="185">
        <v>1162</v>
      </c>
      <c r="BG76" s="185"/>
      <c r="BH76" s="185"/>
      <c r="BI76" s="185"/>
      <c r="BJ76" s="185"/>
      <c r="BK76" s="185"/>
      <c r="BL76" s="185"/>
      <c r="BM76" s="185"/>
      <c r="BN76" s="185">
        <v>10339</v>
      </c>
      <c r="BO76" s="185"/>
      <c r="BP76" s="185"/>
      <c r="BQ76" s="185"/>
      <c r="BR76" s="185"/>
      <c r="BS76" s="185"/>
      <c r="BT76" s="185"/>
      <c r="BU76" s="185"/>
      <c r="BV76" s="185">
        <v>828</v>
      </c>
      <c r="BW76" s="185">
        <v>451</v>
      </c>
      <c r="BX76" s="185"/>
      <c r="BY76" s="185">
        <v>5286</v>
      </c>
      <c r="BZ76" s="185"/>
      <c r="CA76" s="185"/>
      <c r="CB76" s="185"/>
      <c r="CC76" s="185"/>
      <c r="CD76" s="249" t="s">
        <v>221</v>
      </c>
      <c r="CE76" s="195">
        <f t="shared" si="8"/>
        <v>70193</v>
      </c>
      <c r="CF76" s="195">
        <f>BE59-CE76</f>
        <v>720</v>
      </c>
    </row>
    <row r="77" spans="1:84" ht="12.65" customHeight="1" x14ac:dyDescent="0.35">
      <c r="A77" s="171" t="s">
        <v>249</v>
      </c>
      <c r="B77" s="175"/>
      <c r="C77" s="184"/>
      <c r="D77" s="184"/>
      <c r="E77" s="184"/>
      <c r="F77" s="184"/>
      <c r="G77" s="184"/>
      <c r="H77" s="184">
        <v>70782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 t="shared" si="8"/>
        <v>70782</v>
      </c>
      <c r="CF77" s="195">
        <f>AY59-CE77</f>
        <v>-70782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>
        <v>8760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8760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/>
      <c r="F79" s="184"/>
      <c r="G79" s="184"/>
      <c r="H79" s="184">
        <v>72914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72914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/>
      <c r="F80" s="187"/>
      <c r="G80" s="187"/>
      <c r="H80" s="187">
        <f>H60</f>
        <v>77.411057692307693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77.411057692307693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1266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1277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1278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1279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1280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1281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/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2510</v>
      </c>
      <c r="D111" s="174">
        <v>26836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115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>
        <v>115</v>
      </c>
      <c r="D127" s="175"/>
      <c r="E127" s="175">
        <f>SUM(C116:C126)</f>
        <v>115</v>
      </c>
    </row>
    <row r="128" spans="1:5" ht="12.65" customHeight="1" x14ac:dyDescent="0.35">
      <c r="A128" s="173" t="s">
        <v>292</v>
      </c>
      <c r="B128" s="172" t="s">
        <v>256</v>
      </c>
      <c r="C128" s="189">
        <v>115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272</v>
      </c>
      <c r="C138" s="189">
        <v>1326</v>
      </c>
      <c r="D138" s="174">
        <v>912</v>
      </c>
      <c r="E138" s="175">
        <f>SUM(B138:D138)</f>
        <v>2510</v>
      </c>
    </row>
    <row r="139" spans="1:6" ht="12.65" customHeight="1" x14ac:dyDescent="0.35">
      <c r="A139" s="173" t="s">
        <v>215</v>
      </c>
      <c r="B139" s="174">
        <v>5407</v>
      </c>
      <c r="C139" s="189">
        <v>14085</v>
      </c>
      <c r="D139" s="174">
        <v>7344</v>
      </c>
      <c r="E139" s="175">
        <f>SUM(B139:D139)</f>
        <v>26836</v>
      </c>
    </row>
    <row r="140" spans="1:6" ht="12.65" customHeight="1" x14ac:dyDescent="0.35">
      <c r="A140" s="173" t="s">
        <v>298</v>
      </c>
      <c r="B140" s="174">
        <v>240</v>
      </c>
      <c r="C140" s="174">
        <v>142</v>
      </c>
      <c r="D140" s="174">
        <v>2154</v>
      </c>
      <c r="E140" s="175">
        <f>SUM(B140:D140)</f>
        <v>2536</v>
      </c>
    </row>
    <row r="141" spans="1:6" ht="12.65" customHeight="1" x14ac:dyDescent="0.35">
      <c r="A141" s="173" t="s">
        <v>245</v>
      </c>
      <c r="B141" s="174">
        <v>16221000</v>
      </c>
      <c r="C141" s="189">
        <v>42255000</v>
      </c>
      <c r="D141" s="174">
        <f>22032000+2420733</f>
        <v>24452733</v>
      </c>
      <c r="E141" s="175">
        <f>SUM(B141:D141)</f>
        <v>82928733</v>
      </c>
      <c r="F141" s="199"/>
    </row>
    <row r="142" spans="1:6" ht="12.65" customHeight="1" x14ac:dyDescent="0.35">
      <c r="A142" s="173" t="s">
        <v>246</v>
      </c>
      <c r="B142" s="174">
        <v>156000</v>
      </c>
      <c r="C142" s="189">
        <v>92300</v>
      </c>
      <c r="D142" s="174">
        <v>1400100</v>
      </c>
      <c r="E142" s="175">
        <f>SUM(B142:D142)</f>
        <v>1648400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2420733</v>
      </c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4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7" t="s">
        <v>306</v>
      </c>
      <c r="B164" s="257"/>
      <c r="C164" s="257"/>
      <c r="D164" s="257"/>
      <c r="E164" s="257"/>
    </row>
    <row r="165" spans="1:5" ht="11.4" customHeight="1" x14ac:dyDescent="0.35">
      <c r="A165" s="173" t="s">
        <v>307</v>
      </c>
      <c r="B165" s="172" t="s">
        <v>256</v>
      </c>
      <c r="C165" s="189">
        <f>2555970-SUM(C166:C172)+173248</f>
        <v>1055611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177598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1125673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19974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136880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v>40104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>
        <f>170050+3328</f>
        <v>173378</v>
      </c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f>SUM(C165:C172)</f>
        <v>2729218</v>
      </c>
      <c r="E173" s="175"/>
    </row>
    <row r="174" spans="1:5" ht="11.4" customHeight="1" x14ac:dyDescent="0.35">
      <c r="A174" s="257" t="s">
        <v>314</v>
      </c>
      <c r="B174" s="257"/>
      <c r="C174" s="257"/>
      <c r="D174" s="257"/>
      <c r="E174" s="257"/>
    </row>
    <row r="175" spans="1:5" ht="11.4" customHeight="1" x14ac:dyDescent="0.3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153508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f>SUM(C175:C176)</f>
        <v>153508</v>
      </c>
      <c r="E177" s="175"/>
    </row>
    <row r="178" spans="1:5" ht="11.4" customHeight="1" x14ac:dyDescent="0.35">
      <c r="A178" s="257" t="s">
        <v>317</v>
      </c>
      <c r="B178" s="257"/>
      <c r="C178" s="257"/>
      <c r="D178" s="257"/>
      <c r="E178" s="257"/>
    </row>
    <row r="179" spans="1:5" ht="11.4" customHeight="1" x14ac:dyDescent="0.35">
      <c r="A179" s="173" t="s">
        <v>318</v>
      </c>
      <c r="B179" s="172" t="s">
        <v>256</v>
      </c>
      <c r="C179" s="189">
        <v>112157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f>133182-C179</f>
        <v>21025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f>SUM(C179:C180)</f>
        <v>133182</v>
      </c>
      <c r="E181" s="175"/>
    </row>
    <row r="182" spans="1:5" ht="11.4" customHeight="1" x14ac:dyDescent="0.35">
      <c r="A182" s="257" t="s">
        <v>320</v>
      </c>
      <c r="B182" s="257"/>
      <c r="C182" s="257"/>
      <c r="D182" s="257"/>
      <c r="E182" s="257"/>
    </row>
    <row r="183" spans="1:5" ht="11.4" customHeight="1" x14ac:dyDescent="0.35">
      <c r="A183" s="173" t="s">
        <v>321</v>
      </c>
      <c r="B183" s="172" t="s">
        <v>256</v>
      </c>
      <c r="C183" s="189">
        <v>17032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v>872712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>
        <f>75685-C183</f>
        <v>58653</v>
      </c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f>SUM(C183:C185)</f>
        <v>948397</v>
      </c>
      <c r="E186" s="175"/>
    </row>
    <row r="187" spans="1:5" ht="11.4" customHeight="1" x14ac:dyDescent="0.35">
      <c r="A187" s="257" t="s">
        <v>323</v>
      </c>
      <c r="B187" s="257"/>
      <c r="C187" s="257"/>
      <c r="D187" s="257"/>
      <c r="E187" s="257"/>
    </row>
    <row r="188" spans="1:5" ht="11.4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>
        <v>959758</v>
      </c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f>SUM(C188:C189)</f>
        <v>959758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2000000</v>
      </c>
      <c r="C195" s="189"/>
      <c r="D195" s="174">
        <v>2000000</v>
      </c>
      <c r="E195" s="175">
        <f t="shared" ref="E195:E203" si="10">SUM(B195:C195)-D195</f>
        <v>0</v>
      </c>
    </row>
    <row r="196" spans="1:8" ht="12.65" customHeight="1" x14ac:dyDescent="0.3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5">
      <c r="A197" s="173" t="s">
        <v>334</v>
      </c>
      <c r="B197" s="174">
        <v>22957331</v>
      </c>
      <c r="C197" s="189">
        <f>27500000+70400</f>
        <v>27570400</v>
      </c>
      <c r="D197" s="174">
        <v>22957331</v>
      </c>
      <c r="E197" s="175">
        <f t="shared" si="10"/>
        <v>27570400</v>
      </c>
    </row>
    <row r="198" spans="1:8" ht="12.65" customHeight="1" x14ac:dyDescent="0.35">
      <c r="A198" s="173" t="s">
        <v>335</v>
      </c>
      <c r="B198" s="174">
        <f>116463+16146-1</f>
        <v>132608</v>
      </c>
      <c r="C198" s="189">
        <f>4882+2667</f>
        <v>7549</v>
      </c>
      <c r="D198" s="174">
        <f>116463+23695</f>
        <v>140158</v>
      </c>
      <c r="E198" s="175">
        <f t="shared" si="10"/>
        <v>-1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1199077</v>
      </c>
      <c r="C200" s="189">
        <f>722+833+2078+3122+2864+1774+1798</f>
        <v>13191</v>
      </c>
      <c r="D200" s="174"/>
      <c r="E200" s="175">
        <f t="shared" si="10"/>
        <v>1212268</v>
      </c>
    </row>
    <row r="201" spans="1:8" ht="12.65" customHeight="1" x14ac:dyDescent="0.35">
      <c r="A201" s="173" t="s">
        <v>338</v>
      </c>
      <c r="B201" s="174">
        <v>328952</v>
      </c>
      <c r="C201" s="189">
        <f>1174+1174+5213+21629+23398+7279</f>
        <v>59867</v>
      </c>
      <c r="D201" s="174"/>
      <c r="E201" s="175">
        <f t="shared" si="10"/>
        <v>388819</v>
      </c>
    </row>
    <row r="202" spans="1:8" ht="12.65" customHeight="1" x14ac:dyDescent="0.35">
      <c r="A202" s="173" t="s">
        <v>339</v>
      </c>
      <c r="B202" s="174"/>
      <c r="C202" s="189">
        <v>23695</v>
      </c>
      <c r="D202" s="174"/>
      <c r="E202" s="175">
        <f t="shared" si="10"/>
        <v>23695</v>
      </c>
    </row>
    <row r="203" spans="1:8" ht="12.65" customHeight="1" x14ac:dyDescent="0.3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26617968</v>
      </c>
      <c r="C204" s="191">
        <f>SUM(C195:C203)</f>
        <v>27674702</v>
      </c>
      <c r="D204" s="175">
        <f>SUM(D195:D203)</f>
        <v>25097489</v>
      </c>
      <c r="E204" s="175">
        <f>SUM(E195:E203)</f>
        <v>29195181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5">
      <c r="A210" s="173" t="s">
        <v>334</v>
      </c>
      <c r="B210" s="174">
        <v>933678</v>
      </c>
      <c r="C210" s="189">
        <f>49054.13*7+152777+153951+153169*2+152778</f>
        <v>1109222.9099999999</v>
      </c>
      <c r="D210" s="174">
        <v>1277057</v>
      </c>
      <c r="E210" s="175">
        <f t="shared" si="11"/>
        <v>765843.90999999992</v>
      </c>
      <c r="H210" s="259"/>
    </row>
    <row r="211" spans="1:8" ht="12.65" customHeight="1" x14ac:dyDescent="0.35">
      <c r="A211" s="173" t="s">
        <v>335</v>
      </c>
      <c r="B211" s="174">
        <f>4660+2733</f>
        <v>7393</v>
      </c>
      <c r="C211" s="189">
        <f>248.85*7+269.1*6+432+350+350+395</f>
        <v>4883.55</v>
      </c>
      <c r="D211" s="174">
        <f>5875+6402</f>
        <v>12277</v>
      </c>
      <c r="E211" s="175">
        <f t="shared" si="11"/>
        <v>-0.4500000000007276</v>
      </c>
      <c r="H211" s="259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5">
      <c r="A213" s="173" t="s">
        <v>337</v>
      </c>
      <c r="B213" s="174">
        <v>318712</v>
      </c>
      <c r="C213" s="189">
        <f>526359-318712</f>
        <v>207647</v>
      </c>
      <c r="D213" s="174"/>
      <c r="E213" s="175">
        <f t="shared" si="11"/>
        <v>526359</v>
      </c>
      <c r="H213" s="259"/>
    </row>
    <row r="214" spans="1:8" ht="12.65" customHeight="1" x14ac:dyDescent="0.35">
      <c r="A214" s="173" t="s">
        <v>338</v>
      </c>
      <c r="B214" s="174">
        <v>77093</v>
      </c>
      <c r="C214" s="189">
        <f>153649-77093</f>
        <v>76556</v>
      </c>
      <c r="D214" s="174"/>
      <c r="E214" s="175">
        <f t="shared" si="11"/>
        <v>153649</v>
      </c>
      <c r="H214" s="259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1336876</v>
      </c>
      <c r="C217" s="191">
        <f>SUM(C208:C216)</f>
        <v>1398309.46</v>
      </c>
      <c r="D217" s="175">
        <f>SUM(D208:D216)</f>
        <v>1289334</v>
      </c>
      <c r="E217" s="175">
        <f>SUM(E208:E216)</f>
        <v>1445851.46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87" t="s">
        <v>1255</v>
      </c>
      <c r="C220" s="287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f>-141664+29968+1399199</f>
        <v>1287503</v>
      </c>
      <c r="D221" s="172">
        <f>C221</f>
        <v>1287503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f>7967076-420472+605896+82286-24615+4454</f>
        <v>8214625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f>14042072-1426650+147305+625+712193</f>
        <v>13475545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f>2753841+69787</f>
        <v>2823628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f>56063663+819336+223505-SUM(C222:C226)-C228-154850+937848</f>
        <v>33251556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f>144113-19965</f>
        <v>124148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57889502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56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f>154850+195610</f>
        <v>350460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f>31323</f>
        <v>31323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381783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f>89555+6006</f>
        <v>95561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95561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59654349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1088703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f>8630247-3079417-1244319</f>
        <v>4306511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204096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85908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60565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269719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5607310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27570400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1624782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29195182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f>765844+686673</f>
        <v>1452517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27742665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116553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116553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33466528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f>260000+697414</f>
        <v>957414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793753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f>6445034+276469-695986-22015303</f>
        <v>-15989786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-14238619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27011282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3463962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30475244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30475244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86">
        <f>21779915+1393232</f>
        <v>23173147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f>1201547-3566044-2580091-998656</f>
        <v>-5943244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33466528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33466528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f>E141</f>
        <v>82928733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E142</f>
        <v>1648400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84577133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f>C221</f>
        <v>1287503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f>D229</f>
        <v>57889502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D236</f>
        <v>381783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f>C238</f>
        <v>95561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59654349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24922784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56403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56403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24979187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f>11644725+1443737</f>
        <v>13088462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f>173248+2555970</f>
        <v>2729218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f>3086366-1443737-173248</f>
        <v>1469381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1022055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256856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3074427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2132546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153508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133182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872712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959758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26357727-25892105</f>
        <v>465622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26357727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-1378540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-1378540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-1378540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Vest Seattle, LLC   H-0     FYE 12/31/2019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2510</v>
      </c>
      <c r="C414" s="194">
        <f>E138</f>
        <v>2510</v>
      </c>
      <c r="D414" s="179"/>
    </row>
    <row r="415" spans="1:5" ht="12.65" customHeight="1" x14ac:dyDescent="0.35">
      <c r="A415" s="179" t="s">
        <v>464</v>
      </c>
      <c r="B415" s="179">
        <f>D111</f>
        <v>26836</v>
      </c>
      <c r="C415" s="179">
        <f>E139</f>
        <v>26836</v>
      </c>
      <c r="D415" s="194">
        <f>SUM(C59:H59)+N59</f>
        <v>26836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13088462</v>
      </c>
      <c r="C427" s="179">
        <f t="shared" ref="C427:C434" si="13">CE61</f>
        <v>13088461</v>
      </c>
      <c r="D427" s="179"/>
    </row>
    <row r="428" spans="1:7" ht="12.65" customHeight="1" x14ac:dyDescent="0.35">
      <c r="A428" s="179" t="s">
        <v>3</v>
      </c>
      <c r="B428" s="179">
        <f t="shared" si="12"/>
        <v>2729218</v>
      </c>
      <c r="C428" s="179">
        <f t="shared" si="13"/>
        <v>2729221</v>
      </c>
      <c r="D428" s="179">
        <f>D173</f>
        <v>2729218</v>
      </c>
    </row>
    <row r="429" spans="1:7" ht="12.65" customHeight="1" x14ac:dyDescent="0.35">
      <c r="A429" s="179" t="s">
        <v>236</v>
      </c>
      <c r="B429" s="179">
        <f t="shared" si="12"/>
        <v>1469381</v>
      </c>
      <c r="C429" s="179">
        <f t="shared" si="13"/>
        <v>1469381.3</v>
      </c>
      <c r="D429" s="179"/>
    </row>
    <row r="430" spans="1:7" ht="12.65" customHeight="1" x14ac:dyDescent="0.35">
      <c r="A430" s="179" t="s">
        <v>237</v>
      </c>
      <c r="B430" s="179">
        <f t="shared" si="12"/>
        <v>1022055</v>
      </c>
      <c r="C430" s="179">
        <f t="shared" si="13"/>
        <v>1022054</v>
      </c>
      <c r="D430" s="179"/>
    </row>
    <row r="431" spans="1:7" ht="12.65" customHeight="1" x14ac:dyDescent="0.35">
      <c r="A431" s="179" t="s">
        <v>444</v>
      </c>
      <c r="B431" s="179">
        <f t="shared" si="12"/>
        <v>256856</v>
      </c>
      <c r="C431" s="179">
        <f t="shared" si="13"/>
        <v>256856</v>
      </c>
      <c r="D431" s="179"/>
    </row>
    <row r="432" spans="1:7" ht="12.65" customHeight="1" x14ac:dyDescent="0.35">
      <c r="A432" s="179" t="s">
        <v>445</v>
      </c>
      <c r="B432" s="179">
        <f t="shared" si="12"/>
        <v>3074427</v>
      </c>
      <c r="C432" s="179">
        <f t="shared" si="13"/>
        <v>3074427</v>
      </c>
      <c r="D432" s="179"/>
    </row>
    <row r="433" spans="1:7" ht="12.65" customHeight="1" x14ac:dyDescent="0.35">
      <c r="A433" s="179" t="s">
        <v>6</v>
      </c>
      <c r="B433" s="179">
        <f t="shared" si="12"/>
        <v>2132546</v>
      </c>
      <c r="C433" s="179">
        <f t="shared" si="13"/>
        <v>2132546</v>
      </c>
      <c r="D433" s="179">
        <f>C217</f>
        <v>1398309.46</v>
      </c>
    </row>
    <row r="434" spans="1:7" ht="12.65" customHeight="1" x14ac:dyDescent="0.35">
      <c r="A434" s="179" t="s">
        <v>474</v>
      </c>
      <c r="B434" s="179">
        <f t="shared" si="12"/>
        <v>153508</v>
      </c>
      <c r="C434" s="179">
        <f t="shared" si="13"/>
        <v>153509</v>
      </c>
      <c r="D434" s="179">
        <f>D177</f>
        <v>153508</v>
      </c>
    </row>
    <row r="435" spans="1:7" ht="12.65" customHeight="1" x14ac:dyDescent="0.35">
      <c r="A435" s="179" t="s">
        <v>447</v>
      </c>
      <c r="B435" s="179">
        <f t="shared" si="12"/>
        <v>133182</v>
      </c>
      <c r="C435" s="179"/>
      <c r="D435" s="179">
        <f>D181</f>
        <v>133182</v>
      </c>
    </row>
    <row r="436" spans="1:7" ht="12.65" customHeight="1" x14ac:dyDescent="0.35">
      <c r="A436" s="179" t="s">
        <v>475</v>
      </c>
      <c r="B436" s="179">
        <f t="shared" si="12"/>
        <v>872712</v>
      </c>
      <c r="C436" s="179"/>
      <c r="D436" s="179">
        <f>D186</f>
        <v>948397</v>
      </c>
    </row>
    <row r="437" spans="1:7" ht="12.65" customHeight="1" x14ac:dyDescent="0.35">
      <c r="A437" s="194" t="s">
        <v>449</v>
      </c>
      <c r="B437" s="194">
        <f t="shared" si="12"/>
        <v>959758</v>
      </c>
      <c r="C437" s="194"/>
      <c r="D437" s="194">
        <f>D190</f>
        <v>959758</v>
      </c>
    </row>
    <row r="438" spans="1:7" ht="12.65" customHeight="1" x14ac:dyDescent="0.35">
      <c r="A438" s="194" t="s">
        <v>476</v>
      </c>
      <c r="B438" s="194">
        <f>C386+C387+C388</f>
        <v>1965652</v>
      </c>
      <c r="C438" s="194">
        <f>CD69</f>
        <v>1965652</v>
      </c>
      <c r="D438" s="194">
        <f>D181+D186+D190</f>
        <v>2041337</v>
      </c>
    </row>
    <row r="439" spans="1:7" ht="12.65" customHeight="1" x14ac:dyDescent="0.35">
      <c r="A439" s="179" t="s">
        <v>451</v>
      </c>
      <c r="B439" s="194">
        <f>C389</f>
        <v>465622</v>
      </c>
      <c r="C439" s="194">
        <f>SUM(C69:CC69)</f>
        <v>465622.44</v>
      </c>
      <c r="D439" s="179"/>
    </row>
    <row r="440" spans="1:7" ht="12.65" customHeight="1" x14ac:dyDescent="0.35">
      <c r="A440" s="179" t="s">
        <v>477</v>
      </c>
      <c r="B440" s="194">
        <f>B438+B439</f>
        <v>2431274</v>
      </c>
      <c r="C440" s="194">
        <f>CE69</f>
        <v>2431274.44</v>
      </c>
      <c r="D440" s="179"/>
    </row>
    <row r="441" spans="1:7" ht="12.65" customHeight="1" x14ac:dyDescent="0.35">
      <c r="A441" s="179" t="s">
        <v>478</v>
      </c>
      <c r="B441" s="179">
        <f>D390</f>
        <v>26357727</v>
      </c>
      <c r="C441" s="179">
        <f>SUM(C427:C437)+C440</f>
        <v>26357729.740000002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1287503</v>
      </c>
      <c r="C444" s="179">
        <f>C363</f>
        <v>1287503</v>
      </c>
      <c r="D444" s="179"/>
    </row>
    <row r="445" spans="1:7" ht="12.65" customHeight="1" x14ac:dyDescent="0.35">
      <c r="A445" s="179" t="s">
        <v>343</v>
      </c>
      <c r="B445" s="179">
        <f>D229</f>
        <v>57889502</v>
      </c>
      <c r="C445" s="179">
        <f>C364</f>
        <v>57889502</v>
      </c>
      <c r="D445" s="179"/>
    </row>
    <row r="446" spans="1:7" ht="12.65" customHeight="1" x14ac:dyDescent="0.35">
      <c r="A446" s="179" t="s">
        <v>351</v>
      </c>
      <c r="B446" s="179">
        <f>D236</f>
        <v>381783</v>
      </c>
      <c r="C446" s="179">
        <f>C365</f>
        <v>381783</v>
      </c>
      <c r="D446" s="179"/>
    </row>
    <row r="447" spans="1:7" ht="12.65" customHeight="1" x14ac:dyDescent="0.35">
      <c r="A447" s="179" t="s">
        <v>356</v>
      </c>
      <c r="B447" s="179">
        <f>D240</f>
        <v>95561</v>
      </c>
      <c r="C447" s="179">
        <f>C366</f>
        <v>95561</v>
      </c>
      <c r="D447" s="179"/>
    </row>
    <row r="448" spans="1:7" ht="12.65" customHeight="1" x14ac:dyDescent="0.35">
      <c r="A448" s="179" t="s">
        <v>358</v>
      </c>
      <c r="B448" s="179">
        <f>D242</f>
        <v>59654349</v>
      </c>
      <c r="C448" s="179">
        <f>D367</f>
        <v>59654349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56</v>
      </c>
    </row>
    <row r="454" spans="1:7" ht="12.65" customHeight="1" x14ac:dyDescent="0.35">
      <c r="A454" s="179" t="s">
        <v>168</v>
      </c>
      <c r="B454" s="179">
        <f>C233</f>
        <v>350460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31323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56403</v>
      </c>
      <c r="C458" s="194">
        <f>CE70</f>
        <v>56403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82928733</v>
      </c>
      <c r="C463" s="194">
        <f>CE73</f>
        <v>80508000</v>
      </c>
      <c r="D463" s="194">
        <f>E141+E147+E153</f>
        <v>82928733</v>
      </c>
    </row>
    <row r="464" spans="1:7" ht="12.65" customHeight="1" x14ac:dyDescent="0.35">
      <c r="A464" s="179" t="s">
        <v>246</v>
      </c>
      <c r="B464" s="194">
        <f>C360</f>
        <v>1648400</v>
      </c>
      <c r="C464" s="194">
        <f>CE74</f>
        <v>1648400</v>
      </c>
      <c r="D464" s="194">
        <f>E142+E148+E154</f>
        <v>1648400</v>
      </c>
    </row>
    <row r="465" spans="1:7" ht="12.65" customHeight="1" x14ac:dyDescent="0.35">
      <c r="A465" s="179" t="s">
        <v>247</v>
      </c>
      <c r="B465" s="194">
        <f>D361</f>
        <v>84577133</v>
      </c>
      <c r="C465" s="194">
        <f>CE75</f>
        <v>82156400</v>
      </c>
      <c r="D465" s="194">
        <f>D463+D464</f>
        <v>84577133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5" customHeight="1" x14ac:dyDescent="0.3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14"/>
        <v>27570400</v>
      </c>
      <c r="C470" s="179">
        <f>E197</f>
        <v>27570400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-1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1624782</v>
      </c>
      <c r="C473" s="179">
        <f>SUM(E200:E201)</f>
        <v>1601087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23695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29195182</v>
      </c>
      <c r="C476" s="179">
        <f>E204</f>
        <v>29195181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1452517</v>
      </c>
      <c r="C478" s="179">
        <f>E217</f>
        <v>1445851.46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33466528</v>
      </c>
    </row>
    <row r="482" spans="1:12" ht="12.65" customHeight="1" x14ac:dyDescent="0.35">
      <c r="A482" s="180" t="s">
        <v>499</v>
      </c>
      <c r="C482" s="180">
        <f>D339</f>
        <v>33466528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924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6982712</v>
      </c>
      <c r="C501" s="240">
        <f>H71</f>
        <v>6777060</v>
      </c>
      <c r="D501" s="240">
        <f>'Prior Year'!H59</f>
        <v>25414</v>
      </c>
      <c r="E501" s="180">
        <f>H59</f>
        <v>26836</v>
      </c>
      <c r="F501" s="263">
        <f t="shared" si="15"/>
        <v>274.75847957818524</v>
      </c>
      <c r="G501" s="263">
        <f t="shared" si="15"/>
        <v>252.53614547622595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254130</v>
      </c>
      <c r="C514" s="240">
        <f>U71</f>
        <v>79046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88655</v>
      </c>
      <c r="C518" s="240">
        <f>Y71</f>
        <v>27482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697519</v>
      </c>
      <c r="C521" s="240">
        <f>AB71</f>
        <v>930030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0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228846</v>
      </c>
      <c r="C529" s="240">
        <f>AJ71</f>
        <v>238036</v>
      </c>
      <c r="D529" s="240">
        <f>'Prior Year'!AJ59</f>
        <v>2778</v>
      </c>
      <c r="E529" s="180">
        <f>AJ59</f>
        <v>2536</v>
      </c>
      <c r="F529" s="263">
        <f t="shared" si="18"/>
        <v>82.377969762419013</v>
      </c>
      <c r="G529" s="263">
        <f t="shared" si="18"/>
        <v>93.862776025236599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316806</v>
      </c>
      <c r="C532" s="240">
        <f>AM71</f>
        <v>340166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913330</v>
      </c>
      <c r="C544" s="240">
        <f>AY71</f>
        <v>873788</v>
      </c>
      <c r="D544" s="240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4333</v>
      </c>
      <c r="C546" s="240">
        <f>BA71</f>
        <v>51083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1319876</v>
      </c>
      <c r="C547" s="240">
        <f>BB71</f>
        <v>1440894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2577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1236412</v>
      </c>
      <c r="C550" s="240">
        <f>BE71</f>
        <v>2770381.7399999998</v>
      </c>
      <c r="D550" s="240">
        <f>'Prior Year'!BE59</f>
        <v>70193</v>
      </c>
      <c r="E550" s="180">
        <f>BE59</f>
        <v>70913</v>
      </c>
      <c r="F550" s="263">
        <f t="shared" si="19"/>
        <v>17.614462980639097</v>
      </c>
      <c r="G550" s="263">
        <f t="shared" si="19"/>
        <v>39.067332365010643</v>
      </c>
      <c r="H550" s="265">
        <f t="shared" si="16"/>
        <v>1.2179122013513228</v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324180</v>
      </c>
      <c r="C551" s="240">
        <f>BF71</f>
        <v>274106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156143</v>
      </c>
      <c r="C552" s="240">
        <f>BG71</f>
        <v>136807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0</v>
      </c>
      <c r="C553" s="240">
        <f>BH71</f>
        <v>268577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155782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319875</v>
      </c>
      <c r="C555" s="240">
        <f>BJ71</f>
        <v>387271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383048</v>
      </c>
      <c r="C556" s="240">
        <f>BK71</f>
        <v>574799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1320016</v>
      </c>
      <c r="C557" s="240">
        <f>BL71</f>
        <v>1373037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2830734</v>
      </c>
      <c r="C559" s="240">
        <f>BN71</f>
        <v>1000186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407101</v>
      </c>
      <c r="C561" s="240">
        <f>BP71</f>
        <v>489117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419414</v>
      </c>
      <c r="C563" s="240">
        <f>BR71</f>
        <v>401163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384090</v>
      </c>
      <c r="C567" s="240">
        <f>BV71</f>
        <v>416851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3181418</v>
      </c>
      <c r="C568" s="240">
        <f>BW71</f>
        <v>3151886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407230</v>
      </c>
      <c r="C569" s="240">
        <f>BX71</f>
        <v>407265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1272886</v>
      </c>
      <c r="C570" s="240">
        <f>BY71</f>
        <v>1983046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113295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249468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0</v>
      </c>
      <c r="C575" s="240">
        <f>CD71</f>
        <v>1909249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64195</v>
      </c>
      <c r="E612" s="180">
        <f>SUM(C624:D647)+SUM(C668:D713)</f>
        <v>23534262.396735571</v>
      </c>
      <c r="F612" s="180">
        <f>CE64-(AX64+BD64+BE64+BG64+BJ64+BN64+BP64+BQ64+CB64+CC64+CD64)</f>
        <v>974298</v>
      </c>
      <c r="G612" s="180">
        <f>CE77-(AX77+AY77+BD77+BE77+BG77+BJ77+BN77+BP77+BQ77+CB77+CC77+CD77)</f>
        <v>70782</v>
      </c>
      <c r="H612" s="197">
        <f>CE60-(AX60+AY60+AZ60+BD60+BE60+BG60+BJ60+BN60+BO60+BP60+BQ60+BR60+CB60+CC60+CD60)</f>
        <v>151.31971153846155</v>
      </c>
      <c r="I612" s="180">
        <f>CE78-(AX78+AY78+AZ78+BD78+BE78+BF78+BG78+BJ78+BN78+BO78+BP78+BQ78+BR78+CB78+CC78+CD78)</f>
        <v>8760</v>
      </c>
      <c r="J612" s="180">
        <f>CE79-(AX79+AY79+AZ79+BA79+BD79+BE79+BF79+BG79+BJ79+BN79+BO79+BP79+BQ79+BR79+CB79+CC79+CD79)</f>
        <v>72914</v>
      </c>
      <c r="K612" s="180">
        <f>CE75-(AW75+AX75+AY75+AZ75+BA75+BB75+BC75+BD75+BE75+BF75+BG75+BH75+BI75+BJ75+BK75+BL75+BM75+BN75+BO75+BP75+BQ75+BR75+BS75+BT75+BU75+BV75+BW75+BX75+CB75+CC75+CD75)</f>
        <v>82156400</v>
      </c>
      <c r="L612" s="197">
        <f>CE80-(AW80+AX80+AY80+AZ80+BA80+BB80+BC80+BD80+BE80+BF80+BG80+BH80+BI80+BJ80+BK80+BL80+BM80+BN80+BO80+BP80+BQ80+BR80+BS80+BT80+BU80+BV80+BW80+BX80+BY80+BZ80+CA80+CB80+CC80+CD80)</f>
        <v>77.411057692307693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2770381.7399999998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1909249</v>
      </c>
      <c r="D615" s="266">
        <f>SUM(C614:C615)</f>
        <v>4679630.74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387271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136807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1000186</v>
      </c>
      <c r="D619" s="180">
        <f>(D615/D612)*BN76</f>
        <v>753683.34326442867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489117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2767064.3432644289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50371.911228911908</v>
      </c>
      <c r="E624" s="180">
        <f>(E623/E612)*SUM(C624:D624)</f>
        <v>5922.5276371073733</v>
      </c>
      <c r="F624" s="180">
        <f>SUM(C624:E624)</f>
        <v>56294.438866019278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873788</v>
      </c>
      <c r="D625" s="180">
        <f>(D615/D612)*AY76</f>
        <v>253171.70433865563</v>
      </c>
      <c r="E625" s="180">
        <f>(E623/E612)*SUM(C625:D625)</f>
        <v>132503.40977773175</v>
      </c>
      <c r="F625" s="180">
        <f>(F624/F612)*AY64</f>
        <v>25108.365080727875</v>
      </c>
      <c r="G625" s="180">
        <f>SUM(C625:F625)</f>
        <v>1284571.4791971154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401163</v>
      </c>
      <c r="D626" s="180">
        <f>(D615/D612)*BR76</f>
        <v>0</v>
      </c>
      <c r="E626" s="180">
        <f>(E623/E612)*SUM(C626:D626)</f>
        <v>47167.139314761858</v>
      </c>
      <c r="F626" s="180">
        <f>(F624/F612)*BR64</f>
        <v>641.46786741894778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448971.6071821808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274106</v>
      </c>
      <c r="D629" s="180">
        <f>(D615/D612)*BF76</f>
        <v>84706.455641093533</v>
      </c>
      <c r="E629" s="180">
        <f>(E623/E612)*SUM(C629:D629)</f>
        <v>42187.731877304912</v>
      </c>
      <c r="F629" s="180">
        <f>(F624/F612)*BF64</f>
        <v>4203.9777126225208</v>
      </c>
      <c r="G629" s="180">
        <f>(G625/G612)*BF77</f>
        <v>0</v>
      </c>
      <c r="H629" s="180">
        <f>(H628/H612)*BF60</f>
        <v>13532.83971893866</v>
      </c>
      <c r="I629" s="180">
        <f>SUM(C629:H629)</f>
        <v>418737.00494995958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51083</v>
      </c>
      <c r="D630" s="180">
        <f>(D615/D612)*BA76</f>
        <v>84706.455641093533</v>
      </c>
      <c r="E630" s="180">
        <f>(E623/E612)*SUM(C630:D630)</f>
        <v>15965.580503932653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151755.03614502621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1440894</v>
      </c>
      <c r="D632" s="180">
        <f>(D615/D612)*BB76</f>
        <v>0</v>
      </c>
      <c r="E632" s="180">
        <f>(E623/E612)*SUM(C632:D632)</f>
        <v>169414.54729325604</v>
      </c>
      <c r="F632" s="180">
        <f>(F624/F612)*BB64</f>
        <v>214.18855922554852</v>
      </c>
      <c r="G632" s="180">
        <f>(G625/G612)*BB77</f>
        <v>0</v>
      </c>
      <c r="H632" s="180">
        <f>(H628/H612)*BB60</f>
        <v>48780.701999425044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574799</v>
      </c>
      <c r="D635" s="180">
        <f>(D615/D612)*BK76</f>
        <v>0</v>
      </c>
      <c r="E635" s="180">
        <f>(E623/E612)*SUM(C635:D635)</f>
        <v>67582.564969814775</v>
      </c>
      <c r="F635" s="180">
        <f>(F624/F612)*BK64</f>
        <v>251.97634388524872</v>
      </c>
      <c r="G635" s="180">
        <f>(G625/G612)*BK77</f>
        <v>0</v>
      </c>
      <c r="H635" s="180">
        <f>(H628/H612)*BK60</f>
        <v>22345.518519782243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268577</v>
      </c>
      <c r="D636" s="180">
        <f>(D615/D612)*BH76</f>
        <v>0</v>
      </c>
      <c r="E636" s="180">
        <f>(E623/E612)*SUM(C636:D636)</f>
        <v>31578.208298723453</v>
      </c>
      <c r="F636" s="180">
        <f>(F624/F612)*BH64</f>
        <v>759.91581627580626</v>
      </c>
      <c r="G636" s="180">
        <f>(G625/G612)*BH77</f>
        <v>0</v>
      </c>
      <c r="H636" s="180">
        <f>(H628/H612)*BH60</f>
        <v>2031.2810962125702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1373037</v>
      </c>
      <c r="D637" s="180">
        <f>(D615/D612)*BL76</f>
        <v>0</v>
      </c>
      <c r="E637" s="180">
        <f>(E623/E612)*SUM(C637:D637)</f>
        <v>161436.19292737037</v>
      </c>
      <c r="F637" s="180">
        <f>(F624/F612)*BL64</f>
        <v>260.98994389581941</v>
      </c>
      <c r="G637" s="180">
        <f>(G625/G612)*BL77</f>
        <v>0</v>
      </c>
      <c r="H637" s="180">
        <f>(H628/H612)*BL60</f>
        <v>37042.350777000014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416851</v>
      </c>
      <c r="D642" s="180">
        <f>(D615/D612)*BV76</f>
        <v>60358.816928421213</v>
      </c>
      <c r="E642" s="180">
        <f>(E623/E612)*SUM(C642:D642)</f>
        <v>56108.41956370564</v>
      </c>
      <c r="F642" s="180">
        <f>(F624/F612)*BV64</f>
        <v>725.1903444402102</v>
      </c>
      <c r="G642" s="180">
        <f>(G625/G612)*BV77</f>
        <v>0</v>
      </c>
      <c r="H642" s="180">
        <f>(H628/H612)*BV60</f>
        <v>10898.165431926991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3151886</v>
      </c>
      <c r="D643" s="180">
        <f>(D615/D612)*BW76</f>
        <v>32876.60197429706</v>
      </c>
      <c r="E643" s="180">
        <f>(E623/E612)*SUM(C643:D643)</f>
        <v>374451.63520006865</v>
      </c>
      <c r="F643" s="180">
        <f>(F624/F612)*BW64</f>
        <v>285.43066700140537</v>
      </c>
      <c r="G643" s="180">
        <f>(G625/G612)*BW77</f>
        <v>0</v>
      </c>
      <c r="H643" s="180">
        <f>(H628/H612)*BW60</f>
        <v>12500.08163350474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407265</v>
      </c>
      <c r="D644" s="180">
        <f>(D615/D612)*BX76</f>
        <v>0</v>
      </c>
      <c r="E644" s="180">
        <f>(E623/E612)*SUM(C644:D644)</f>
        <v>47884.588042831689</v>
      </c>
      <c r="F644" s="180">
        <f>(F624/F612)*BX64</f>
        <v>92.273841133855129</v>
      </c>
      <c r="G644" s="180">
        <f>(G625/G612)*BX77</f>
        <v>0</v>
      </c>
      <c r="H644" s="180">
        <f>(H628/H612)*BX60</f>
        <v>15109.079614524961</v>
      </c>
      <c r="I644" s="180">
        <f>(I629/I612)*BX78</f>
        <v>0</v>
      </c>
      <c r="J644" s="180">
        <f>(J630/J612)*BX79</f>
        <v>0</v>
      </c>
      <c r="K644" s="180">
        <f>SUM(C631:J644)</f>
        <v>8786297.7197867241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1983046</v>
      </c>
      <c r="D645" s="180">
        <f>(D615/D612)*BY76</f>
        <v>385334.18633289193</v>
      </c>
      <c r="E645" s="180">
        <f>(E623/E612)*SUM(C645:D645)</f>
        <v>278464.65950021602</v>
      </c>
      <c r="F645" s="180">
        <f>(F624/F612)*BY64</f>
        <v>1197.8843296099465</v>
      </c>
      <c r="G645" s="180">
        <f>(G625/G612)*BY77</f>
        <v>0</v>
      </c>
      <c r="H645" s="180">
        <f>(H628/H612)*BY60</f>
        <v>29343.738363896617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2677386.4685266144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17909506.740000002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6777060</v>
      </c>
      <c r="D673" s="180">
        <f>(D615/D612)*H76</f>
        <v>2914645.6246969388</v>
      </c>
      <c r="E673" s="180">
        <f>(E623/E612)*SUM(C673:D673)</f>
        <v>1139511.9425214729</v>
      </c>
      <c r="F673" s="180">
        <f>(F624/F612)*H64</f>
        <v>9071.8417337159208</v>
      </c>
      <c r="G673" s="180">
        <f>(G625/G612)*H77</f>
        <v>1284571.4791971154</v>
      </c>
      <c r="H673" s="180">
        <f>(H628/H612)*H60</f>
        <v>229681.68940074931</v>
      </c>
      <c r="I673" s="180">
        <f>(I629/I612)*H78</f>
        <v>418737.00494995958</v>
      </c>
      <c r="J673" s="180">
        <f>(J630/J612)*H79</f>
        <v>151755.03614502621</v>
      </c>
      <c r="K673" s="180">
        <f>(K644/K612)*H75</f>
        <v>8610007.9461197127</v>
      </c>
      <c r="L673" s="180">
        <f>(L647/L612)*H80</f>
        <v>2677386.4685266144</v>
      </c>
      <c r="M673" s="180">
        <f t="shared" si="20"/>
        <v>17435369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79046</v>
      </c>
      <c r="D686" s="180">
        <f>(D615/D612)*U76</f>
        <v>0</v>
      </c>
      <c r="E686" s="180">
        <f>(E623/E612)*SUM(C686:D686)</f>
        <v>9293.9121860058531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9294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27482</v>
      </c>
      <c r="D690" s="180">
        <f>(D615/D612)*Y76</f>
        <v>0</v>
      </c>
      <c r="E690" s="180">
        <f>(E623/E612)*SUM(C690:D690)</f>
        <v>3231.2235242240322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3231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930030</v>
      </c>
      <c r="D693" s="180">
        <f>(D615/D612)*AB76</f>
        <v>59775.639953267382</v>
      </c>
      <c r="E693" s="180">
        <f>(E623/E612)*SUM(C693:D693)</f>
        <v>116377.38404143149</v>
      </c>
      <c r="F693" s="180">
        <f>(F624/F612)*AB64</f>
        <v>12609.044163505199</v>
      </c>
      <c r="G693" s="180">
        <f>(G625/G612)*AB77</f>
        <v>0</v>
      </c>
      <c r="H693" s="180">
        <f>(H628/H612)*AB60</f>
        <v>8829.7963381712143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197592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238036</v>
      </c>
      <c r="D701" s="180">
        <f>(D615/D612)*AJ76</f>
        <v>0</v>
      </c>
      <c r="E701" s="180">
        <f>(E623/E612)*SUM(C701:D701)</f>
        <v>27987.31980249588</v>
      </c>
      <c r="F701" s="180">
        <f>(F624/F612)*AJ64</f>
        <v>249.02959003563907</v>
      </c>
      <c r="G701" s="180">
        <f>(G625/G612)*AJ77</f>
        <v>0</v>
      </c>
      <c r="H701" s="180">
        <f>(H628/H612)*AJ60</f>
        <v>9048.0449390985486</v>
      </c>
      <c r="I701" s="180">
        <f>(I629/I612)*AJ78</f>
        <v>0</v>
      </c>
      <c r="J701" s="180">
        <f>(J630/J612)*AJ79</f>
        <v>0</v>
      </c>
      <c r="K701" s="180">
        <f>(K644/K612)*AJ75</f>
        <v>176289.77366701115</v>
      </c>
      <c r="L701" s="180">
        <f>(L647/L612)*AJ80</f>
        <v>0</v>
      </c>
      <c r="M701" s="180">
        <f t="shared" si="20"/>
        <v>213574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340166</v>
      </c>
      <c r="D704" s="180">
        <f>(D615/D612)*AM76</f>
        <v>0</v>
      </c>
      <c r="E704" s="180">
        <f>(E623/E612)*SUM(C704:D704)</f>
        <v>39995.356281973371</v>
      </c>
      <c r="F704" s="180">
        <f>(F624/F612)*AM64</f>
        <v>622.86287252533396</v>
      </c>
      <c r="G704" s="180">
        <f>(G625/G612)*AM77</f>
        <v>0</v>
      </c>
      <c r="H704" s="180">
        <f>(H628/H612)*AM60</f>
        <v>9828.3193489498663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50447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26301326.740000002</v>
      </c>
      <c r="D715" s="180">
        <f>SUM(D616:D647)+SUM(D668:D713)</f>
        <v>4679630.7399999993</v>
      </c>
      <c r="E715" s="180">
        <f>SUM(E624:E647)+SUM(E668:E713)</f>
        <v>2767064.3432644289</v>
      </c>
      <c r="F715" s="180">
        <f>SUM(F625:F648)+SUM(F668:F713)</f>
        <v>56294.438866019278</v>
      </c>
      <c r="G715" s="180">
        <f>SUM(G626:G647)+SUM(G668:G713)</f>
        <v>1284571.4791971154</v>
      </c>
      <c r="H715" s="180">
        <f>SUM(H629:H647)+SUM(H668:H713)</f>
        <v>448971.60718218074</v>
      </c>
      <c r="I715" s="180">
        <f>SUM(I630:I647)+SUM(I668:I713)</f>
        <v>418737.00494995958</v>
      </c>
      <c r="J715" s="180">
        <f>SUM(J631:J647)+SUM(J668:J713)</f>
        <v>151755.03614502621</v>
      </c>
      <c r="K715" s="180">
        <f>SUM(K668:K713)</f>
        <v>8786297.7197867241</v>
      </c>
      <c r="L715" s="180">
        <f>SUM(L668:L713)</f>
        <v>2677386.4685266144</v>
      </c>
      <c r="M715" s="180">
        <f>SUM(M668:M713)</f>
        <v>17909507</v>
      </c>
      <c r="N715" s="198" t="s">
        <v>742</v>
      </c>
    </row>
    <row r="716" spans="1:83" ht="12.65" customHeight="1" x14ac:dyDescent="0.35">
      <c r="C716" s="180">
        <f>CE71</f>
        <v>26301326.740000002</v>
      </c>
      <c r="D716" s="180">
        <f>D615</f>
        <v>4679630.74</v>
      </c>
      <c r="E716" s="180">
        <f>E623</f>
        <v>2767064.3432644289</v>
      </c>
      <c r="F716" s="180">
        <f>F624</f>
        <v>56294.438866019278</v>
      </c>
      <c r="G716" s="180">
        <f>G625</f>
        <v>1284571.4791971154</v>
      </c>
      <c r="H716" s="180">
        <f>H628</f>
        <v>448971.6071821808</v>
      </c>
      <c r="I716" s="180">
        <f>I629</f>
        <v>418737.00494995958</v>
      </c>
      <c r="J716" s="180">
        <f>J630</f>
        <v>151755.03614502621</v>
      </c>
      <c r="K716" s="180">
        <f>K644</f>
        <v>8786297.7197867241</v>
      </c>
      <c r="L716" s="180">
        <f>L647</f>
        <v>2677386.4685266144</v>
      </c>
      <c r="M716" s="180">
        <f>C648</f>
        <v>17909506.740000002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924*2019*A</v>
      </c>
      <c r="B722" s="276">
        <f>ROUND(C165,0)</f>
        <v>1055611</v>
      </c>
      <c r="C722" s="276">
        <f>ROUND(C166,0)</f>
        <v>0</v>
      </c>
      <c r="D722" s="276">
        <f>ROUND(C167,0)</f>
        <v>177598</v>
      </c>
      <c r="E722" s="276">
        <f>ROUND(C168,0)</f>
        <v>1125673</v>
      </c>
      <c r="F722" s="276">
        <f>ROUND(C169,0)</f>
        <v>19974</v>
      </c>
      <c r="G722" s="276">
        <f>ROUND(C170,0)</f>
        <v>136880</v>
      </c>
      <c r="H722" s="276">
        <f>ROUND(C171+C172,0)</f>
        <v>213482</v>
      </c>
      <c r="I722" s="276">
        <f>ROUND(C175,0)</f>
        <v>0</v>
      </c>
      <c r="J722" s="276">
        <f>ROUND(C176,0)</f>
        <v>153508</v>
      </c>
      <c r="K722" s="276">
        <f>ROUND(C179,0)</f>
        <v>112157</v>
      </c>
      <c r="L722" s="276">
        <f>ROUND(C180,0)</f>
        <v>21025</v>
      </c>
      <c r="M722" s="276">
        <f>ROUND(C183,0)</f>
        <v>17032</v>
      </c>
      <c r="N722" s="276">
        <f>ROUND(C184,0)</f>
        <v>872712</v>
      </c>
      <c r="O722" s="276">
        <f>ROUND(C185,0)</f>
        <v>58653</v>
      </c>
      <c r="P722" s="276">
        <f>ROUND(C188,0)</f>
        <v>0</v>
      </c>
      <c r="Q722" s="276">
        <f>ROUND(C189,0)</f>
        <v>959758</v>
      </c>
      <c r="R722" s="276">
        <f>ROUND(B195,0)</f>
        <v>2000000</v>
      </c>
      <c r="S722" s="276">
        <f>ROUND(C195,0)</f>
        <v>0</v>
      </c>
      <c r="T722" s="276">
        <f>ROUND(D195,0)</f>
        <v>2000000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22957331</v>
      </c>
      <c r="Y722" s="276">
        <f>ROUND(C197,0)</f>
        <v>27570400</v>
      </c>
      <c r="Z722" s="276">
        <f>ROUND(D197,0)</f>
        <v>22957331</v>
      </c>
      <c r="AA722" s="276">
        <f>ROUND(B198,0)</f>
        <v>132608</v>
      </c>
      <c r="AB722" s="276">
        <f>ROUND(C198,0)</f>
        <v>7549</v>
      </c>
      <c r="AC722" s="276">
        <f>ROUND(D198,0)</f>
        <v>140158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1199077</v>
      </c>
      <c r="AH722" s="276">
        <f>ROUND(C200,0)</f>
        <v>13191</v>
      </c>
      <c r="AI722" s="276">
        <f>ROUND(D200,0)</f>
        <v>0</v>
      </c>
      <c r="AJ722" s="276">
        <f>ROUND(B201,0)</f>
        <v>328952</v>
      </c>
      <c r="AK722" s="276">
        <f>ROUND(C201,0)</f>
        <v>59867</v>
      </c>
      <c r="AL722" s="276">
        <f>ROUND(D201,0)</f>
        <v>0</v>
      </c>
      <c r="AM722" s="276">
        <f>ROUND(B202,0)</f>
        <v>0</v>
      </c>
      <c r="AN722" s="276">
        <f>ROUND(C202,0)</f>
        <v>23695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933678</v>
      </c>
      <c r="AZ722" s="276">
        <f>ROUND(C210,0)</f>
        <v>1109223</v>
      </c>
      <c r="BA722" s="276">
        <f>ROUND(D210,0)</f>
        <v>1277057</v>
      </c>
      <c r="BB722" s="276">
        <f>ROUND(B211,0)</f>
        <v>7393</v>
      </c>
      <c r="BC722" s="276">
        <f>ROUND(C211,0)</f>
        <v>4884</v>
      </c>
      <c r="BD722" s="276">
        <f>ROUND(D211,0)</f>
        <v>12277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318712</v>
      </c>
      <c r="BI722" s="276">
        <f>ROUND(C213,0)</f>
        <v>207647</v>
      </c>
      <c r="BJ722" s="276">
        <f>ROUND(D213,0)</f>
        <v>0</v>
      </c>
      <c r="BK722" s="276">
        <f>ROUND(B214,0)</f>
        <v>77093</v>
      </c>
      <c r="BL722" s="276">
        <f>ROUND(C214,0)</f>
        <v>76556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8214625</v>
      </c>
      <c r="BU722" s="276">
        <f>ROUND(C224,0)</f>
        <v>13475545</v>
      </c>
      <c r="BV722" s="276">
        <f>ROUND(C225,0)</f>
        <v>0</v>
      </c>
      <c r="BW722" s="276">
        <f>ROUND(C226,0)</f>
        <v>2823628</v>
      </c>
      <c r="BX722" s="276">
        <f>ROUND(C227,0)</f>
        <v>33251556</v>
      </c>
      <c r="BY722" s="276">
        <f>ROUND(C228,0)</f>
        <v>124148</v>
      </c>
      <c r="BZ722" s="276">
        <f>ROUND(C231,0)</f>
        <v>56</v>
      </c>
      <c r="CA722" s="276">
        <f>ROUND(C233,0)</f>
        <v>350460</v>
      </c>
      <c r="CB722" s="276">
        <f>ROUND(C234,0)</f>
        <v>31323</v>
      </c>
      <c r="CC722" s="276">
        <f>ROUND(C238+C239,0)</f>
        <v>95561</v>
      </c>
      <c r="CD722" s="276">
        <f>D221</f>
        <v>1287503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924*2019*A</v>
      </c>
      <c r="B726" s="276">
        <f>ROUND(C111,0)</f>
        <v>2510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26836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115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115</v>
      </c>
      <c r="W726" s="276">
        <f>ROUND(C129,0)</f>
        <v>0</v>
      </c>
      <c r="X726" s="276">
        <f>ROUND(B138,0)</f>
        <v>272</v>
      </c>
      <c r="Y726" s="276">
        <f>ROUND(B139,0)</f>
        <v>5407</v>
      </c>
      <c r="Z726" s="276">
        <f>ROUND(B140,0)</f>
        <v>240</v>
      </c>
      <c r="AA726" s="276">
        <f>ROUND(B141,0)</f>
        <v>16221000</v>
      </c>
      <c r="AB726" s="276">
        <f>ROUND(B142,0)</f>
        <v>156000</v>
      </c>
      <c r="AC726" s="276">
        <f>ROUND(C138,0)</f>
        <v>1326</v>
      </c>
      <c r="AD726" s="276">
        <f>ROUND(C139,0)</f>
        <v>14085</v>
      </c>
      <c r="AE726" s="276">
        <f>ROUND(C140,0)</f>
        <v>142</v>
      </c>
      <c r="AF726" s="276">
        <f>ROUND(C141,0)</f>
        <v>42255000</v>
      </c>
      <c r="AG726" s="276">
        <f>ROUND(C142,0)</f>
        <v>92300</v>
      </c>
      <c r="AH726" s="276">
        <f>ROUND(D138,0)</f>
        <v>912</v>
      </c>
      <c r="AI726" s="276">
        <f>ROUND(D139,0)</f>
        <v>7344</v>
      </c>
      <c r="AJ726" s="276">
        <f>ROUND(D140,0)</f>
        <v>2154</v>
      </c>
      <c r="AK726" s="276">
        <f>ROUND(D141,0)</f>
        <v>24452733</v>
      </c>
      <c r="AL726" s="276">
        <f>ROUND(D142,0)</f>
        <v>1400100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2420733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924*2019*A</v>
      </c>
      <c r="B730" s="276">
        <f>ROUND(C250,0)</f>
        <v>1088703</v>
      </c>
      <c r="C730" s="276">
        <f>ROUND(C251,0)</f>
        <v>0</v>
      </c>
      <c r="D730" s="276">
        <f>ROUND(C252,0)</f>
        <v>4306511</v>
      </c>
      <c r="E730" s="276">
        <f>ROUND(C253,0)</f>
        <v>204096</v>
      </c>
      <c r="F730" s="276">
        <f>ROUND(C254,0)</f>
        <v>85908</v>
      </c>
      <c r="G730" s="276">
        <f>ROUND(C255,0)</f>
        <v>0</v>
      </c>
      <c r="H730" s="276">
        <f>ROUND(C256,0)</f>
        <v>0</v>
      </c>
      <c r="I730" s="276">
        <f>ROUND(C257,0)</f>
        <v>60565</v>
      </c>
      <c r="J730" s="276">
        <f>ROUND(C258,0)</f>
        <v>269719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27570400</v>
      </c>
      <c r="R730" s="276">
        <f>ROUND(C270,0)</f>
        <v>0</v>
      </c>
      <c r="S730" s="276">
        <f>ROUND(C271,0)</f>
        <v>0</v>
      </c>
      <c r="T730" s="276">
        <f>ROUND(C272,0)</f>
        <v>1624782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1452517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116553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957414</v>
      </c>
      <c r="AI730" s="276">
        <f>ROUND(C306,0)</f>
        <v>793753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-15989786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27011282</v>
      </c>
      <c r="AX730" s="276">
        <f>ROUND(C325,0)</f>
        <v>0</v>
      </c>
      <c r="AY730" s="276">
        <f>ROUND(C326,0)</f>
        <v>0</v>
      </c>
      <c r="AZ730" s="276">
        <f>ROUND(C327,0)</f>
        <v>3463962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-5943244</v>
      </c>
      <c r="BF730" s="276">
        <f>ROUND(C336,0)</f>
        <v>23173147</v>
      </c>
      <c r="BG730" s="276"/>
      <c r="BH730" s="276"/>
      <c r="BI730" s="276">
        <f>ROUND(CE60,2)</f>
        <v>177.51</v>
      </c>
      <c r="BJ730" s="276">
        <f>ROUND(C359,0)</f>
        <v>82928733</v>
      </c>
      <c r="BK730" s="276">
        <f>ROUND(C360,0)</f>
        <v>1648400</v>
      </c>
      <c r="BL730" s="276">
        <f>ROUND(C364,0)</f>
        <v>57889502</v>
      </c>
      <c r="BM730" s="276">
        <f>ROUND(C365,0)</f>
        <v>381783</v>
      </c>
      <c r="BN730" s="276">
        <f>ROUND(C366,0)</f>
        <v>95561</v>
      </c>
      <c r="BO730" s="276">
        <f>ROUND(C370,0)</f>
        <v>56403</v>
      </c>
      <c r="BP730" s="276">
        <f>ROUND(C371,0)</f>
        <v>0</v>
      </c>
      <c r="BQ730" s="276">
        <f>ROUND(C378,0)</f>
        <v>13088462</v>
      </c>
      <c r="BR730" s="276">
        <f>ROUND(C379,0)</f>
        <v>2729218</v>
      </c>
      <c r="BS730" s="276">
        <f>ROUND(C380,0)</f>
        <v>1469381</v>
      </c>
      <c r="BT730" s="276">
        <f>ROUND(C381,0)</f>
        <v>1022055</v>
      </c>
      <c r="BU730" s="276">
        <f>ROUND(C382,0)</f>
        <v>256856</v>
      </c>
      <c r="BV730" s="276">
        <f>ROUND(C383,0)</f>
        <v>3074427</v>
      </c>
      <c r="BW730" s="276">
        <f>ROUND(C384,0)</f>
        <v>2132546</v>
      </c>
      <c r="BX730" s="276">
        <f>ROUND(C385,0)</f>
        <v>153508</v>
      </c>
      <c r="BY730" s="276">
        <f>ROUND(C386,0)</f>
        <v>133182</v>
      </c>
      <c r="BZ730" s="276">
        <f>ROUND(C387,0)</f>
        <v>872712</v>
      </c>
      <c r="CA730" s="276">
        <f>ROUND(C388,0)</f>
        <v>959758</v>
      </c>
      <c r="CB730" s="276">
        <f>C363</f>
        <v>1287503</v>
      </c>
      <c r="CC730" s="276">
        <f>ROUND(C389,0)</f>
        <v>465622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924*2019*6010*A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924*2019*6030*A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924*2019*6070*A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924*2019*6100*A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924*2019*6120*A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924*2019*6140*A</v>
      </c>
      <c r="B739" s="276">
        <f>ROUND(H59,0)</f>
        <v>26836</v>
      </c>
      <c r="C739" s="278">
        <f>ROUND(H60,2)</f>
        <v>77.41</v>
      </c>
      <c r="D739" s="276">
        <f>ROUND(H61,0)</f>
        <v>4398815</v>
      </c>
      <c r="E739" s="276">
        <f>ROUND(H62,0)</f>
        <v>924818</v>
      </c>
      <c r="F739" s="276">
        <f>ROUND(H63,0)</f>
        <v>0</v>
      </c>
      <c r="G739" s="276">
        <f>ROUND(H64,0)</f>
        <v>157008</v>
      </c>
      <c r="H739" s="276">
        <f>ROUND(H65,0)</f>
        <v>0</v>
      </c>
      <c r="I739" s="276">
        <f>ROUND(H66,0)</f>
        <v>1296149</v>
      </c>
      <c r="J739" s="276">
        <f>ROUND(H67,0)</f>
        <v>0</v>
      </c>
      <c r="K739" s="276">
        <f>ROUND(H68,0)</f>
        <v>0</v>
      </c>
      <c r="L739" s="276">
        <f>ROUND(H69,0)</f>
        <v>270</v>
      </c>
      <c r="M739" s="276">
        <f>ROUND(H70,0)</f>
        <v>0</v>
      </c>
      <c r="N739" s="276">
        <f>ROUND(H75,0)</f>
        <v>80508000</v>
      </c>
      <c r="O739" s="276">
        <f>ROUND(H73,0)</f>
        <v>80508000</v>
      </c>
      <c r="P739" s="276">
        <f>IF(H76&gt;0,ROUND(H76,0),0)</f>
        <v>39983</v>
      </c>
      <c r="Q739" s="276">
        <f>IF(H77&gt;0,ROUND(H77,0),0)</f>
        <v>70782</v>
      </c>
      <c r="R739" s="276">
        <f>IF(H78&gt;0,ROUND(H78,0),0)</f>
        <v>8760</v>
      </c>
      <c r="S739" s="276">
        <f>IF(H79&gt;0,ROUND(H79,0),0)</f>
        <v>72914</v>
      </c>
      <c r="T739" s="278">
        <f>IF(H80&gt;0,ROUND(H80,2),0)</f>
        <v>77.41</v>
      </c>
      <c r="U739" s="276"/>
      <c r="V739" s="277"/>
      <c r="W739" s="276"/>
      <c r="X739" s="276"/>
      <c r="Y739" s="276">
        <f t="shared" si="21"/>
        <v>17435369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924*2019*6150*A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924*2019*6170*A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924*2019*6200*A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924*2019*6210*A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924*2019*6330*A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924*2019*6400*A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924*2019*7010*A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924*2019*7020*A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924*2019*7030*A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924*2019*7040*A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924*2019*7050*A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924*2019*7060*A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924*2019*7070*A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79046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9294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924*2019*7110*A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924*2019*7120*A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924*2019*7130*A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924*2019*7140*A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27482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3231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924*2019*7150*A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924*2019*7160*A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924*2019*7170*A</v>
      </c>
      <c r="B759" s="276"/>
      <c r="C759" s="278">
        <f>ROUND(AB60,2)</f>
        <v>2.98</v>
      </c>
      <c r="D759" s="276">
        <f>ROUND(AB61,0)</f>
        <v>570</v>
      </c>
      <c r="E759" s="276">
        <f>ROUND(AB62,0)</f>
        <v>228</v>
      </c>
      <c r="F759" s="276">
        <f>ROUND(AB63,0)</f>
        <v>0</v>
      </c>
      <c r="G759" s="276">
        <f>ROUND(AB64,0)</f>
        <v>218227</v>
      </c>
      <c r="H759" s="276">
        <f>ROUND(AB65,0)</f>
        <v>0</v>
      </c>
      <c r="I759" s="276">
        <f>ROUND(AB66,0)</f>
        <v>710516</v>
      </c>
      <c r="J759" s="276">
        <f>ROUND(AB67,0)</f>
        <v>0</v>
      </c>
      <c r="K759" s="276">
        <f>ROUND(AB68,0)</f>
        <v>0</v>
      </c>
      <c r="L759" s="276">
        <f>ROUND(AB69,0)</f>
        <v>489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820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197592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924*2019*7180*A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924*2019*7190*A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924*2019*7200*A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924*2019*7220*A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924*2019*7230*A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924*2019*7240*A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924*2019*7250*A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924*2019*7260*A</v>
      </c>
      <c r="B767" s="276">
        <f>ROUND(AJ59,0)</f>
        <v>2536</v>
      </c>
      <c r="C767" s="278">
        <f>ROUND(AJ60,2)</f>
        <v>3.05</v>
      </c>
      <c r="D767" s="276">
        <f>ROUND(AJ61,0)</f>
        <v>194223</v>
      </c>
      <c r="E767" s="276">
        <f>ROUND(AJ62,0)</f>
        <v>39503</v>
      </c>
      <c r="F767" s="276">
        <f>ROUND(AJ63,0)</f>
        <v>0</v>
      </c>
      <c r="G767" s="276">
        <f>ROUND(AJ64,0)</f>
        <v>4310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1648400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213574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924*2019*7310*A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924*2019*7320*A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924*2019*7330*A</v>
      </c>
      <c r="B770" s="276">
        <f>ROUND(AM59,0)</f>
        <v>0</v>
      </c>
      <c r="C770" s="278">
        <f>ROUND(AM60,2)</f>
        <v>3.31</v>
      </c>
      <c r="D770" s="276">
        <f>ROUND(AM61,0)</f>
        <v>248226</v>
      </c>
      <c r="E770" s="276">
        <f>ROUND(AM62,0)</f>
        <v>51450</v>
      </c>
      <c r="F770" s="276">
        <f>ROUND(AM63,0)</f>
        <v>0</v>
      </c>
      <c r="G770" s="276">
        <f>ROUND(AM64,0)</f>
        <v>10780</v>
      </c>
      <c r="H770" s="276">
        <f>ROUND(AM65,0)</f>
        <v>0</v>
      </c>
      <c r="I770" s="276">
        <f>ROUND(AM66,0)</f>
        <v>29710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50447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924*2019*7340*A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924*2019*7350*A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924*2019*7380*A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924*2019*7390*A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924*2019*7400*A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924*2019*7410*A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924*2019*7420*A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924*2019*7430*A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924*2019*7490*A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924*2019*8200*A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924*2019*8310*A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924*2019*8320*A</v>
      </c>
      <c r="B782" s="276">
        <f>ROUND(AY59,0)</f>
        <v>0</v>
      </c>
      <c r="C782" s="278">
        <f>ROUND(AY60,2)</f>
        <v>7.76</v>
      </c>
      <c r="D782" s="276">
        <f>ROUND(AY61,0)</f>
        <v>351294</v>
      </c>
      <c r="E782" s="276">
        <f>ROUND(AY62,0)</f>
        <v>73313</v>
      </c>
      <c r="F782" s="276">
        <f>ROUND(AY63,0)</f>
        <v>0</v>
      </c>
      <c r="G782" s="276">
        <f>ROUND(AY64,0)</f>
        <v>434555</v>
      </c>
      <c r="H782" s="276">
        <f>ROUND(AY65,0)</f>
        <v>0</v>
      </c>
      <c r="I782" s="276">
        <f>ROUND(AY66,0)</f>
        <v>14626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3473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924*2019*8330*A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924*2019*8350*A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51083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1162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924*2019*8360*A</v>
      </c>
      <c r="B785" s="276"/>
      <c r="C785" s="278">
        <f>ROUND(BB60,2)</f>
        <v>16.440000000000001</v>
      </c>
      <c r="D785" s="276">
        <f>ROUND(BB61,0)</f>
        <v>1076660</v>
      </c>
      <c r="E785" s="276">
        <f>ROUND(BB62,0)</f>
        <v>222376</v>
      </c>
      <c r="F785" s="276">
        <f>ROUND(BB63,0)</f>
        <v>0</v>
      </c>
      <c r="G785" s="276">
        <f>ROUND(BB64,0)</f>
        <v>3707</v>
      </c>
      <c r="H785" s="276">
        <f>ROUND(BB65,0)</f>
        <v>0</v>
      </c>
      <c r="I785" s="276">
        <f>ROUND(BB66,0)</f>
        <v>137729</v>
      </c>
      <c r="J785" s="276">
        <f>ROUND(BB67,0)</f>
        <v>0</v>
      </c>
      <c r="K785" s="276">
        <f>ROUND(BB68,0)</f>
        <v>0</v>
      </c>
      <c r="L785" s="276">
        <f>ROUND(BB69,0)</f>
        <v>422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924*2019*8370*A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924*2019*8420*A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691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924*2019*8430*A</v>
      </c>
      <c r="B788" s="276">
        <f>ROUND(BE59,0)</f>
        <v>70913</v>
      </c>
      <c r="C788" s="278">
        <f>ROUND(BE60,2)</f>
        <v>2.86</v>
      </c>
      <c r="D788" s="276">
        <f>ROUND(BE61,0)</f>
        <v>165939</v>
      </c>
      <c r="E788" s="276">
        <f>ROUND(BE62,0)</f>
        <v>34992</v>
      </c>
      <c r="F788" s="276">
        <f>ROUND(BE63,0)</f>
        <v>4183</v>
      </c>
      <c r="G788" s="276">
        <f>ROUND(BE64,0)</f>
        <v>28089</v>
      </c>
      <c r="H788" s="276">
        <f>ROUND(BE65,0)</f>
        <v>256856</v>
      </c>
      <c r="I788" s="276">
        <f>ROUND(BE66,0)</f>
        <v>9188</v>
      </c>
      <c r="J788" s="276">
        <f>ROUND(BE67,0)</f>
        <v>2132546</v>
      </c>
      <c r="K788" s="276">
        <f>ROUND(BE68,0)</f>
        <v>0</v>
      </c>
      <c r="L788" s="276">
        <f>ROUND(BE69,0)</f>
        <v>138588</v>
      </c>
      <c r="M788" s="276">
        <f>ROUND(BE70,0)</f>
        <v>0</v>
      </c>
      <c r="N788" s="276"/>
      <c r="O788" s="276"/>
      <c r="P788" s="276">
        <f>IF(BE76&gt;0,ROUND(BE76,0),0)</f>
        <v>5998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924*2019*8460*A</v>
      </c>
      <c r="B789" s="276"/>
      <c r="C789" s="278">
        <f>ROUND(BF60,2)</f>
        <v>4.5599999999999996</v>
      </c>
      <c r="D789" s="276">
        <f>ROUND(BF61,0)</f>
        <v>166055</v>
      </c>
      <c r="E789" s="276">
        <f>ROUND(BF62,0)</f>
        <v>35292</v>
      </c>
      <c r="F789" s="276">
        <f>ROUND(BF63,0)</f>
        <v>0</v>
      </c>
      <c r="G789" s="276">
        <f>ROUND(BF64,0)</f>
        <v>72759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1162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924*2019*8470*A</v>
      </c>
      <c r="B790" s="276"/>
      <c r="C790" s="278">
        <f>ROUND(BG60,2)</f>
        <v>2.96</v>
      </c>
      <c r="D790" s="276">
        <f>ROUND(BG61,0)</f>
        <v>105724</v>
      </c>
      <c r="E790" s="276">
        <f>ROUND(BG62,0)</f>
        <v>22255</v>
      </c>
      <c r="F790" s="276">
        <f>ROUND(BG63,0)</f>
        <v>0</v>
      </c>
      <c r="G790" s="276">
        <f>ROUND(BG64,0)</f>
        <v>233</v>
      </c>
      <c r="H790" s="276">
        <f>ROUND(BG65,0)</f>
        <v>0</v>
      </c>
      <c r="I790" s="276">
        <f>ROUND(BG66,0)</f>
        <v>8595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924*2019*8480*A</v>
      </c>
      <c r="B791" s="276"/>
      <c r="C791" s="278">
        <f>ROUND(BH60,2)</f>
        <v>0.68</v>
      </c>
      <c r="D791" s="276">
        <f>ROUND(BH61,0)</f>
        <v>49709</v>
      </c>
      <c r="E791" s="276">
        <f>ROUND(BH62,0)</f>
        <v>9785</v>
      </c>
      <c r="F791" s="276">
        <f>ROUND(BH63,0)</f>
        <v>0</v>
      </c>
      <c r="G791" s="276">
        <f>ROUND(BH64,0)</f>
        <v>13152</v>
      </c>
      <c r="H791" s="276">
        <f>ROUND(BH65,0)</f>
        <v>0</v>
      </c>
      <c r="I791" s="276">
        <f>ROUND(BH66,0)</f>
        <v>195976</v>
      </c>
      <c r="J791" s="276">
        <f>ROUND(BH67,0)</f>
        <v>0</v>
      </c>
      <c r="K791" s="276">
        <f>ROUND(BH68,0)</f>
        <v>0</v>
      </c>
      <c r="L791" s="276">
        <f>ROUND(BH69,0)</f>
        <v>-45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924*2019*8490*A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924*2019*8510*A</v>
      </c>
      <c r="B793" s="276"/>
      <c r="C793" s="278">
        <f>ROUND(BJ60,2)</f>
        <v>2.13</v>
      </c>
      <c r="D793" s="276">
        <f>ROUND(BJ61,0)</f>
        <v>207646</v>
      </c>
      <c r="E793" s="276">
        <f>ROUND(BJ62,0)</f>
        <v>44469</v>
      </c>
      <c r="F793" s="276">
        <f>ROUND(BJ63,0)</f>
        <v>0</v>
      </c>
      <c r="G793" s="276">
        <f>ROUND(BJ64,0)</f>
        <v>9923</v>
      </c>
      <c r="H793" s="276">
        <f>ROUND(BJ65,0)</f>
        <v>0</v>
      </c>
      <c r="I793" s="276">
        <f>ROUND(BJ66,0)</f>
        <v>106500</v>
      </c>
      <c r="J793" s="276">
        <f>ROUND(BJ67,0)</f>
        <v>0</v>
      </c>
      <c r="K793" s="276">
        <f>ROUND(BJ68,0)</f>
        <v>0</v>
      </c>
      <c r="L793" s="276">
        <f>ROUND(BJ69,0)</f>
        <v>18733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924*2019*8530*A</v>
      </c>
      <c r="B794" s="276"/>
      <c r="C794" s="278">
        <f>ROUND(BK60,2)</f>
        <v>7.53</v>
      </c>
      <c r="D794" s="276">
        <f>ROUND(BK61,0)</f>
        <v>410291</v>
      </c>
      <c r="E794" s="276">
        <f>ROUND(BK62,0)</f>
        <v>72842</v>
      </c>
      <c r="F794" s="276">
        <f>ROUND(BK63,0)</f>
        <v>0</v>
      </c>
      <c r="G794" s="276">
        <f>ROUND(BK64,0)</f>
        <v>4361</v>
      </c>
      <c r="H794" s="276">
        <f>ROUND(BK65,0)</f>
        <v>0</v>
      </c>
      <c r="I794" s="276">
        <f>ROUND(BK66,0)</f>
        <v>87305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924*2019*8560*A</v>
      </c>
      <c r="B795" s="276"/>
      <c r="C795" s="278">
        <f>ROUND(BL60,2)</f>
        <v>12.48</v>
      </c>
      <c r="D795" s="276">
        <f>ROUND(BL61,0)</f>
        <v>1120923</v>
      </c>
      <c r="E795" s="276">
        <f>ROUND(BL62,0)</f>
        <v>227114</v>
      </c>
      <c r="F795" s="276">
        <f>ROUND(BL63,0)</f>
        <v>0</v>
      </c>
      <c r="G795" s="276">
        <f>ROUND(BL64,0)</f>
        <v>4517</v>
      </c>
      <c r="H795" s="276">
        <f>ROUND(BL65,0)</f>
        <v>0</v>
      </c>
      <c r="I795" s="276">
        <f>ROUND(BL66,0)</f>
        <v>15616</v>
      </c>
      <c r="J795" s="276">
        <f>ROUND(BL67,0)</f>
        <v>0</v>
      </c>
      <c r="K795" s="276">
        <f>ROUND(BL68,0)</f>
        <v>0</v>
      </c>
      <c r="L795" s="276">
        <f>ROUND(BL69,0)</f>
        <v>4867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924*2019*8590*A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924*2019*8610*A</v>
      </c>
      <c r="B797" s="276"/>
      <c r="C797" s="278">
        <f>ROUND(BN60,2)</f>
        <v>5.38</v>
      </c>
      <c r="D797" s="276">
        <f>ROUND(BN61,0)</f>
        <v>545142</v>
      </c>
      <c r="E797" s="276">
        <f>ROUND(BN62,0)</f>
        <v>96911</v>
      </c>
      <c r="F797" s="276">
        <f>ROUND(BN63,0)</f>
        <v>113613</v>
      </c>
      <c r="G797" s="276">
        <f>ROUND(BN64,0)</f>
        <v>2125</v>
      </c>
      <c r="H797" s="276">
        <f>ROUND(BN65,0)</f>
        <v>0</v>
      </c>
      <c r="I797" s="276">
        <f>ROUND(BN66,0)</f>
        <v>66419</v>
      </c>
      <c r="J797" s="276">
        <f>ROUND(BN67,0)</f>
        <v>0</v>
      </c>
      <c r="K797" s="276">
        <f>ROUND(BN68,0)</f>
        <v>153509</v>
      </c>
      <c r="L797" s="276">
        <f>ROUND(BN69,0)</f>
        <v>22467</v>
      </c>
      <c r="M797" s="276">
        <f>ROUND(BN70,0)</f>
        <v>0</v>
      </c>
      <c r="N797" s="276"/>
      <c r="O797" s="276"/>
      <c r="P797" s="276">
        <f>IF(BN76&gt;0,ROUND(BN76,0),0)</f>
        <v>10339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924*2019*8620*A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924*2019*8630*A</v>
      </c>
      <c r="B799" s="276"/>
      <c r="C799" s="278">
        <f>ROUND(BP60,2)</f>
        <v>3.5</v>
      </c>
      <c r="D799" s="276">
        <f>ROUND(BP61,0)</f>
        <v>342909</v>
      </c>
      <c r="E799" s="276">
        <f>ROUND(BP62,0)</f>
        <v>70245</v>
      </c>
      <c r="F799" s="276">
        <f>ROUND(BP63,0)</f>
        <v>0</v>
      </c>
      <c r="G799" s="276">
        <f>ROUND(BP64,0)</f>
        <v>7386</v>
      </c>
      <c r="H799" s="276">
        <f>ROUND(BP65,0)</f>
        <v>0</v>
      </c>
      <c r="I799" s="276">
        <f>ROUND(BP66,0)</f>
        <v>15099</v>
      </c>
      <c r="J799" s="276">
        <f>ROUND(BP67,0)</f>
        <v>0</v>
      </c>
      <c r="K799" s="276">
        <f>ROUND(BP68,0)</f>
        <v>0</v>
      </c>
      <c r="L799" s="276">
        <f>ROUND(BP69,0)</f>
        <v>53478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924*2019*8640*A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924*2019*8650*A</v>
      </c>
      <c r="B801" s="276"/>
      <c r="C801" s="278">
        <f>ROUND(BR60,2)</f>
        <v>1.6</v>
      </c>
      <c r="D801" s="276">
        <f>ROUND(BR61,0)</f>
        <v>95864</v>
      </c>
      <c r="E801" s="276">
        <f>ROUND(BR62,0)</f>
        <v>17030</v>
      </c>
      <c r="F801" s="276">
        <f>ROUND(BR63,0)</f>
        <v>0</v>
      </c>
      <c r="G801" s="276">
        <f>ROUND(BR64,0)</f>
        <v>11102</v>
      </c>
      <c r="H801" s="276">
        <f>ROUND(BR65,0)</f>
        <v>0</v>
      </c>
      <c r="I801" s="276">
        <f>ROUND(BR66,0)</f>
        <v>55232</v>
      </c>
      <c r="J801" s="276">
        <f>ROUND(BR67,0)</f>
        <v>0</v>
      </c>
      <c r="K801" s="276">
        <f>ROUND(BR68,0)</f>
        <v>0</v>
      </c>
      <c r="L801" s="276">
        <f>ROUND(BR69,0)</f>
        <v>221935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924*2019*8660*A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924*2019*8670*A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924*2019*8680*A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924*2019*8690*A</v>
      </c>
      <c r="B805" s="276"/>
      <c r="C805" s="278">
        <f>ROUND(BV60,2)</f>
        <v>3.67</v>
      </c>
      <c r="D805" s="276">
        <f>ROUND(BV61,0)</f>
        <v>249437</v>
      </c>
      <c r="E805" s="276">
        <f>ROUND(BV62,0)</f>
        <v>50606</v>
      </c>
      <c r="F805" s="276">
        <f>ROUND(BV63,0)</f>
        <v>0</v>
      </c>
      <c r="G805" s="276">
        <f>ROUND(BV64,0)</f>
        <v>12551</v>
      </c>
      <c r="H805" s="276">
        <f>ROUND(BV65,0)</f>
        <v>0</v>
      </c>
      <c r="I805" s="276">
        <f>ROUND(BV66,0)</f>
        <v>104098</v>
      </c>
      <c r="J805" s="276">
        <f>ROUND(BV67,0)</f>
        <v>0</v>
      </c>
      <c r="K805" s="276">
        <f>ROUND(BV68,0)</f>
        <v>0</v>
      </c>
      <c r="L805" s="276">
        <f>ROUND(BV69,0)</f>
        <v>159</v>
      </c>
      <c r="M805" s="276">
        <f>ROUND(BV70,0)</f>
        <v>0</v>
      </c>
      <c r="N805" s="276"/>
      <c r="O805" s="276"/>
      <c r="P805" s="276">
        <f>IF(BV76&gt;0,ROUND(BV76,0),0)</f>
        <v>828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924*2019*8700*A</v>
      </c>
      <c r="B806" s="276"/>
      <c r="C806" s="278">
        <f>ROUND(BW60,2)</f>
        <v>4.21</v>
      </c>
      <c r="D806" s="276">
        <f>ROUND(BW61,0)</f>
        <v>1443737</v>
      </c>
      <c r="E806" s="276">
        <f>ROUND(BW62,0)</f>
        <v>347384</v>
      </c>
      <c r="F806" s="276">
        <f>ROUND(BW63,0)</f>
        <v>1351585</v>
      </c>
      <c r="G806" s="276">
        <f>ROUND(BW64,0)</f>
        <v>4940</v>
      </c>
      <c r="H806" s="276">
        <f>ROUND(BW65,0)</f>
        <v>0</v>
      </c>
      <c r="I806" s="276">
        <f>ROUND(BW66,0)</f>
        <v>4207</v>
      </c>
      <c r="J806" s="276">
        <f>ROUND(BW67,0)</f>
        <v>0</v>
      </c>
      <c r="K806" s="276">
        <f>ROUND(BW68,0)</f>
        <v>0</v>
      </c>
      <c r="L806" s="276">
        <f>ROUND(BW69,0)</f>
        <v>33</v>
      </c>
      <c r="M806" s="276">
        <f>ROUND(BW70,0)</f>
        <v>0</v>
      </c>
      <c r="N806" s="276"/>
      <c r="O806" s="276"/>
      <c r="P806" s="276">
        <f>IF(BW76&gt;0,ROUND(BW76,0),0)</f>
        <v>451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924*2019*8710*A</v>
      </c>
      <c r="B807" s="276"/>
      <c r="C807" s="278">
        <f>ROUND(BX60,2)</f>
        <v>5.09</v>
      </c>
      <c r="D807" s="276">
        <f>ROUND(BX61,0)</f>
        <v>335592</v>
      </c>
      <c r="E807" s="276">
        <f>ROUND(BX62,0)</f>
        <v>70026</v>
      </c>
      <c r="F807" s="276">
        <f>ROUND(BX63,0)</f>
        <v>0</v>
      </c>
      <c r="G807" s="276">
        <f>ROUND(BX64,0)</f>
        <v>1597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50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924*2019*8720*A</v>
      </c>
      <c r="B808" s="276"/>
      <c r="C808" s="278">
        <f>ROUND(BY60,2)</f>
        <v>9.89</v>
      </c>
      <c r="D808" s="276">
        <f>ROUND(BY61,0)</f>
        <v>1579705</v>
      </c>
      <c r="E808" s="276">
        <f>ROUND(BY62,0)</f>
        <v>318582</v>
      </c>
      <c r="F808" s="276">
        <f>ROUND(BY63,0)</f>
        <v>0</v>
      </c>
      <c r="G808" s="276">
        <f>ROUND(BY64,0)</f>
        <v>20732</v>
      </c>
      <c r="H808" s="276">
        <f>ROUND(BY65,0)</f>
        <v>0</v>
      </c>
      <c r="I808" s="276">
        <f>ROUND(BY66,0)</f>
        <v>59851</v>
      </c>
      <c r="J808" s="276">
        <f>ROUND(BY67,0)</f>
        <v>0</v>
      </c>
      <c r="K808" s="276">
        <f>ROUND(BY68,0)</f>
        <v>0</v>
      </c>
      <c r="L808" s="276">
        <f>ROUND(BY69,0)</f>
        <v>4176</v>
      </c>
      <c r="M808" s="276">
        <f>ROUND(BY70,0)</f>
        <v>0</v>
      </c>
      <c r="N808" s="276"/>
      <c r="O808" s="276"/>
      <c r="P808" s="276">
        <f>IF(BY76&gt;0,ROUND(BY76,0),0)</f>
        <v>5286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924*2019*8730*A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924*2019*8740*A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924*2019*8770*A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924*2019*8790*A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924*2019*9000*A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1965652</v>
      </c>
      <c r="V813" s="277">
        <f>ROUND(CD70,0)</f>
        <v>56403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177.48999999999995</v>
      </c>
      <c r="D815" s="277">
        <f t="shared" si="22"/>
        <v>13088461</v>
      </c>
      <c r="E815" s="277">
        <f t="shared" si="22"/>
        <v>2729221</v>
      </c>
      <c r="F815" s="277">
        <f t="shared" si="22"/>
        <v>1469381</v>
      </c>
      <c r="G815" s="277">
        <f t="shared" si="22"/>
        <v>1022054</v>
      </c>
      <c r="H815" s="277">
        <f t="shared" si="22"/>
        <v>256856</v>
      </c>
      <c r="I815" s="277">
        <f t="shared" si="22"/>
        <v>3074427</v>
      </c>
      <c r="J815" s="277">
        <f t="shared" si="22"/>
        <v>2132546</v>
      </c>
      <c r="K815" s="277">
        <f t="shared" si="22"/>
        <v>153509</v>
      </c>
      <c r="L815" s="277">
        <f>SUM(L734:L813)+SUM(U734:U813)</f>
        <v>2431274</v>
      </c>
      <c r="M815" s="277">
        <f>SUM(M734:M813)+SUM(V734:V813)</f>
        <v>56403</v>
      </c>
      <c r="N815" s="277">
        <f t="shared" ref="N815:Y815" si="23">SUM(N734:N813)</f>
        <v>82156400</v>
      </c>
      <c r="O815" s="277">
        <f t="shared" si="23"/>
        <v>80508000</v>
      </c>
      <c r="P815" s="277">
        <f t="shared" si="23"/>
        <v>70193</v>
      </c>
      <c r="Q815" s="277">
        <f t="shared" si="23"/>
        <v>70782</v>
      </c>
      <c r="R815" s="277">
        <f t="shared" si="23"/>
        <v>8760</v>
      </c>
      <c r="S815" s="277">
        <f t="shared" si="23"/>
        <v>72914</v>
      </c>
      <c r="T815" s="281">
        <f t="shared" si="23"/>
        <v>77.41</v>
      </c>
      <c r="U815" s="277">
        <f t="shared" si="23"/>
        <v>1965652</v>
      </c>
      <c r="V815" s="277">
        <f t="shared" si="23"/>
        <v>56403</v>
      </c>
      <c r="W815" s="277">
        <f t="shared" si="23"/>
        <v>0</v>
      </c>
      <c r="X815" s="277">
        <f t="shared" si="23"/>
        <v>0</v>
      </c>
      <c r="Y815" s="277">
        <f t="shared" si="23"/>
        <v>17909507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177.50721153846155</v>
      </c>
      <c r="D816" s="277">
        <f>CE61</f>
        <v>13088461</v>
      </c>
      <c r="E816" s="277">
        <f>CE62</f>
        <v>2729221</v>
      </c>
      <c r="F816" s="277">
        <f>CE63</f>
        <v>1469381.3</v>
      </c>
      <c r="G816" s="277">
        <f>CE64</f>
        <v>1022054</v>
      </c>
      <c r="H816" s="280">
        <f>CE65</f>
        <v>256856</v>
      </c>
      <c r="I816" s="280">
        <f>CE66</f>
        <v>3074427</v>
      </c>
      <c r="J816" s="280">
        <f>CE67</f>
        <v>2132546</v>
      </c>
      <c r="K816" s="280">
        <f>CE68</f>
        <v>153509</v>
      </c>
      <c r="L816" s="280">
        <f>CE69</f>
        <v>2431274.44</v>
      </c>
      <c r="M816" s="280">
        <f>CE70</f>
        <v>56403</v>
      </c>
      <c r="N816" s="277">
        <f>CE75</f>
        <v>82156400</v>
      </c>
      <c r="O816" s="277">
        <f>CE73</f>
        <v>80508000</v>
      </c>
      <c r="P816" s="277">
        <f>CE76</f>
        <v>70193</v>
      </c>
      <c r="Q816" s="277">
        <f>CE77</f>
        <v>70782</v>
      </c>
      <c r="R816" s="277">
        <f>CE78</f>
        <v>8760</v>
      </c>
      <c r="S816" s="277">
        <f>CE79</f>
        <v>72914</v>
      </c>
      <c r="T816" s="281">
        <f>CE80</f>
        <v>77.411057692307693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17909506.740000002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13088462</v>
      </c>
      <c r="E817" s="180">
        <f>C379</f>
        <v>2729218</v>
      </c>
      <c r="F817" s="180">
        <f>C380</f>
        <v>1469381</v>
      </c>
      <c r="G817" s="240">
        <f>C381</f>
        <v>1022055</v>
      </c>
      <c r="H817" s="240">
        <f>C382</f>
        <v>256856</v>
      </c>
      <c r="I817" s="240">
        <f>C383</f>
        <v>3074427</v>
      </c>
      <c r="J817" s="240">
        <f>C384</f>
        <v>2132546</v>
      </c>
      <c r="K817" s="240">
        <f>C385</f>
        <v>153508</v>
      </c>
      <c r="L817" s="240">
        <f>C386+C387+C388+C389</f>
        <v>2431274</v>
      </c>
      <c r="M817" s="240">
        <f>C370</f>
        <v>56403</v>
      </c>
      <c r="N817" s="180">
        <f>D361</f>
        <v>84577133</v>
      </c>
      <c r="O817" s="180">
        <f>C359</f>
        <v>82928733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H43" transitionEvaluation="1" transitionEntry="1" codeName="Sheet10">
    <pageSetUpPr autoPageBreaks="0" fitToPage="1"/>
  </sheetPr>
  <dimension ref="A1:CF817"/>
  <sheetViews>
    <sheetView showGridLines="0" topLeftCell="H43" zoomScale="75" workbookViewId="0">
      <selection activeCell="H60" sqref="H6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>
        <f>92650+70117+43650+86373+37580+65998</f>
        <v>396368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>
        <v>19356</v>
      </c>
      <c r="AC47" s="184"/>
      <c r="AD47" s="184"/>
      <c r="AE47" s="184"/>
      <c r="AF47" s="184"/>
      <c r="AG47" s="184"/>
      <c r="AH47" s="184"/>
      <c r="AI47" s="184"/>
      <c r="AJ47" s="184">
        <f>3096+12257</f>
        <v>15353</v>
      </c>
      <c r="AK47" s="184"/>
      <c r="AL47" s="184"/>
      <c r="AM47" s="184">
        <v>19800</v>
      </c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26290</v>
      </c>
      <c r="AZ47" s="184"/>
      <c r="BA47" s="184"/>
      <c r="BB47" s="184">
        <v>85787</v>
      </c>
      <c r="BC47" s="184"/>
      <c r="BD47" s="184"/>
      <c r="BE47" s="184">
        <v>11473</v>
      </c>
      <c r="BF47" s="184">
        <v>15424</v>
      </c>
      <c r="BG47" s="184">
        <v>11053</v>
      </c>
      <c r="BH47" s="184"/>
      <c r="BI47" s="184">
        <v>9672</v>
      </c>
      <c r="BJ47" s="184">
        <v>16202</v>
      </c>
      <c r="BK47" s="184">
        <v>12267</v>
      </c>
      <c r="BL47" s="184">
        <v>85331</v>
      </c>
      <c r="BM47" s="184"/>
      <c r="BN47" s="184">
        <v>60835</v>
      </c>
      <c r="BO47" s="184"/>
      <c r="BP47" s="184">
        <v>22961</v>
      </c>
      <c r="BQ47" s="184"/>
      <c r="BR47" s="184">
        <v>2000</v>
      </c>
      <c r="BS47" s="184"/>
      <c r="BT47" s="184"/>
      <c r="BU47" s="184"/>
      <c r="BV47" s="184">
        <v>18652</v>
      </c>
      <c r="BW47" s="184"/>
      <c r="BX47" s="184"/>
      <c r="BY47" s="184">
        <v>81581</v>
      </c>
      <c r="BZ47" s="184">
        <v>7605</v>
      </c>
      <c r="CA47" s="184"/>
      <c r="CB47" s="184"/>
      <c r="CC47" s="184">
        <v>5239</v>
      </c>
      <c r="CD47" s="195"/>
      <c r="CE47" s="195">
        <f>SUM(C47:CC47)</f>
        <v>923249</v>
      </c>
    </row>
    <row r="48" spans="1:83" ht="12.65" customHeight="1" x14ac:dyDescent="0.35">
      <c r="A48" s="175" t="s">
        <v>205</v>
      </c>
      <c r="B48" s="183">
        <f>1275400+27492</f>
        <v>1302892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546714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24955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21518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28161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9877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118000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15585</v>
      </c>
      <c r="BF48" s="195">
        <f>ROUND(((B48/CE61)*BF61),0)</f>
        <v>20518</v>
      </c>
      <c r="BG48" s="195">
        <f>ROUND(((B48/CE61)*BG61),0)</f>
        <v>14814</v>
      </c>
      <c r="BH48" s="195">
        <f>ROUND(((B48/CE61)*BH61),0)</f>
        <v>0</v>
      </c>
      <c r="BI48" s="195">
        <f>ROUND(((B48/CE61)*BI61),0)</f>
        <v>14284</v>
      </c>
      <c r="BJ48" s="195">
        <f>ROUND(((B48/CE61)*BJ61),0)</f>
        <v>22444</v>
      </c>
      <c r="BK48" s="195">
        <f>ROUND(((B48/CE61)*BK61),0)</f>
        <v>30439</v>
      </c>
      <c r="BL48" s="195">
        <f>ROUND(((B48/CE61)*BL61),0)</f>
        <v>124299</v>
      </c>
      <c r="BM48" s="195">
        <f>ROUND(((B48/CE61)*BM61),0)</f>
        <v>0</v>
      </c>
      <c r="BN48" s="195">
        <f>ROUND(((B48/CE61)*BN61),0)</f>
        <v>71173</v>
      </c>
      <c r="BO48" s="195">
        <f>ROUND(((B48/CE61)*BO61),0)</f>
        <v>0</v>
      </c>
      <c r="BP48" s="195">
        <f>ROUND(((B48/CE61)*BP61),0)</f>
        <v>33085</v>
      </c>
      <c r="BQ48" s="195">
        <f>ROUND(((B48/CE61)*BQ61),0)</f>
        <v>0</v>
      </c>
      <c r="BR48" s="195">
        <f>ROUND(((B48/CE61)*BR61),0)</f>
        <v>11150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26225</v>
      </c>
      <c r="BW48" s="195">
        <f>ROUND(((B48/CE61)*BW61),0)</f>
        <v>0</v>
      </c>
      <c r="BX48" s="195">
        <f>ROUND(((B48/CE61)*BX61),0)</f>
        <v>40212</v>
      </c>
      <c r="BY48" s="195">
        <f>ROUND(((B48/CE61)*BY61),0)</f>
        <v>110813</v>
      </c>
      <c r="BZ48" s="195">
        <f>ROUND(((B48/CE61)*BZ61),0)</f>
        <v>10750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7875</v>
      </c>
      <c r="CD48" s="195"/>
      <c r="CE48" s="195">
        <f>SUM(C48:CD48)</f>
        <v>1302891</v>
      </c>
    </row>
    <row r="49" spans="1:84" ht="12.65" customHeight="1" x14ac:dyDescent="0.35">
      <c r="A49" s="175" t="s">
        <v>206</v>
      </c>
      <c r="B49" s="195">
        <f>B47+B48</f>
        <v>1302892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>
        <v>591832</v>
      </c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591832</v>
      </c>
    </row>
    <row r="52" spans="1:84" ht="12.65" customHeight="1" x14ac:dyDescent="0.35">
      <c r="A52" s="171" t="s">
        <v>208</v>
      </c>
      <c r="B52" s="184">
        <v>261756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149100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3058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12951</v>
      </c>
      <c r="AZ52" s="195">
        <f>ROUND((B52/(CE76+CF76)*AZ76),0)</f>
        <v>0</v>
      </c>
      <c r="BA52" s="195">
        <f>ROUND((B52/(CE76+CF76)*BA76),0)</f>
        <v>4333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2577</v>
      </c>
      <c r="BE52" s="195">
        <f>ROUND((B52/(CE76+CF76)*BE76),0)</f>
        <v>22367</v>
      </c>
      <c r="BF52" s="195">
        <f>ROUND((B52/(CE76+CF76)*BF76),0)</f>
        <v>4333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38555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3088</v>
      </c>
      <c r="BW52" s="195">
        <f>ROUND((B52/(CE76+CF76)*BW76),0)</f>
        <v>1682</v>
      </c>
      <c r="BX52" s="195">
        <f>ROUND((B52/(CE76+CF76)*BX76),0)</f>
        <v>0</v>
      </c>
      <c r="BY52" s="195">
        <f>ROUND((B52/(CE76+CF76)*BY76),0)</f>
        <v>19712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261756</v>
      </c>
    </row>
    <row r="53" spans="1:84" ht="12.65" customHeight="1" x14ac:dyDescent="0.35">
      <c r="A53" s="175" t="s">
        <v>206</v>
      </c>
      <c r="B53" s="195">
        <f>B51+B52</f>
        <v>261756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>
        <f>D111</f>
        <v>25414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>
        <f>E140</f>
        <v>2778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70193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/>
      <c r="D60" s="187"/>
      <c r="E60" s="187"/>
      <c r="F60" s="223"/>
      <c r="G60" s="187"/>
      <c r="H60" s="187">
        <f>H59/365*1.1</f>
        <v>76.590136986301374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4</v>
      </c>
      <c r="AC60" s="221"/>
      <c r="AD60" s="221"/>
      <c r="AE60" s="221"/>
      <c r="AF60" s="221"/>
      <c r="AG60" s="221"/>
      <c r="AH60" s="221"/>
      <c r="AI60" s="221"/>
      <c r="AJ60" s="221">
        <v>3</v>
      </c>
      <c r="AK60" s="221"/>
      <c r="AL60" s="221"/>
      <c r="AM60" s="221">
        <v>3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7</v>
      </c>
      <c r="AZ60" s="221"/>
      <c r="BA60" s="221"/>
      <c r="BB60" s="221">
        <v>15</v>
      </c>
      <c r="BC60" s="221"/>
      <c r="BD60" s="221"/>
      <c r="BE60" s="221">
        <v>3</v>
      </c>
      <c r="BF60" s="221">
        <v>4.25</v>
      </c>
      <c r="BG60" s="221">
        <v>2.25</v>
      </c>
      <c r="BH60" s="221"/>
      <c r="BI60" s="221">
        <v>1.5</v>
      </c>
      <c r="BJ60" s="221">
        <v>2</v>
      </c>
      <c r="BK60" s="221">
        <v>8</v>
      </c>
      <c r="BL60" s="221">
        <v>10.5</v>
      </c>
      <c r="BM60" s="221"/>
      <c r="BN60" s="221">
        <v>2</v>
      </c>
      <c r="BO60" s="221"/>
      <c r="BP60" s="221">
        <v>2</v>
      </c>
      <c r="BQ60" s="221"/>
      <c r="BR60" s="221">
        <v>1</v>
      </c>
      <c r="BS60" s="221"/>
      <c r="BT60" s="221"/>
      <c r="BU60" s="221"/>
      <c r="BV60" s="221">
        <v>3</v>
      </c>
      <c r="BW60" s="221"/>
      <c r="BX60" s="221">
        <v>5</v>
      </c>
      <c r="BY60" s="221">
        <v>6.5</v>
      </c>
      <c r="BZ60" s="221">
        <v>1.75</v>
      </c>
      <c r="CA60" s="221"/>
      <c r="CB60" s="221"/>
      <c r="CC60" s="221">
        <v>1.25</v>
      </c>
      <c r="CD60" s="249" t="s">
        <v>221</v>
      </c>
      <c r="CE60" s="251">
        <f t="shared" ref="CE60:CE70" si="0">SUM(C60:CD60)</f>
        <v>162.59013698630139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>
        <f>1102869+855606+540856+1034585+422452+790132</f>
        <v>4746500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216653</v>
      </c>
      <c r="AC61" s="185"/>
      <c r="AD61" s="185"/>
      <c r="AE61" s="185"/>
      <c r="AF61" s="185"/>
      <c r="AG61" s="185"/>
      <c r="AH61" s="185"/>
      <c r="AI61" s="185"/>
      <c r="AJ61" s="185">
        <v>186815</v>
      </c>
      <c r="AK61" s="185"/>
      <c r="AL61" s="185"/>
      <c r="AM61" s="185">
        <v>244494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85751</v>
      </c>
      <c r="AZ61" s="185"/>
      <c r="BA61" s="185"/>
      <c r="BB61" s="185">
        <v>1024463</v>
      </c>
      <c r="BC61" s="185"/>
      <c r="BD61" s="185"/>
      <c r="BE61" s="185">
        <v>135303</v>
      </c>
      <c r="BF61" s="185">
        <v>178137</v>
      </c>
      <c r="BG61" s="185">
        <v>128611</v>
      </c>
      <c r="BH61" s="185"/>
      <c r="BI61" s="185">
        <v>124016</v>
      </c>
      <c r="BJ61" s="185">
        <v>194855</v>
      </c>
      <c r="BK61" s="185">
        <v>264268</v>
      </c>
      <c r="BL61" s="185">
        <v>1079149</v>
      </c>
      <c r="BM61" s="185"/>
      <c r="BN61" s="185">
        <f>463949+153967</f>
        <v>617916</v>
      </c>
      <c r="BO61" s="185"/>
      <c r="BP61" s="185">
        <v>287241</v>
      </c>
      <c r="BQ61" s="185"/>
      <c r="BR61" s="185">
        <v>96803</v>
      </c>
      <c r="BS61" s="185"/>
      <c r="BT61" s="185"/>
      <c r="BU61" s="185"/>
      <c r="BV61" s="185">
        <v>227686</v>
      </c>
      <c r="BW61" s="185"/>
      <c r="BX61" s="185">
        <v>349117</v>
      </c>
      <c r="BY61" s="185">
        <v>962061</v>
      </c>
      <c r="BZ61" s="185">
        <v>93333</v>
      </c>
      <c r="CA61" s="185"/>
      <c r="CB61" s="185"/>
      <c r="CC61" s="185">
        <v>68371</v>
      </c>
      <c r="CD61" s="249" t="s">
        <v>221</v>
      </c>
      <c r="CE61" s="195">
        <f t="shared" si="0"/>
        <v>11311543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943082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44311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36871</v>
      </c>
      <c r="AK62" s="195">
        <f t="shared" si="1"/>
        <v>0</v>
      </c>
      <c r="AL62" s="195">
        <f t="shared" si="1"/>
        <v>0</v>
      </c>
      <c r="AM62" s="195">
        <f t="shared" si="1"/>
        <v>47961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36167</v>
      </c>
      <c r="AZ62" s="195">
        <f>ROUND(AZ47+AZ48,0)</f>
        <v>0</v>
      </c>
      <c r="BA62" s="195">
        <f>ROUND(BA47+BA48,0)</f>
        <v>0</v>
      </c>
      <c r="BB62" s="195">
        <f t="shared" si="1"/>
        <v>203787</v>
      </c>
      <c r="BC62" s="195">
        <f t="shared" si="1"/>
        <v>0</v>
      </c>
      <c r="BD62" s="195">
        <f t="shared" si="1"/>
        <v>0</v>
      </c>
      <c r="BE62" s="195">
        <f t="shared" si="1"/>
        <v>27058</v>
      </c>
      <c r="BF62" s="195">
        <f t="shared" si="1"/>
        <v>35942</v>
      </c>
      <c r="BG62" s="195">
        <f t="shared" si="1"/>
        <v>25867</v>
      </c>
      <c r="BH62" s="195">
        <f t="shared" si="1"/>
        <v>0</v>
      </c>
      <c r="BI62" s="195">
        <f t="shared" si="1"/>
        <v>23956</v>
      </c>
      <c r="BJ62" s="195">
        <f t="shared" si="1"/>
        <v>38646</v>
      </c>
      <c r="BK62" s="195">
        <f t="shared" si="1"/>
        <v>42706</v>
      </c>
      <c r="BL62" s="195">
        <f t="shared" si="1"/>
        <v>209630</v>
      </c>
      <c r="BM62" s="195">
        <f t="shared" si="1"/>
        <v>0</v>
      </c>
      <c r="BN62" s="195">
        <f t="shared" si="1"/>
        <v>132008</v>
      </c>
      <c r="BO62" s="195">
        <f t="shared" ref="BO62:CC62" si="2">ROUND(BO47+BO48,0)</f>
        <v>0</v>
      </c>
      <c r="BP62" s="195">
        <f t="shared" si="2"/>
        <v>56046</v>
      </c>
      <c r="BQ62" s="195">
        <f t="shared" si="2"/>
        <v>0</v>
      </c>
      <c r="BR62" s="195">
        <f t="shared" si="2"/>
        <v>13150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44877</v>
      </c>
      <c r="BW62" s="195">
        <f t="shared" si="2"/>
        <v>0</v>
      </c>
      <c r="BX62" s="195">
        <f t="shared" si="2"/>
        <v>40212</v>
      </c>
      <c r="BY62" s="195">
        <f t="shared" si="2"/>
        <v>192394</v>
      </c>
      <c r="BZ62" s="195">
        <f t="shared" si="2"/>
        <v>18355</v>
      </c>
      <c r="CA62" s="195">
        <f t="shared" si="2"/>
        <v>0</v>
      </c>
      <c r="CB62" s="195">
        <f t="shared" si="2"/>
        <v>0</v>
      </c>
      <c r="CC62" s="195">
        <f t="shared" si="2"/>
        <v>13114</v>
      </c>
      <c r="CD62" s="249" t="s">
        <v>221</v>
      </c>
      <c r="CE62" s="195">
        <f t="shared" si="0"/>
        <v>2226140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f>2558194-1007</f>
        <v>2557187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2557187</v>
      </c>
      <c r="CF63" s="252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>
        <f>1163+21376+443+109417+5582</f>
        <v>137981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>
        <v>58</v>
      </c>
      <c r="Z64" s="185"/>
      <c r="AA64" s="185"/>
      <c r="AB64" s="185">
        <v>220828</v>
      </c>
      <c r="AC64" s="185"/>
      <c r="AD64" s="185"/>
      <c r="AE64" s="185"/>
      <c r="AF64" s="185"/>
      <c r="AG64" s="185"/>
      <c r="AH64" s="185"/>
      <c r="AI64" s="185"/>
      <c r="AJ64" s="185">
        <v>2356</v>
      </c>
      <c r="AK64" s="185"/>
      <c r="AL64" s="185"/>
      <c r="AM64" s="185">
        <v>15003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463082</v>
      </c>
      <c r="AZ64" s="185"/>
      <c r="BA64" s="185"/>
      <c r="BB64" s="185">
        <v>1705</v>
      </c>
      <c r="BC64" s="185"/>
      <c r="BD64" s="185"/>
      <c r="BE64" s="185">
        <v>19910</v>
      </c>
      <c r="BF64" s="185">
        <v>58785</v>
      </c>
      <c r="BG64" s="185">
        <v>1665</v>
      </c>
      <c r="BH64" s="185"/>
      <c r="BI64" s="185">
        <v>1231</v>
      </c>
      <c r="BJ64" s="185">
        <v>4738</v>
      </c>
      <c r="BK64" s="185">
        <v>1603</v>
      </c>
      <c r="BL64" s="185">
        <v>1656</v>
      </c>
      <c r="BM64" s="185"/>
      <c r="BN64" s="185">
        <v>4173</v>
      </c>
      <c r="BO64" s="185"/>
      <c r="BP64" s="185">
        <v>13350</v>
      </c>
      <c r="BQ64" s="185"/>
      <c r="BR64" s="185">
        <v>6752</v>
      </c>
      <c r="BS64" s="185"/>
      <c r="BT64" s="185"/>
      <c r="BU64" s="185"/>
      <c r="BV64" s="185">
        <v>10225</v>
      </c>
      <c r="BW64" s="185">
        <v>3699</v>
      </c>
      <c r="BX64" s="185">
        <v>2685</v>
      </c>
      <c r="BY64" s="185">
        <v>20688</v>
      </c>
      <c r="BZ64" s="185">
        <v>1368</v>
      </c>
      <c r="CA64" s="185"/>
      <c r="CB64" s="185"/>
      <c r="CC64" s="185">
        <v>10392</v>
      </c>
      <c r="CD64" s="249" t="s">
        <v>221</v>
      </c>
      <c r="CE64" s="195">
        <f t="shared" si="0"/>
        <v>1003933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315276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315276</v>
      </c>
      <c r="CF65" s="252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>
        <v>16331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254130</v>
      </c>
      <c r="V66" s="185"/>
      <c r="W66" s="185"/>
      <c r="X66" s="185"/>
      <c r="Y66" s="185">
        <v>88597</v>
      </c>
      <c r="Z66" s="185"/>
      <c r="AA66" s="185"/>
      <c r="AB66" s="185">
        <v>940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>
        <v>9326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>
        <v>46390</v>
      </c>
      <c r="BC66" s="185"/>
      <c r="BD66" s="185"/>
      <c r="BE66" s="185">
        <v>8158</v>
      </c>
      <c r="BF66" s="185">
        <v>46983</v>
      </c>
      <c r="BG66" s="185"/>
      <c r="BH66" s="185"/>
      <c r="BI66" s="185">
        <v>6559</v>
      </c>
      <c r="BJ66" s="185">
        <v>79918</v>
      </c>
      <c r="BK66" s="185">
        <v>75846</v>
      </c>
      <c r="BL66" s="185">
        <v>3600</v>
      </c>
      <c r="BM66" s="185"/>
      <c r="BN66" s="185">
        <f>128770+7825+126298</f>
        <v>262893</v>
      </c>
      <c r="BO66" s="185"/>
      <c r="BP66" s="185">
        <v>6399</v>
      </c>
      <c r="BQ66" s="185"/>
      <c r="BR66" s="185">
        <v>21463</v>
      </c>
      <c r="BS66" s="185"/>
      <c r="BT66" s="185"/>
      <c r="BU66" s="185"/>
      <c r="BV66" s="185">
        <v>96360</v>
      </c>
      <c r="BW66" s="185">
        <v>200</v>
      </c>
      <c r="BX66" s="185"/>
      <c r="BY66" s="185">
        <v>14869</v>
      </c>
      <c r="BZ66" s="185"/>
      <c r="CA66" s="185"/>
      <c r="CB66" s="185"/>
      <c r="CC66" s="185">
        <v>157417</v>
      </c>
      <c r="CD66" s="249" t="s">
        <v>221</v>
      </c>
      <c r="CE66" s="195">
        <f t="shared" si="0"/>
        <v>1196379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149100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3058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12951</v>
      </c>
      <c r="AZ67" s="195">
        <f>ROUND(AZ51+AZ52,0)</f>
        <v>0</v>
      </c>
      <c r="BA67" s="195">
        <f>ROUND(BA51+BA52,0)</f>
        <v>4333</v>
      </c>
      <c r="BB67" s="195">
        <f t="shared" si="3"/>
        <v>0</v>
      </c>
      <c r="BC67" s="195">
        <f t="shared" si="3"/>
        <v>0</v>
      </c>
      <c r="BD67" s="195">
        <f t="shared" si="3"/>
        <v>2577</v>
      </c>
      <c r="BE67" s="195">
        <f t="shared" si="3"/>
        <v>614199</v>
      </c>
      <c r="BF67" s="195">
        <f t="shared" si="3"/>
        <v>4333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38555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3088</v>
      </c>
      <c r="BW67" s="195">
        <f t="shared" si="4"/>
        <v>1682</v>
      </c>
      <c r="BX67" s="195">
        <f t="shared" si="4"/>
        <v>0</v>
      </c>
      <c r="BY67" s="195">
        <f t="shared" si="4"/>
        <v>19712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853588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>
        <v>139103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139103</v>
      </c>
      <c r="CF68" s="252"/>
    </row>
    <row r="69" spans="1:84" ht="12.65" customHeight="1" x14ac:dyDescent="0.35">
      <c r="A69" s="171" t="s">
        <v>241</v>
      </c>
      <c r="B69" s="175"/>
      <c r="C69" s="184"/>
      <c r="D69" s="184"/>
      <c r="E69" s="185"/>
      <c r="F69" s="185"/>
      <c r="G69" s="184"/>
      <c r="H69" s="184">
        <f>379482+211167+65015+138663+71994+123397</f>
        <v>989718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211729</v>
      </c>
      <c r="AC69" s="185"/>
      <c r="AD69" s="185"/>
      <c r="AE69" s="185"/>
      <c r="AF69" s="185"/>
      <c r="AG69" s="185"/>
      <c r="AH69" s="185"/>
      <c r="AI69" s="185"/>
      <c r="AJ69" s="185">
        <v>2804</v>
      </c>
      <c r="AK69" s="185"/>
      <c r="AL69" s="185"/>
      <c r="AM69" s="185">
        <v>22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315379</v>
      </c>
      <c r="AZ69" s="185"/>
      <c r="BA69" s="185"/>
      <c r="BB69" s="185">
        <v>43531</v>
      </c>
      <c r="BC69" s="185"/>
      <c r="BD69" s="185"/>
      <c r="BE69" s="185">
        <v>116508</v>
      </c>
      <c r="BF69" s="185"/>
      <c r="BG69" s="185"/>
      <c r="BH69" s="224"/>
      <c r="BI69" s="185">
        <v>20</v>
      </c>
      <c r="BJ69" s="185">
        <v>1718</v>
      </c>
      <c r="BK69" s="185">
        <v>222</v>
      </c>
      <c r="BL69" s="185">
        <v>25981</v>
      </c>
      <c r="BM69" s="185"/>
      <c r="BN69" s="185">
        <f>115490+64950+15000+374334+37427-88+237675+791298</f>
        <v>1636086</v>
      </c>
      <c r="BO69" s="185"/>
      <c r="BP69" s="185">
        <v>44065</v>
      </c>
      <c r="BQ69" s="185"/>
      <c r="BR69" s="185">
        <v>281246</v>
      </c>
      <c r="BS69" s="185"/>
      <c r="BT69" s="185"/>
      <c r="BU69" s="185"/>
      <c r="BV69" s="185">
        <v>1854</v>
      </c>
      <c r="BW69" s="185">
        <v>618650</v>
      </c>
      <c r="BX69" s="185">
        <v>15216</v>
      </c>
      <c r="BY69" s="185">
        <v>63162</v>
      </c>
      <c r="BZ69" s="185">
        <v>239</v>
      </c>
      <c r="CA69" s="185"/>
      <c r="CB69" s="185"/>
      <c r="CC69" s="185">
        <v>174</v>
      </c>
      <c r="CD69" s="188"/>
      <c r="CE69" s="195">
        <f t="shared" si="0"/>
        <v>4368324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>
        <v>1597</v>
      </c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1597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6982712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254130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88655</v>
      </c>
      <c r="Z71" s="195">
        <f t="shared" si="5"/>
        <v>0</v>
      </c>
      <c r="AA71" s="195">
        <f t="shared" si="5"/>
        <v>0</v>
      </c>
      <c r="AB71" s="195">
        <f t="shared" si="5"/>
        <v>697519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228846</v>
      </c>
      <c r="AK71" s="195">
        <f t="shared" si="6"/>
        <v>0</v>
      </c>
      <c r="AL71" s="195">
        <f t="shared" si="6"/>
        <v>0</v>
      </c>
      <c r="AM71" s="195">
        <f t="shared" si="6"/>
        <v>316806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913330</v>
      </c>
      <c r="AZ71" s="195">
        <f t="shared" si="6"/>
        <v>0</v>
      </c>
      <c r="BA71" s="195">
        <f t="shared" si="6"/>
        <v>4333</v>
      </c>
      <c r="BB71" s="195">
        <f t="shared" si="6"/>
        <v>1319876</v>
      </c>
      <c r="BC71" s="195">
        <f t="shared" si="6"/>
        <v>0</v>
      </c>
      <c r="BD71" s="195">
        <f t="shared" si="6"/>
        <v>2577</v>
      </c>
      <c r="BE71" s="195">
        <f t="shared" si="6"/>
        <v>1236412</v>
      </c>
      <c r="BF71" s="195">
        <f t="shared" si="6"/>
        <v>324180</v>
      </c>
      <c r="BG71" s="195">
        <f t="shared" si="6"/>
        <v>156143</v>
      </c>
      <c r="BH71" s="195">
        <f t="shared" si="6"/>
        <v>0</v>
      </c>
      <c r="BI71" s="195">
        <f t="shared" si="6"/>
        <v>155782</v>
      </c>
      <c r="BJ71" s="195">
        <f t="shared" si="6"/>
        <v>319875</v>
      </c>
      <c r="BK71" s="195">
        <f t="shared" si="6"/>
        <v>383048</v>
      </c>
      <c r="BL71" s="195">
        <f t="shared" si="6"/>
        <v>1320016</v>
      </c>
      <c r="BM71" s="195">
        <f t="shared" si="6"/>
        <v>0</v>
      </c>
      <c r="BN71" s="195">
        <f t="shared" si="6"/>
        <v>2830734</v>
      </c>
      <c r="BO71" s="195">
        <f t="shared" si="6"/>
        <v>0</v>
      </c>
      <c r="BP71" s="195">
        <f t="shared" ref="BP71:CC71" si="7">SUM(BP61:BP69)-BP70</f>
        <v>407101</v>
      </c>
      <c r="BQ71" s="195">
        <f t="shared" si="7"/>
        <v>0</v>
      </c>
      <c r="BR71" s="195">
        <f t="shared" si="7"/>
        <v>419414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384090</v>
      </c>
      <c r="BW71" s="195">
        <f t="shared" si="7"/>
        <v>3181418</v>
      </c>
      <c r="BX71" s="195">
        <f t="shared" si="7"/>
        <v>407230</v>
      </c>
      <c r="BY71" s="195">
        <f t="shared" si="7"/>
        <v>1272886</v>
      </c>
      <c r="BZ71" s="195">
        <f t="shared" si="7"/>
        <v>113295</v>
      </c>
      <c r="CA71" s="195">
        <f t="shared" si="7"/>
        <v>0</v>
      </c>
      <c r="CB71" s="195">
        <f t="shared" si="7"/>
        <v>0</v>
      </c>
      <c r="CC71" s="195">
        <f t="shared" si="7"/>
        <v>249468</v>
      </c>
      <c r="CD71" s="245">
        <f>CD69-CD70</f>
        <v>0</v>
      </c>
      <c r="CE71" s="195">
        <f>SUM(CE61:CE69)-CE70</f>
        <v>23969876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/>
      <c r="D73" s="184"/>
      <c r="E73" s="185"/>
      <c r="F73" s="185"/>
      <c r="G73" s="184"/>
      <c r="H73" s="184">
        <f>H59*3000</f>
        <v>76242000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76242000</v>
      </c>
      <c r="CF73" s="252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>
        <v>904205</v>
      </c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f>E142-904205</f>
        <v>980995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1885200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77146205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980995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78127200</v>
      </c>
      <c r="CF75" s="252"/>
    </row>
    <row r="76" spans="1:84" ht="12.65" customHeight="1" x14ac:dyDescent="0.35">
      <c r="A76" s="171" t="s">
        <v>248</v>
      </c>
      <c r="B76" s="175"/>
      <c r="C76" s="184"/>
      <c r="D76" s="184"/>
      <c r="E76" s="185"/>
      <c r="F76" s="185"/>
      <c r="G76" s="184"/>
      <c r="H76" s="184">
        <v>39983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820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3473</v>
      </c>
      <c r="AZ76" s="185"/>
      <c r="BA76" s="185">
        <v>1162</v>
      </c>
      <c r="BB76" s="185"/>
      <c r="BC76" s="185"/>
      <c r="BD76" s="185">
        <v>691</v>
      </c>
      <c r="BE76" s="185">
        <v>5998</v>
      </c>
      <c r="BF76" s="185">
        <v>1162</v>
      </c>
      <c r="BG76" s="185"/>
      <c r="BH76" s="185"/>
      <c r="BI76" s="185"/>
      <c r="BJ76" s="185"/>
      <c r="BK76" s="185"/>
      <c r="BL76" s="185"/>
      <c r="BM76" s="185"/>
      <c r="BN76" s="185">
        <v>10339</v>
      </c>
      <c r="BO76" s="185"/>
      <c r="BP76" s="185"/>
      <c r="BQ76" s="185"/>
      <c r="BR76" s="185"/>
      <c r="BS76" s="185"/>
      <c r="BT76" s="185"/>
      <c r="BU76" s="185"/>
      <c r="BV76" s="185">
        <v>828</v>
      </c>
      <c r="BW76" s="185">
        <v>451</v>
      </c>
      <c r="BX76" s="185"/>
      <c r="BY76" s="185">
        <v>5286</v>
      </c>
      <c r="BZ76" s="185"/>
      <c r="CA76" s="185"/>
      <c r="CB76" s="185"/>
      <c r="CC76" s="185"/>
      <c r="CD76" s="249" t="s">
        <v>221</v>
      </c>
      <c r="CE76" s="195">
        <f t="shared" si="8"/>
        <v>70193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/>
      <c r="F77" s="184"/>
      <c r="G77" s="184"/>
      <c r="H77" s="184">
        <v>78148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78148</v>
      </c>
      <c r="CF77" s="195">
        <f>AY59-CE77</f>
        <v>-78148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>
        <f>365*8*3</f>
        <v>8760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>
        <f>254*2.5</f>
        <v>635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9395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/>
      <c r="F79" s="184"/>
      <c r="G79" s="184"/>
      <c r="H79" s="184">
        <v>61307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61307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/>
      <c r="F80" s="187"/>
      <c r="G80" s="187"/>
      <c r="H80" s="187">
        <f>H60</f>
        <v>76.590136986301374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76.590136986301374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1269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71" t="s">
        <v>1269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/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>
        <v>1</v>
      </c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2071</v>
      </c>
      <c r="D111" s="174">
        <v>25414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115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115</v>
      </c>
    </row>
    <row r="128" spans="1:5" ht="12.65" customHeight="1" x14ac:dyDescent="0.35">
      <c r="A128" s="173" t="s">
        <v>292</v>
      </c>
      <c r="B128" s="172" t="s">
        <v>256</v>
      </c>
      <c r="C128" s="189">
        <v>115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289</v>
      </c>
      <c r="C138" s="189">
        <v>1081</v>
      </c>
      <c r="D138" s="174">
        <f>2071-1370</f>
        <v>701</v>
      </c>
      <c r="E138" s="175">
        <f>SUM(B138:D138)</f>
        <v>2071</v>
      </c>
    </row>
    <row r="139" spans="1:6" ht="12.65" customHeight="1" x14ac:dyDescent="0.35">
      <c r="A139" s="173" t="s">
        <v>215</v>
      </c>
      <c r="B139" s="174">
        <v>6186</v>
      </c>
      <c r="C139" s="189">
        <v>11560</v>
      </c>
      <c r="D139" s="174">
        <v>7668</v>
      </c>
      <c r="E139" s="175">
        <f>SUM(B139:D139)</f>
        <v>25414</v>
      </c>
    </row>
    <row r="140" spans="1:6" ht="12.65" customHeight="1" x14ac:dyDescent="0.35">
      <c r="A140" s="173" t="s">
        <v>298</v>
      </c>
      <c r="B140" s="174">
        <v>352</v>
      </c>
      <c r="C140" s="174">
        <v>29</v>
      </c>
      <c r="D140" s="174">
        <v>2397</v>
      </c>
      <c r="E140" s="175">
        <f>SUM(B140:D140)</f>
        <v>2778</v>
      </c>
    </row>
    <row r="141" spans="1:6" ht="12.65" customHeight="1" x14ac:dyDescent="0.35">
      <c r="A141" s="173" t="s">
        <v>245</v>
      </c>
      <c r="B141" s="174">
        <f>B139*3000</f>
        <v>18558000</v>
      </c>
      <c r="C141" s="174">
        <f>C139*3000</f>
        <v>34680000</v>
      </c>
      <c r="D141" s="174">
        <f>D139*3000</f>
        <v>23004000</v>
      </c>
      <c r="E141" s="175">
        <f>SUM(B141:D141)</f>
        <v>76242000</v>
      </c>
      <c r="F141" s="199"/>
    </row>
    <row r="142" spans="1:6" ht="12.65" customHeight="1" x14ac:dyDescent="0.35">
      <c r="A142" s="173" t="s">
        <v>246</v>
      </c>
      <c r="B142" s="174">
        <f>B140*650</f>
        <v>228800</v>
      </c>
      <c r="C142" s="174">
        <f>C140*650</f>
        <v>18850</v>
      </c>
      <c r="D142" s="174">
        <f>D140*650+79500</f>
        <v>1637550</v>
      </c>
      <c r="E142" s="175">
        <f>SUM(B142:D142)</f>
        <v>1885200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904205</v>
      </c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4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7" t="s">
        <v>306</v>
      </c>
      <c r="B164" s="257"/>
      <c r="C164" s="257"/>
      <c r="D164" s="257"/>
      <c r="E164" s="257"/>
    </row>
    <row r="165" spans="1:5" ht="11.4" customHeight="1" x14ac:dyDescent="0.35">
      <c r="A165" s="173" t="s">
        <v>307</v>
      </c>
      <c r="B165" s="172" t="s">
        <v>256</v>
      </c>
      <c r="C165" s="189">
        <v>839814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>
        <v>116523</v>
      </c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219615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878265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38442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2083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f>1879+2600+17780+29318+79821</f>
        <v>131398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f>SUM(C165:C172)</f>
        <v>2226140</v>
      </c>
      <c r="E173" s="175"/>
    </row>
    <row r="174" spans="1:5" ht="11.4" customHeight="1" x14ac:dyDescent="0.35">
      <c r="A174" s="257" t="s">
        <v>314</v>
      </c>
      <c r="B174" s="257"/>
      <c r="C174" s="257"/>
      <c r="D174" s="257"/>
      <c r="E174" s="257"/>
    </row>
    <row r="175" spans="1:5" ht="11.4" customHeight="1" x14ac:dyDescent="0.3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139103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f>SUM(C175:C176)</f>
        <v>139103</v>
      </c>
      <c r="E177" s="175"/>
    </row>
    <row r="178" spans="1:5" ht="11.4" customHeight="1" x14ac:dyDescent="0.35">
      <c r="A178" s="257" t="s">
        <v>317</v>
      </c>
      <c r="B178" s="257"/>
      <c r="C178" s="257"/>
      <c r="D178" s="257"/>
      <c r="E178" s="257"/>
    </row>
    <row r="179" spans="1:5" ht="11.4" customHeight="1" x14ac:dyDescent="0.35">
      <c r="A179" s="173" t="s">
        <v>318</v>
      </c>
      <c r="B179" s="172" t="s">
        <v>256</v>
      </c>
      <c r="C179" s="189">
        <v>63104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v>37427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f>SUM(C179:C180)</f>
        <v>100531</v>
      </c>
      <c r="E181" s="175"/>
    </row>
    <row r="182" spans="1:5" ht="11.4" customHeight="1" x14ac:dyDescent="0.35">
      <c r="A182" s="257" t="s">
        <v>320</v>
      </c>
      <c r="B182" s="257"/>
      <c r="C182" s="257"/>
      <c r="D182" s="257"/>
      <c r="E182" s="257"/>
    </row>
    <row r="183" spans="1:5" ht="11.4" customHeight="1" x14ac:dyDescent="0.35">
      <c r="A183" s="173" t="s">
        <v>321</v>
      </c>
      <c r="B183" s="172" t="s">
        <v>256</v>
      </c>
      <c r="C183" s="189">
        <f>1095+21301</f>
        <v>22396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f>353030.75+222006</f>
        <v>575036.75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f>SUM(C183:C185)</f>
        <v>597432.75</v>
      </c>
      <c r="E186" s="175"/>
    </row>
    <row r="187" spans="1:5" ht="11.4" customHeight="1" x14ac:dyDescent="0.35">
      <c r="A187" s="257" t="s">
        <v>323</v>
      </c>
      <c r="B187" s="257"/>
      <c r="C187" s="257"/>
      <c r="D187" s="257"/>
      <c r="E187" s="257"/>
    </row>
    <row r="188" spans="1:5" ht="11.4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>
        <v>791298</v>
      </c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f>SUM(C188:C189)</f>
        <v>791298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2000000</v>
      </c>
      <c r="C195" s="189"/>
      <c r="D195" s="174"/>
      <c r="E195" s="175">
        <f t="shared" ref="E195:E203" si="10">SUM(B195:C195)-D195</f>
        <v>2000000</v>
      </c>
    </row>
    <row r="196" spans="1:8" ht="12.65" customHeight="1" x14ac:dyDescent="0.3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5">
      <c r="A197" s="173" t="s">
        <v>334</v>
      </c>
      <c r="B197" s="174">
        <v>22539211</v>
      </c>
      <c r="C197" s="189">
        <v>418120</v>
      </c>
      <c r="D197" s="174"/>
      <c r="E197" s="175">
        <f t="shared" si="10"/>
        <v>22957331</v>
      </c>
    </row>
    <row r="198" spans="1:8" ht="12.65" customHeight="1" x14ac:dyDescent="0.35">
      <c r="A198" s="173" t="s">
        <v>335</v>
      </c>
      <c r="B198" s="174">
        <v>128015</v>
      </c>
      <c r="C198" s="189">
        <v>4593</v>
      </c>
      <c r="D198" s="174"/>
      <c r="E198" s="175">
        <f t="shared" si="10"/>
        <v>132608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1149441</v>
      </c>
      <c r="C200" s="189">
        <v>49636</v>
      </c>
      <c r="D200" s="174"/>
      <c r="E200" s="175">
        <f t="shared" si="10"/>
        <v>1199077</v>
      </c>
    </row>
    <row r="201" spans="1:8" ht="12.65" customHeight="1" x14ac:dyDescent="0.35">
      <c r="A201" s="173" t="s">
        <v>338</v>
      </c>
      <c r="B201" s="174">
        <v>220754</v>
      </c>
      <c r="C201" s="189">
        <v>108198</v>
      </c>
      <c r="D201" s="174"/>
      <c r="E201" s="175">
        <f t="shared" si="10"/>
        <v>328952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1188375</v>
      </c>
      <c r="C203" s="189"/>
      <c r="D203" s="174">
        <v>1188375</v>
      </c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27225796</v>
      </c>
      <c r="C204" s="191">
        <f>SUM(C195:C203)</f>
        <v>580547</v>
      </c>
      <c r="D204" s="175">
        <f>SUM(D195:D203)</f>
        <v>1188375</v>
      </c>
      <c r="E204" s="175">
        <f>SUM(E195:E203)</f>
        <v>26617968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5">
      <c r="A210" s="173" t="s">
        <v>334</v>
      </c>
      <c r="B210" s="174">
        <v>337016</v>
      </c>
      <c r="C210" s="189">
        <f>933678-337016</f>
        <v>596662</v>
      </c>
      <c r="D210" s="174"/>
      <c r="E210" s="175">
        <f t="shared" si="11"/>
        <v>933678</v>
      </c>
      <c r="H210" s="259"/>
    </row>
    <row r="211" spans="1:8" ht="12.65" customHeight="1" x14ac:dyDescent="0.35">
      <c r="A211" s="173" t="s">
        <v>335</v>
      </c>
      <c r="B211" s="174">
        <v>1866</v>
      </c>
      <c r="C211" s="189">
        <f>4660+2733-1866</f>
        <v>5527</v>
      </c>
      <c r="D211" s="174"/>
      <c r="E211" s="175">
        <f t="shared" si="11"/>
        <v>7393</v>
      </c>
      <c r="H211" s="259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5">
      <c r="A213" s="173" t="s">
        <v>337</v>
      </c>
      <c r="B213" s="174">
        <v>112411</v>
      </c>
      <c r="C213" s="189">
        <f>318712-112411</f>
        <v>206301</v>
      </c>
      <c r="D213" s="174"/>
      <c r="E213" s="175">
        <f t="shared" si="11"/>
        <v>318712</v>
      </c>
      <c r="H213" s="259"/>
    </row>
    <row r="214" spans="1:8" ht="12.65" customHeight="1" x14ac:dyDescent="0.35">
      <c r="A214" s="173" t="s">
        <v>338</v>
      </c>
      <c r="B214" s="174">
        <v>24178</v>
      </c>
      <c r="C214" s="189">
        <f>77093-24178</f>
        <v>52915</v>
      </c>
      <c r="D214" s="174"/>
      <c r="E214" s="175">
        <f t="shared" si="11"/>
        <v>77093</v>
      </c>
      <c r="H214" s="259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>
        <v>138644</v>
      </c>
      <c r="C216" s="189"/>
      <c r="D216" s="174">
        <v>138644</v>
      </c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614115</v>
      </c>
      <c r="C217" s="191">
        <f>SUM(C208:C216)</f>
        <v>861405</v>
      </c>
      <c r="D217" s="175">
        <f>SUM(D208:D216)</f>
        <v>138644</v>
      </c>
      <c r="E217" s="175">
        <f>SUM(E208:E216)</f>
        <v>1336876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87" t="s">
        <v>1255</v>
      </c>
      <c r="C220" s="287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883866</v>
      </c>
      <c r="D221" s="172">
        <f>C221</f>
        <v>883866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f>9668125+786334+6161+2602046+149974+18778+9563</f>
        <v>13240981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f>22251343+1238910+770933+1321781+660+18190</f>
        <v>25601817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f>3981157+72794</f>
        <v>4053951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f>3750898+422608+6464805+245211+428056</f>
        <v>11311578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f>29641+59025</f>
        <v>88666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54296993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996705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25161.8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1021866.8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87006.28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205323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292329.28000000003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56495055.079999998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702835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f>8963416-15773</f>
        <v>8947643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f>3126833+761300+354897</f>
        <v>4243030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f>15773+23745</f>
        <v>39518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119370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95430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5661766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2000000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22957331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f>16146+116463</f>
        <v>132609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f>1199077+328952</f>
        <v>1528029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26617969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f>398538+938338</f>
        <v>1336876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25281093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f>1188375-376319</f>
        <v>812056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812056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31754915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f>218282+434563</f>
        <v>652845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748195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1401040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14560744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f>7579175-10394491</f>
        <v>-2815316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11745428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11745428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f>21779915+1393232</f>
        <v>23173147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f>-689070-53364-256222-608589-1492-2955963</f>
        <v>-4564700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31754915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31754915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77146205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1885200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79031405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883866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f>54555487+1055702-137025-11217-875625-292329</f>
        <v>54294993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11217+137025+873625</f>
        <v>1021867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292329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56493055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22538350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75728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75728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22614078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11311843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f>2226140</f>
        <v>2226140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2557187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f>942041+61892</f>
        <v>1003933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315276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1092158+104221</f>
        <v>1196379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f>591832+261756</f>
        <v>853588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139103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f>63104+37427</f>
        <v>100531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374331+223101</f>
        <v>597432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791298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23842775-931735-19603137+237675-883866+155313</f>
        <v>2817025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23909735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-1295657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-1295657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-1295657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Vest Seattle, LLC dba Smokey Point Behavioral Hospital   H-0     FYE 12/31/2018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2071</v>
      </c>
      <c r="C414" s="194">
        <f>E138</f>
        <v>2071</v>
      </c>
      <c r="D414" s="179"/>
    </row>
    <row r="415" spans="1:5" ht="12.65" customHeight="1" x14ac:dyDescent="0.35">
      <c r="A415" s="179" t="s">
        <v>464</v>
      </c>
      <c r="B415" s="179">
        <f>D111</f>
        <v>25414</v>
      </c>
      <c r="C415" s="179">
        <f>E139</f>
        <v>25414</v>
      </c>
      <c r="D415" s="194">
        <f>SUM(C59:H59)+N59</f>
        <v>25414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11311843</v>
      </c>
      <c r="C427" s="179">
        <f t="shared" ref="C427:C434" si="13">CE61</f>
        <v>11311543</v>
      </c>
      <c r="D427" s="179"/>
    </row>
    <row r="428" spans="1:7" ht="12.65" customHeight="1" x14ac:dyDescent="0.35">
      <c r="A428" s="179" t="s">
        <v>3</v>
      </c>
      <c r="B428" s="179">
        <f t="shared" si="12"/>
        <v>2226140</v>
      </c>
      <c r="C428" s="179">
        <f t="shared" si="13"/>
        <v>2226140</v>
      </c>
      <c r="D428" s="179">
        <f>D173</f>
        <v>2226140</v>
      </c>
    </row>
    <row r="429" spans="1:7" ht="12.65" customHeight="1" x14ac:dyDescent="0.35">
      <c r="A429" s="179" t="s">
        <v>236</v>
      </c>
      <c r="B429" s="179">
        <f t="shared" si="12"/>
        <v>2557187</v>
      </c>
      <c r="C429" s="179">
        <f t="shared" si="13"/>
        <v>2557187</v>
      </c>
      <c r="D429" s="179"/>
    </row>
    <row r="430" spans="1:7" ht="12.65" customHeight="1" x14ac:dyDescent="0.35">
      <c r="A430" s="179" t="s">
        <v>237</v>
      </c>
      <c r="B430" s="179">
        <f t="shared" si="12"/>
        <v>1003933</v>
      </c>
      <c r="C430" s="179">
        <f t="shared" si="13"/>
        <v>1003933</v>
      </c>
      <c r="D430" s="179"/>
    </row>
    <row r="431" spans="1:7" ht="12.65" customHeight="1" x14ac:dyDescent="0.35">
      <c r="A431" s="179" t="s">
        <v>444</v>
      </c>
      <c r="B431" s="179">
        <f t="shared" si="12"/>
        <v>315276</v>
      </c>
      <c r="C431" s="179">
        <f t="shared" si="13"/>
        <v>315276</v>
      </c>
      <c r="D431" s="179"/>
    </row>
    <row r="432" spans="1:7" ht="12.65" customHeight="1" x14ac:dyDescent="0.35">
      <c r="A432" s="179" t="s">
        <v>445</v>
      </c>
      <c r="B432" s="179">
        <f t="shared" si="12"/>
        <v>1196379</v>
      </c>
      <c r="C432" s="179">
        <f t="shared" si="13"/>
        <v>1196379</v>
      </c>
      <c r="D432" s="179"/>
    </row>
    <row r="433" spans="1:7" ht="12.65" customHeight="1" x14ac:dyDescent="0.35">
      <c r="A433" s="179" t="s">
        <v>6</v>
      </c>
      <c r="B433" s="179">
        <f t="shared" si="12"/>
        <v>853588</v>
      </c>
      <c r="C433" s="179">
        <f t="shared" si="13"/>
        <v>853588</v>
      </c>
      <c r="D433" s="179">
        <f>C217</f>
        <v>861405</v>
      </c>
    </row>
    <row r="434" spans="1:7" ht="12.65" customHeight="1" x14ac:dyDescent="0.35">
      <c r="A434" s="179" t="s">
        <v>474</v>
      </c>
      <c r="B434" s="179">
        <f t="shared" si="12"/>
        <v>139103</v>
      </c>
      <c r="C434" s="179">
        <f t="shared" si="13"/>
        <v>139103</v>
      </c>
      <c r="D434" s="179">
        <f>D177</f>
        <v>139103</v>
      </c>
    </row>
    <row r="435" spans="1:7" ht="12.65" customHeight="1" x14ac:dyDescent="0.35">
      <c r="A435" s="179" t="s">
        <v>447</v>
      </c>
      <c r="B435" s="179">
        <f t="shared" si="12"/>
        <v>100531</v>
      </c>
      <c r="C435" s="179"/>
      <c r="D435" s="179">
        <f>D181</f>
        <v>100531</v>
      </c>
    </row>
    <row r="436" spans="1:7" ht="12.65" customHeight="1" x14ac:dyDescent="0.35">
      <c r="A436" s="179" t="s">
        <v>475</v>
      </c>
      <c r="B436" s="179">
        <f t="shared" si="12"/>
        <v>597432</v>
      </c>
      <c r="C436" s="179"/>
      <c r="D436" s="179">
        <f>D186</f>
        <v>597432.75</v>
      </c>
    </row>
    <row r="437" spans="1:7" ht="12.65" customHeight="1" x14ac:dyDescent="0.35">
      <c r="A437" s="194" t="s">
        <v>449</v>
      </c>
      <c r="B437" s="194">
        <f t="shared" si="12"/>
        <v>791298</v>
      </c>
      <c r="C437" s="194"/>
      <c r="D437" s="194">
        <f>D190</f>
        <v>791298</v>
      </c>
    </row>
    <row r="438" spans="1:7" ht="12.65" customHeight="1" x14ac:dyDescent="0.35">
      <c r="A438" s="194" t="s">
        <v>476</v>
      </c>
      <c r="B438" s="194">
        <f>C386+C387+C388</f>
        <v>1489261</v>
      </c>
      <c r="C438" s="194">
        <f>CD69</f>
        <v>0</v>
      </c>
      <c r="D438" s="194">
        <f>D181+D186+D190</f>
        <v>1489261.75</v>
      </c>
    </row>
    <row r="439" spans="1:7" ht="12.65" customHeight="1" x14ac:dyDescent="0.35">
      <c r="A439" s="179" t="s">
        <v>451</v>
      </c>
      <c r="B439" s="194">
        <f>C389</f>
        <v>2817025</v>
      </c>
      <c r="C439" s="194">
        <f>SUM(C69:CC69)</f>
        <v>4368324</v>
      </c>
      <c r="D439" s="179"/>
    </row>
    <row r="440" spans="1:7" ht="12.65" customHeight="1" x14ac:dyDescent="0.35">
      <c r="A440" s="179" t="s">
        <v>477</v>
      </c>
      <c r="B440" s="194">
        <f>B438+B439</f>
        <v>4306286</v>
      </c>
      <c r="C440" s="194">
        <f>CE69</f>
        <v>4368324</v>
      </c>
      <c r="D440" s="179"/>
    </row>
    <row r="441" spans="1:7" ht="12.65" customHeight="1" x14ac:dyDescent="0.35">
      <c r="A441" s="179" t="s">
        <v>478</v>
      </c>
      <c r="B441" s="179">
        <f>D390</f>
        <v>23909735</v>
      </c>
      <c r="C441" s="179">
        <f>SUM(C427:C437)+C440</f>
        <v>23971473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883866</v>
      </c>
      <c r="C444" s="179">
        <f>C363</f>
        <v>883866</v>
      </c>
      <c r="D444" s="179"/>
    </row>
    <row r="445" spans="1:7" ht="12.65" customHeight="1" x14ac:dyDescent="0.35">
      <c r="A445" s="179" t="s">
        <v>343</v>
      </c>
      <c r="B445" s="179">
        <f>D229</f>
        <v>54296993</v>
      </c>
      <c r="C445" s="179">
        <f>C364</f>
        <v>54294993</v>
      </c>
      <c r="D445" s="179"/>
    </row>
    <row r="446" spans="1:7" ht="12.65" customHeight="1" x14ac:dyDescent="0.35">
      <c r="A446" s="179" t="s">
        <v>351</v>
      </c>
      <c r="B446" s="179">
        <f>D236</f>
        <v>1021866.8</v>
      </c>
      <c r="C446" s="179">
        <f>C365</f>
        <v>1021867</v>
      </c>
      <c r="D446" s="179"/>
    </row>
    <row r="447" spans="1:7" ht="12.65" customHeight="1" x14ac:dyDescent="0.35">
      <c r="A447" s="179" t="s">
        <v>356</v>
      </c>
      <c r="B447" s="179">
        <f>D240</f>
        <v>292329.28000000003</v>
      </c>
      <c r="C447" s="179">
        <f>C366</f>
        <v>292329</v>
      </c>
      <c r="D447" s="179"/>
    </row>
    <row r="448" spans="1:7" ht="12.65" customHeight="1" x14ac:dyDescent="0.35">
      <c r="A448" s="179" t="s">
        <v>358</v>
      </c>
      <c r="B448" s="179">
        <f>D242</f>
        <v>56495055.079999998</v>
      </c>
      <c r="C448" s="179">
        <f>D367</f>
        <v>56493055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996705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25161.8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75728</v>
      </c>
      <c r="C458" s="194">
        <f>CE70</f>
        <v>1597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77146205</v>
      </c>
      <c r="C463" s="194">
        <f>CE73</f>
        <v>76242000</v>
      </c>
      <c r="D463" s="194">
        <f>E141+E147+E153</f>
        <v>76242000</v>
      </c>
    </row>
    <row r="464" spans="1:7" ht="12.65" customHeight="1" x14ac:dyDescent="0.35">
      <c r="A464" s="179" t="s">
        <v>246</v>
      </c>
      <c r="B464" s="194">
        <f>C360</f>
        <v>1885200</v>
      </c>
      <c r="C464" s="194">
        <f>CE74</f>
        <v>1885200</v>
      </c>
      <c r="D464" s="194">
        <f>E142+E148+E154</f>
        <v>1885200</v>
      </c>
    </row>
    <row r="465" spans="1:7" ht="12.65" customHeight="1" x14ac:dyDescent="0.35">
      <c r="A465" s="179" t="s">
        <v>247</v>
      </c>
      <c r="B465" s="194">
        <f>D361</f>
        <v>79031405</v>
      </c>
      <c r="C465" s="194">
        <f>CE75</f>
        <v>78127200</v>
      </c>
      <c r="D465" s="194">
        <f>D463+D464</f>
        <v>78127200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2000000</v>
      </c>
      <c r="C468" s="179">
        <f>E195</f>
        <v>2000000</v>
      </c>
      <c r="D468" s="179"/>
    </row>
    <row r="469" spans="1:7" ht="12.65" customHeight="1" x14ac:dyDescent="0.3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14"/>
        <v>22957331</v>
      </c>
      <c r="C470" s="179">
        <f>E197</f>
        <v>22957331</v>
      </c>
      <c r="D470" s="179"/>
    </row>
    <row r="471" spans="1:7" ht="12.65" customHeight="1" x14ac:dyDescent="0.35">
      <c r="A471" s="179" t="s">
        <v>494</v>
      </c>
      <c r="B471" s="179">
        <f t="shared" si="14"/>
        <v>132609</v>
      </c>
      <c r="C471" s="179">
        <f>E198</f>
        <v>132608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1528029</v>
      </c>
      <c r="C473" s="179">
        <f>SUM(E200:E201)</f>
        <v>1528029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26617969</v>
      </c>
      <c r="C476" s="179">
        <f>E204</f>
        <v>26617968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1336876</v>
      </c>
      <c r="C478" s="179">
        <f>E217</f>
        <v>1336876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31754915</v>
      </c>
    </row>
    <row r="482" spans="1:12" ht="12.65" customHeight="1" x14ac:dyDescent="0.35">
      <c r="A482" s="180" t="s">
        <v>499</v>
      </c>
      <c r="C482" s="180">
        <f>D339</f>
        <v>31754915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924</v>
      </c>
      <c r="B493" s="261" t="s">
        <v>1276</v>
      </c>
      <c r="C493" s="261" t="str">
        <f>RIGHT(C82,4)</f>
        <v>2018</v>
      </c>
      <c r="D493" s="261" t="s">
        <v>1276</v>
      </c>
      <c r="E493" s="261" t="str">
        <f>RIGHT(C82,4)</f>
        <v>2018</v>
      </c>
      <c r="F493" s="261" t="s">
        <v>1276</v>
      </c>
      <c r="G493" s="261" t="str">
        <f>RIGHT(C82,4)</f>
        <v>2018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 t="e">
        <v>#DIV/0!</v>
      </c>
      <c r="C496" s="240">
        <f>C71</f>
        <v>0</v>
      </c>
      <c r="D496" s="240">
        <v>0</v>
      </c>
      <c r="E496" s="180">
        <f>C59</f>
        <v>0</v>
      </c>
      <c r="F496" s="263" t="e">
        <f t="shared" ref="F496:G511" si="15">IF(B496=0,"",IF(D496=0,"",B496/D496))</f>
        <v>#DIV/0!</v>
      </c>
      <c r="G496" s="264" t="str">
        <f t="shared" si="15"/>
        <v/>
      </c>
      <c r="H496" s="265" t="e">
        <f>IF(B496=0,"",IF(C496=0,"",IF(D496=0,"",IF(E496=0,"",IF(G496/F496-1&lt;-0.25,G496/F496-1,IF(G496/F496-1&gt;0.25,G496/F496-1,""))))))</f>
        <v>#DIV/0!</v>
      </c>
      <c r="I496" s="267"/>
      <c r="K496" s="261"/>
      <c r="L496" s="261"/>
    </row>
    <row r="497" spans="1:12" ht="12.65" customHeight="1" x14ac:dyDescent="0.35">
      <c r="A497" s="180" t="s">
        <v>513</v>
      </c>
      <c r="B497" s="240" t="e">
        <v>#DIV/0!</v>
      </c>
      <c r="C497" s="240">
        <f>D71</f>
        <v>0</v>
      </c>
      <c r="D497" s="240">
        <v>0</v>
      </c>
      <c r="E497" s="180">
        <f>D59</f>
        <v>0</v>
      </c>
      <c r="F497" s="263" t="e">
        <f t="shared" si="15"/>
        <v>#DIV/0!</v>
      </c>
      <c r="G497" s="263" t="str">
        <f t="shared" si="15"/>
        <v/>
      </c>
      <c r="H497" s="265" t="e">
        <f t="shared" ref="H497:H550" si="16">IF(B497=0,"",IF(C497=0,"",IF(D497=0,"",IF(E497=0,"",IF(G497/F497-1&lt;-0.25,G497/F497-1,IF(G497/F497-1&gt;0.25,G497/F497-1,""))))))</f>
        <v>#DIV/0!</v>
      </c>
      <c r="I497" s="267"/>
      <c r="K497" s="261"/>
      <c r="L497" s="261"/>
    </row>
    <row r="498" spans="1:12" ht="12.65" customHeight="1" x14ac:dyDescent="0.35">
      <c r="A498" s="180" t="s">
        <v>514</v>
      </c>
      <c r="B498" s="240" t="e">
        <v>#DIV/0!</v>
      </c>
      <c r="C498" s="240">
        <f>E71</f>
        <v>0</v>
      </c>
      <c r="D498" s="240">
        <v>0</v>
      </c>
      <c r="E498" s="180">
        <f>E59</f>
        <v>0</v>
      </c>
      <c r="F498" s="263" t="e">
        <f t="shared" si="15"/>
        <v>#DIV/0!</v>
      </c>
      <c r="G498" s="263" t="str">
        <f t="shared" si="15"/>
        <v/>
      </c>
      <c r="H498" s="265" t="e">
        <f t="shared" si="16"/>
        <v>#DIV/0!</v>
      </c>
      <c r="I498" s="267"/>
      <c r="K498" s="261"/>
      <c r="L498" s="261"/>
    </row>
    <row r="499" spans="1:12" ht="12.65" customHeight="1" x14ac:dyDescent="0.35">
      <c r="A499" s="180" t="s">
        <v>515</v>
      </c>
      <c r="B499" s="240" t="e">
        <v>#DIV/0!</v>
      </c>
      <c r="C499" s="240">
        <f>F71</f>
        <v>0</v>
      </c>
      <c r="D499" s="240">
        <v>0</v>
      </c>
      <c r="E499" s="180">
        <f>F59</f>
        <v>0</v>
      </c>
      <c r="F499" s="263" t="e">
        <f t="shared" si="15"/>
        <v>#DIV/0!</v>
      </c>
      <c r="G499" s="263" t="str">
        <f t="shared" si="15"/>
        <v/>
      </c>
      <c r="H499" s="265" t="e">
        <f t="shared" si="16"/>
        <v>#DIV/0!</v>
      </c>
      <c r="I499" s="267"/>
      <c r="K499" s="261"/>
      <c r="L499" s="261"/>
    </row>
    <row r="500" spans="1:12" ht="12.65" customHeight="1" x14ac:dyDescent="0.35">
      <c r="A500" s="180" t="s">
        <v>516</v>
      </c>
      <c r="B500" s="240" t="e">
        <v>#DIV/0!</v>
      </c>
      <c r="C500" s="240">
        <f>G71</f>
        <v>0</v>
      </c>
      <c r="D500" s="240">
        <v>0</v>
      </c>
      <c r="E500" s="180">
        <f>G59</f>
        <v>0</v>
      </c>
      <c r="F500" s="263" t="e">
        <f t="shared" si="15"/>
        <v>#DIV/0!</v>
      </c>
      <c r="G500" s="263" t="str">
        <f t="shared" si="15"/>
        <v/>
      </c>
      <c r="H500" s="265" t="e">
        <f t="shared" si="16"/>
        <v>#DIV/0!</v>
      </c>
      <c r="I500" s="267"/>
      <c r="K500" s="261"/>
      <c r="L500" s="261"/>
    </row>
    <row r="501" spans="1:12" ht="12.65" customHeight="1" x14ac:dyDescent="0.35">
      <c r="A501" s="180" t="s">
        <v>517</v>
      </c>
      <c r="B501" s="240" t="e">
        <v>#DIV/0!</v>
      </c>
      <c r="C501" s="240">
        <f>H71</f>
        <v>6982712</v>
      </c>
      <c r="D501" s="240">
        <v>0</v>
      </c>
      <c r="E501" s="180">
        <f>H59</f>
        <v>25414</v>
      </c>
      <c r="F501" s="263" t="e">
        <f t="shared" si="15"/>
        <v>#DIV/0!</v>
      </c>
      <c r="G501" s="263">
        <f t="shared" si="15"/>
        <v>274.75847957818524</v>
      </c>
      <c r="H501" s="265" t="e">
        <f t="shared" si="16"/>
        <v>#DIV/0!</v>
      </c>
      <c r="I501" s="267"/>
      <c r="K501" s="261"/>
      <c r="L501" s="261"/>
    </row>
    <row r="502" spans="1:12" ht="12.65" customHeight="1" x14ac:dyDescent="0.35">
      <c r="A502" s="180" t="s">
        <v>518</v>
      </c>
      <c r="B502" s="240" t="e">
        <v>#DIV/0!</v>
      </c>
      <c r="C502" s="240">
        <f>I71</f>
        <v>0</v>
      </c>
      <c r="D502" s="240">
        <v>0</v>
      </c>
      <c r="E502" s="180">
        <f>I59</f>
        <v>0</v>
      </c>
      <c r="F502" s="263" t="e">
        <f t="shared" si="15"/>
        <v>#DIV/0!</v>
      </c>
      <c r="G502" s="263" t="str">
        <f t="shared" si="15"/>
        <v/>
      </c>
      <c r="H502" s="265" t="e">
        <f t="shared" si="16"/>
        <v>#DIV/0!</v>
      </c>
      <c r="I502" s="267"/>
      <c r="K502" s="261"/>
      <c r="L502" s="261"/>
    </row>
    <row r="503" spans="1:12" ht="12.65" customHeight="1" x14ac:dyDescent="0.35">
      <c r="A503" s="180" t="s">
        <v>519</v>
      </c>
      <c r="B503" s="240" t="e">
        <v>#DIV/0!</v>
      </c>
      <c r="C503" s="240">
        <f>J71</f>
        <v>0</v>
      </c>
      <c r="D503" s="240">
        <v>0</v>
      </c>
      <c r="E503" s="180">
        <f>J59</f>
        <v>0</v>
      </c>
      <c r="F503" s="263" t="e">
        <f t="shared" si="15"/>
        <v>#DIV/0!</v>
      </c>
      <c r="G503" s="263" t="str">
        <f t="shared" si="15"/>
        <v/>
      </c>
      <c r="H503" s="265" t="e">
        <f t="shared" si="16"/>
        <v>#DIV/0!</v>
      </c>
      <c r="I503" s="267"/>
      <c r="K503" s="261"/>
      <c r="L503" s="261"/>
    </row>
    <row r="504" spans="1:12" ht="12.65" customHeight="1" x14ac:dyDescent="0.35">
      <c r="A504" s="180" t="s">
        <v>520</v>
      </c>
      <c r="B504" s="240" t="e">
        <v>#DIV/0!</v>
      </c>
      <c r="C504" s="240">
        <f>K71</f>
        <v>0</v>
      </c>
      <c r="D504" s="240">
        <v>0</v>
      </c>
      <c r="E504" s="180">
        <f>K59</f>
        <v>0</v>
      </c>
      <c r="F504" s="263" t="e">
        <f t="shared" si="15"/>
        <v>#DIV/0!</v>
      </c>
      <c r="G504" s="263" t="str">
        <f t="shared" si="15"/>
        <v/>
      </c>
      <c r="H504" s="265" t="e">
        <f t="shared" si="16"/>
        <v>#DIV/0!</v>
      </c>
      <c r="I504" s="267"/>
      <c r="K504" s="261"/>
      <c r="L504" s="261"/>
    </row>
    <row r="505" spans="1:12" ht="12.65" customHeight="1" x14ac:dyDescent="0.35">
      <c r="A505" s="180" t="s">
        <v>521</v>
      </c>
      <c r="B505" s="240" t="e">
        <v>#DIV/0!</v>
      </c>
      <c r="C505" s="240">
        <f>L71</f>
        <v>0</v>
      </c>
      <c r="D505" s="240">
        <v>0</v>
      </c>
      <c r="E505" s="180">
        <f>L59</f>
        <v>0</v>
      </c>
      <c r="F505" s="263" t="e">
        <f t="shared" si="15"/>
        <v>#DIV/0!</v>
      </c>
      <c r="G505" s="263" t="str">
        <f t="shared" si="15"/>
        <v/>
      </c>
      <c r="H505" s="265" t="e">
        <f t="shared" si="16"/>
        <v>#DIV/0!</v>
      </c>
      <c r="I505" s="267"/>
      <c r="K505" s="261"/>
      <c r="L505" s="261"/>
    </row>
    <row r="506" spans="1:12" ht="12.65" customHeight="1" x14ac:dyDescent="0.35">
      <c r="A506" s="180" t="s">
        <v>522</v>
      </c>
      <c r="B506" s="240" t="e">
        <v>#DIV/0!</v>
      </c>
      <c r="C506" s="240">
        <f>M71</f>
        <v>0</v>
      </c>
      <c r="D506" s="240">
        <v>0</v>
      </c>
      <c r="E506" s="180">
        <f>M59</f>
        <v>0</v>
      </c>
      <c r="F506" s="263" t="e">
        <f t="shared" si="15"/>
        <v>#DIV/0!</v>
      </c>
      <c r="G506" s="263" t="str">
        <f t="shared" si="15"/>
        <v/>
      </c>
      <c r="H506" s="265" t="e">
        <f t="shared" si="16"/>
        <v>#DIV/0!</v>
      </c>
      <c r="I506" s="267"/>
      <c r="K506" s="261"/>
      <c r="L506" s="261"/>
    </row>
    <row r="507" spans="1:12" ht="12.65" customHeight="1" x14ac:dyDescent="0.35">
      <c r="A507" s="180" t="s">
        <v>523</v>
      </c>
      <c r="B507" s="240" t="e">
        <v>#DIV/0!</v>
      </c>
      <c r="C507" s="240">
        <f>N71</f>
        <v>0</v>
      </c>
      <c r="D507" s="240">
        <v>0</v>
      </c>
      <c r="E507" s="180">
        <f>N59</f>
        <v>0</v>
      </c>
      <c r="F507" s="263" t="e">
        <f t="shared" si="15"/>
        <v>#DIV/0!</v>
      </c>
      <c r="G507" s="263" t="str">
        <f t="shared" si="15"/>
        <v/>
      </c>
      <c r="H507" s="265" t="e">
        <f t="shared" si="16"/>
        <v>#DIV/0!</v>
      </c>
      <c r="I507" s="267"/>
      <c r="K507" s="261"/>
      <c r="L507" s="261"/>
    </row>
    <row r="508" spans="1:12" ht="12.65" customHeight="1" x14ac:dyDescent="0.35">
      <c r="A508" s="180" t="s">
        <v>524</v>
      </c>
      <c r="B508" s="240" t="e">
        <v>#DIV/0!</v>
      </c>
      <c r="C508" s="240">
        <f>O71</f>
        <v>0</v>
      </c>
      <c r="D508" s="240">
        <v>0</v>
      </c>
      <c r="E508" s="180">
        <f>O59</f>
        <v>0</v>
      </c>
      <c r="F508" s="263" t="e">
        <f t="shared" si="15"/>
        <v>#DIV/0!</v>
      </c>
      <c r="G508" s="263" t="str">
        <f t="shared" si="15"/>
        <v/>
      </c>
      <c r="H508" s="265" t="e">
        <f t="shared" si="16"/>
        <v>#DIV/0!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 t="e">
        <v>#DIV/0!</v>
      </c>
      <c r="C509" s="240">
        <f>P71</f>
        <v>0</v>
      </c>
      <c r="D509" s="240">
        <v>0</v>
      </c>
      <c r="E509" s="180">
        <f>P59</f>
        <v>0</v>
      </c>
      <c r="F509" s="263" t="e">
        <f t="shared" si="15"/>
        <v>#DIV/0!</v>
      </c>
      <c r="G509" s="263" t="str">
        <f t="shared" si="15"/>
        <v/>
      </c>
      <c r="H509" s="265" t="e">
        <f t="shared" si="16"/>
        <v>#DIV/0!</v>
      </c>
      <c r="I509" s="267"/>
      <c r="K509" s="261"/>
      <c r="L509" s="261"/>
    </row>
    <row r="510" spans="1:12" ht="12.65" customHeight="1" x14ac:dyDescent="0.35">
      <c r="A510" s="180" t="s">
        <v>526</v>
      </c>
      <c r="B510" s="240" t="e">
        <v>#DIV/0!</v>
      </c>
      <c r="C510" s="240">
        <f>Q71</f>
        <v>0</v>
      </c>
      <c r="D510" s="240">
        <v>0</v>
      </c>
      <c r="E510" s="180">
        <f>Q59</f>
        <v>0</v>
      </c>
      <c r="F510" s="263" t="e">
        <f t="shared" si="15"/>
        <v>#DIV/0!</v>
      </c>
      <c r="G510" s="263" t="str">
        <f t="shared" si="15"/>
        <v/>
      </c>
      <c r="H510" s="265" t="e">
        <f t="shared" si="16"/>
        <v>#DIV/0!</v>
      </c>
      <c r="I510" s="267"/>
      <c r="K510" s="261"/>
      <c r="L510" s="261"/>
    </row>
    <row r="511" spans="1:12" ht="12.65" customHeight="1" x14ac:dyDescent="0.35">
      <c r="A511" s="180" t="s">
        <v>527</v>
      </c>
      <c r="B511" s="240" t="e">
        <v>#DIV/0!</v>
      </c>
      <c r="C511" s="240">
        <f>R71</f>
        <v>0</v>
      </c>
      <c r="D511" s="240">
        <v>0</v>
      </c>
      <c r="E511" s="180">
        <f>R59</f>
        <v>0</v>
      </c>
      <c r="F511" s="263" t="e">
        <f t="shared" si="15"/>
        <v>#DIV/0!</v>
      </c>
      <c r="G511" s="263" t="str">
        <f t="shared" si="15"/>
        <v/>
      </c>
      <c r="H511" s="265" t="e">
        <f t="shared" si="16"/>
        <v>#DIV/0!</v>
      </c>
      <c r="I511" s="267"/>
      <c r="K511" s="261"/>
      <c r="L511" s="261"/>
    </row>
    <row r="512" spans="1:12" ht="12.65" customHeight="1" x14ac:dyDescent="0.35">
      <c r="A512" s="180" t="s">
        <v>528</v>
      </c>
      <c r="B512" s="240" t="e">
        <v>#DIV/0!</v>
      </c>
      <c r="C512" s="240">
        <f>S71</f>
        <v>0</v>
      </c>
      <c r="D512" s="181" t="s">
        <v>529</v>
      </c>
      <c r="E512" s="181" t="s">
        <v>529</v>
      </c>
      <c r="F512" s="263" t="e">
        <f t="shared" ref="F512:G527" si="17">IF(B512=0,"",IF(D512=0,"",B512/D512))</f>
        <v>#DIV/0!</v>
      </c>
      <c r="G512" s="263" t="str">
        <f t="shared" si="17"/>
        <v/>
      </c>
      <c r="H512" s="265" t="e">
        <f t="shared" si="16"/>
        <v>#DIV/0!</v>
      </c>
      <c r="I512" s="267"/>
      <c r="K512" s="261"/>
      <c r="L512" s="261"/>
    </row>
    <row r="513" spans="1:12" ht="12.65" customHeight="1" x14ac:dyDescent="0.35">
      <c r="A513" s="180" t="s">
        <v>1246</v>
      </c>
      <c r="B513" s="240" t="e">
        <v>#DIV/0!</v>
      </c>
      <c r="C513" s="240">
        <f>T71</f>
        <v>0</v>
      </c>
      <c r="D513" s="181" t="s">
        <v>529</v>
      </c>
      <c r="E513" s="181" t="s">
        <v>529</v>
      </c>
      <c r="F513" s="263" t="e">
        <f t="shared" si="17"/>
        <v>#DIV/0!</v>
      </c>
      <c r="G513" s="263" t="str">
        <f t="shared" si="17"/>
        <v/>
      </c>
      <c r="H513" s="265" t="e">
        <f t="shared" si="16"/>
        <v>#DIV/0!</v>
      </c>
      <c r="I513" s="267"/>
      <c r="K513" s="261"/>
      <c r="L513" s="261"/>
    </row>
    <row r="514" spans="1:12" ht="12.65" customHeight="1" x14ac:dyDescent="0.35">
      <c r="A514" s="180" t="s">
        <v>530</v>
      </c>
      <c r="B514" s="240" t="e">
        <v>#DIV/0!</v>
      </c>
      <c r="C514" s="240">
        <f>U71</f>
        <v>254130</v>
      </c>
      <c r="D514" s="240">
        <v>0</v>
      </c>
      <c r="E514" s="180">
        <f>U59</f>
        <v>0</v>
      </c>
      <c r="F514" s="263" t="e">
        <f t="shared" si="17"/>
        <v>#DIV/0!</v>
      </c>
      <c r="G514" s="263" t="str">
        <f t="shared" si="17"/>
        <v/>
      </c>
      <c r="H514" s="265" t="e">
        <f t="shared" si="16"/>
        <v>#DIV/0!</v>
      </c>
      <c r="I514" s="267"/>
      <c r="K514" s="261"/>
      <c r="L514" s="261"/>
    </row>
    <row r="515" spans="1:12" ht="12.65" customHeight="1" x14ac:dyDescent="0.35">
      <c r="A515" s="180" t="s">
        <v>531</v>
      </c>
      <c r="B515" s="240" t="e">
        <v>#DIV/0!</v>
      </c>
      <c r="C515" s="240">
        <f>V71</f>
        <v>0</v>
      </c>
      <c r="D515" s="240">
        <v>0</v>
      </c>
      <c r="E515" s="180">
        <f>V59</f>
        <v>0</v>
      </c>
      <c r="F515" s="263" t="e">
        <f t="shared" si="17"/>
        <v>#DIV/0!</v>
      </c>
      <c r="G515" s="263" t="str">
        <f t="shared" si="17"/>
        <v/>
      </c>
      <c r="H515" s="265" t="e">
        <f t="shared" si="16"/>
        <v>#DIV/0!</v>
      </c>
      <c r="I515" s="267"/>
      <c r="K515" s="261"/>
      <c r="L515" s="261"/>
    </row>
    <row r="516" spans="1:12" ht="12.65" customHeight="1" x14ac:dyDescent="0.35">
      <c r="A516" s="180" t="s">
        <v>532</v>
      </c>
      <c r="B516" s="240" t="e">
        <v>#DIV/0!</v>
      </c>
      <c r="C516" s="240">
        <f>W71</f>
        <v>0</v>
      </c>
      <c r="D516" s="240">
        <v>0</v>
      </c>
      <c r="E516" s="180">
        <f>W59</f>
        <v>0</v>
      </c>
      <c r="F516" s="263" t="e">
        <f t="shared" si="17"/>
        <v>#DIV/0!</v>
      </c>
      <c r="G516" s="263" t="str">
        <f t="shared" si="17"/>
        <v/>
      </c>
      <c r="H516" s="265" t="e">
        <f t="shared" si="16"/>
        <v>#DIV/0!</v>
      </c>
      <c r="I516" s="267"/>
      <c r="K516" s="261"/>
      <c r="L516" s="261"/>
    </row>
    <row r="517" spans="1:12" ht="12.65" customHeight="1" x14ac:dyDescent="0.35">
      <c r="A517" s="180" t="s">
        <v>533</v>
      </c>
      <c r="B517" s="240" t="e">
        <v>#DIV/0!</v>
      </c>
      <c r="C517" s="240">
        <f>X71</f>
        <v>0</v>
      </c>
      <c r="D517" s="240">
        <v>0</v>
      </c>
      <c r="E517" s="180">
        <f>X59</f>
        <v>0</v>
      </c>
      <c r="F517" s="263" t="e">
        <f t="shared" si="17"/>
        <v>#DIV/0!</v>
      </c>
      <c r="G517" s="263" t="str">
        <f t="shared" si="17"/>
        <v/>
      </c>
      <c r="H517" s="265" t="e">
        <f t="shared" si="16"/>
        <v>#DIV/0!</v>
      </c>
      <c r="I517" s="267"/>
      <c r="K517" s="261"/>
      <c r="L517" s="261"/>
    </row>
    <row r="518" spans="1:12" ht="12.65" customHeight="1" x14ac:dyDescent="0.35">
      <c r="A518" s="180" t="s">
        <v>534</v>
      </c>
      <c r="B518" s="240" t="e">
        <v>#DIV/0!</v>
      </c>
      <c r="C518" s="240">
        <f>Y71</f>
        <v>88655</v>
      </c>
      <c r="D518" s="240">
        <v>0</v>
      </c>
      <c r="E518" s="180">
        <f>Y59</f>
        <v>0</v>
      </c>
      <c r="F518" s="263" t="e">
        <f t="shared" si="17"/>
        <v>#DIV/0!</v>
      </c>
      <c r="G518" s="263" t="str">
        <f t="shared" si="17"/>
        <v/>
      </c>
      <c r="H518" s="265" t="e">
        <f t="shared" si="16"/>
        <v>#DIV/0!</v>
      </c>
      <c r="I518" s="267"/>
      <c r="K518" s="261"/>
      <c r="L518" s="261"/>
    </row>
    <row r="519" spans="1:12" ht="12.65" customHeight="1" x14ac:dyDescent="0.35">
      <c r="A519" s="180" t="s">
        <v>535</v>
      </c>
      <c r="B519" s="240" t="e">
        <v>#DIV/0!</v>
      </c>
      <c r="C519" s="240">
        <f>Z71</f>
        <v>0</v>
      </c>
      <c r="D519" s="240">
        <v>0</v>
      </c>
      <c r="E519" s="180">
        <f>Z59</f>
        <v>0</v>
      </c>
      <c r="F519" s="263" t="e">
        <f t="shared" si="17"/>
        <v>#DIV/0!</v>
      </c>
      <c r="G519" s="263" t="str">
        <f t="shared" si="17"/>
        <v/>
      </c>
      <c r="H519" s="265" t="e">
        <f t="shared" si="16"/>
        <v>#DIV/0!</v>
      </c>
      <c r="I519" s="267"/>
      <c r="K519" s="261"/>
      <c r="L519" s="261"/>
    </row>
    <row r="520" spans="1:12" ht="12.65" customHeight="1" x14ac:dyDescent="0.35">
      <c r="A520" s="180" t="s">
        <v>536</v>
      </c>
      <c r="B520" s="240" t="e">
        <v>#DIV/0!</v>
      </c>
      <c r="C520" s="240">
        <f>AA71</f>
        <v>0</v>
      </c>
      <c r="D520" s="240">
        <v>0</v>
      </c>
      <c r="E520" s="180">
        <f>AA59</f>
        <v>0</v>
      </c>
      <c r="F520" s="263" t="e">
        <f t="shared" si="17"/>
        <v>#DIV/0!</v>
      </c>
      <c r="G520" s="263" t="str">
        <f t="shared" si="17"/>
        <v/>
      </c>
      <c r="H520" s="265" t="e">
        <f t="shared" si="16"/>
        <v>#DIV/0!</v>
      </c>
      <c r="I520" s="267"/>
      <c r="K520" s="261"/>
      <c r="L520" s="261"/>
    </row>
    <row r="521" spans="1:12" ht="12.65" customHeight="1" x14ac:dyDescent="0.35">
      <c r="A521" s="180" t="s">
        <v>537</v>
      </c>
      <c r="B521" s="240" t="e">
        <v>#DIV/0!</v>
      </c>
      <c r="C521" s="240">
        <f>AB71</f>
        <v>697519</v>
      </c>
      <c r="D521" s="181" t="s">
        <v>529</v>
      </c>
      <c r="E521" s="181" t="s">
        <v>529</v>
      </c>
      <c r="F521" s="263" t="e">
        <f t="shared" si="17"/>
        <v>#DIV/0!</v>
      </c>
      <c r="G521" s="263" t="str">
        <f t="shared" si="17"/>
        <v/>
      </c>
      <c r="H521" s="265" t="e">
        <f t="shared" si="16"/>
        <v>#DIV/0!</v>
      </c>
      <c r="I521" s="267"/>
      <c r="K521" s="261"/>
      <c r="L521" s="261"/>
    </row>
    <row r="522" spans="1:12" ht="12.65" customHeight="1" x14ac:dyDescent="0.35">
      <c r="A522" s="180" t="s">
        <v>538</v>
      </c>
      <c r="B522" s="240" t="e">
        <v>#DIV/0!</v>
      </c>
      <c r="C522" s="240">
        <f>AC71</f>
        <v>0</v>
      </c>
      <c r="D522" s="240">
        <v>0</v>
      </c>
      <c r="E522" s="180">
        <f>AC59</f>
        <v>0</v>
      </c>
      <c r="F522" s="263" t="e">
        <f t="shared" si="17"/>
        <v>#DIV/0!</v>
      </c>
      <c r="G522" s="263" t="str">
        <f t="shared" si="17"/>
        <v/>
      </c>
      <c r="H522" s="265" t="e">
        <f t="shared" si="16"/>
        <v>#DIV/0!</v>
      </c>
      <c r="I522" s="267"/>
      <c r="K522" s="261"/>
      <c r="L522" s="261"/>
    </row>
    <row r="523" spans="1:12" ht="12.65" customHeight="1" x14ac:dyDescent="0.35">
      <c r="A523" s="180" t="s">
        <v>539</v>
      </c>
      <c r="B523" s="240" t="e">
        <v>#DIV/0!</v>
      </c>
      <c r="C523" s="240">
        <f>AD71</f>
        <v>0</v>
      </c>
      <c r="D523" s="240">
        <v>0</v>
      </c>
      <c r="E523" s="180">
        <f>AD59</f>
        <v>0</v>
      </c>
      <c r="F523" s="263" t="e">
        <f t="shared" si="17"/>
        <v>#DIV/0!</v>
      </c>
      <c r="G523" s="263" t="str">
        <f t="shared" si="17"/>
        <v/>
      </c>
      <c r="H523" s="265" t="e">
        <f t="shared" si="16"/>
        <v>#DIV/0!</v>
      </c>
      <c r="I523" s="267"/>
      <c r="K523" s="261"/>
      <c r="L523" s="261"/>
    </row>
    <row r="524" spans="1:12" ht="12.65" customHeight="1" x14ac:dyDescent="0.35">
      <c r="A524" s="180" t="s">
        <v>540</v>
      </c>
      <c r="B524" s="240" t="e">
        <v>#DIV/0!</v>
      </c>
      <c r="C524" s="240">
        <f>AE71</f>
        <v>0</v>
      </c>
      <c r="D524" s="240">
        <v>0</v>
      </c>
      <c r="E524" s="180">
        <f>AE59</f>
        <v>0</v>
      </c>
      <c r="F524" s="263" t="e">
        <f t="shared" si="17"/>
        <v>#DIV/0!</v>
      </c>
      <c r="G524" s="263" t="str">
        <f t="shared" si="17"/>
        <v/>
      </c>
      <c r="H524" s="265" t="e">
        <f t="shared" si="16"/>
        <v>#DIV/0!</v>
      </c>
      <c r="I524" s="267"/>
      <c r="K524" s="261"/>
      <c r="L524" s="261"/>
    </row>
    <row r="525" spans="1:12" ht="12.65" customHeight="1" x14ac:dyDescent="0.35">
      <c r="A525" s="180" t="s">
        <v>541</v>
      </c>
      <c r="B525" s="240" t="e">
        <v>#DIV/0!</v>
      </c>
      <c r="C525" s="240">
        <f>AF71</f>
        <v>0</v>
      </c>
      <c r="D525" s="240">
        <v>0</v>
      </c>
      <c r="E525" s="180">
        <f>AF59</f>
        <v>0</v>
      </c>
      <c r="F525" s="263" t="e">
        <f t="shared" si="17"/>
        <v>#DIV/0!</v>
      </c>
      <c r="G525" s="263" t="str">
        <f t="shared" si="17"/>
        <v/>
      </c>
      <c r="H525" s="265" t="e">
        <f t="shared" si="16"/>
        <v>#DIV/0!</v>
      </c>
      <c r="I525" s="267"/>
      <c r="K525" s="261"/>
      <c r="L525" s="261"/>
    </row>
    <row r="526" spans="1:12" ht="12.65" customHeight="1" x14ac:dyDescent="0.35">
      <c r="A526" s="180" t="s">
        <v>542</v>
      </c>
      <c r="B526" s="240" t="e">
        <v>#DIV/0!</v>
      </c>
      <c r="C526" s="240">
        <f>AG71</f>
        <v>0</v>
      </c>
      <c r="D526" s="240">
        <v>0</v>
      </c>
      <c r="E526" s="180">
        <f>AG59</f>
        <v>0</v>
      </c>
      <c r="F526" s="263" t="e">
        <f t="shared" si="17"/>
        <v>#DIV/0!</v>
      </c>
      <c r="G526" s="263" t="str">
        <f t="shared" si="17"/>
        <v/>
      </c>
      <c r="H526" s="265" t="e">
        <f t="shared" si="16"/>
        <v>#DIV/0!</v>
      </c>
      <c r="I526" s="267"/>
      <c r="K526" s="261"/>
      <c r="L526" s="261"/>
    </row>
    <row r="527" spans="1:12" ht="12.65" customHeight="1" x14ac:dyDescent="0.35">
      <c r="A527" s="180" t="s">
        <v>543</v>
      </c>
      <c r="B527" s="240" t="e">
        <v>#DIV/0!</v>
      </c>
      <c r="C527" s="240">
        <f>AH71</f>
        <v>0</v>
      </c>
      <c r="D527" s="240">
        <v>0</v>
      </c>
      <c r="E527" s="180">
        <f>AH59</f>
        <v>0</v>
      </c>
      <c r="F527" s="263" t="e">
        <f t="shared" si="17"/>
        <v>#DIV/0!</v>
      </c>
      <c r="G527" s="263" t="str">
        <f t="shared" si="17"/>
        <v/>
      </c>
      <c r="H527" s="265" t="e">
        <f t="shared" si="16"/>
        <v>#DIV/0!</v>
      </c>
      <c r="I527" s="267"/>
      <c r="K527" s="261"/>
      <c r="L527" s="261"/>
    </row>
    <row r="528" spans="1:12" ht="12.65" customHeight="1" x14ac:dyDescent="0.35">
      <c r="A528" s="180" t="s">
        <v>544</v>
      </c>
      <c r="B528" s="240" t="e">
        <v>#DIV/0!</v>
      </c>
      <c r="C528" s="240">
        <f>AI71</f>
        <v>0</v>
      </c>
      <c r="D528" s="240">
        <v>0</v>
      </c>
      <c r="E528" s="180">
        <f>AI59</f>
        <v>0</v>
      </c>
      <c r="F528" s="263" t="e">
        <f t="shared" ref="F528:G540" si="18">IF(B528=0,"",IF(D528=0,"",B528/D528))</f>
        <v>#DIV/0!</v>
      </c>
      <c r="G528" s="263" t="str">
        <f t="shared" si="18"/>
        <v/>
      </c>
      <c r="H528" s="265" t="e">
        <f t="shared" si="16"/>
        <v>#DIV/0!</v>
      </c>
      <c r="I528" s="267"/>
      <c r="K528" s="261"/>
      <c r="L528" s="261"/>
    </row>
    <row r="529" spans="1:12" ht="12.65" customHeight="1" x14ac:dyDescent="0.35">
      <c r="A529" s="180" t="s">
        <v>545</v>
      </c>
      <c r="B529" s="240" t="e">
        <v>#DIV/0!</v>
      </c>
      <c r="C529" s="240">
        <f>AJ71</f>
        <v>228846</v>
      </c>
      <c r="D529" s="240">
        <v>0</v>
      </c>
      <c r="E529" s="180">
        <f>AJ59</f>
        <v>2778</v>
      </c>
      <c r="F529" s="263" t="e">
        <f t="shared" si="18"/>
        <v>#DIV/0!</v>
      </c>
      <c r="G529" s="263">
        <f t="shared" si="18"/>
        <v>82.377969762419013</v>
      </c>
      <c r="H529" s="265" t="e">
        <f t="shared" si="16"/>
        <v>#DIV/0!</v>
      </c>
      <c r="I529" s="267"/>
      <c r="K529" s="261"/>
      <c r="L529" s="261"/>
    </row>
    <row r="530" spans="1:12" ht="12.65" customHeight="1" x14ac:dyDescent="0.35">
      <c r="A530" s="180" t="s">
        <v>546</v>
      </c>
      <c r="B530" s="240" t="e">
        <v>#DIV/0!</v>
      </c>
      <c r="C530" s="240">
        <f>AK71</f>
        <v>0</v>
      </c>
      <c r="D530" s="240">
        <v>0</v>
      </c>
      <c r="E530" s="180">
        <f>AK59</f>
        <v>0</v>
      </c>
      <c r="F530" s="263" t="e">
        <f t="shared" si="18"/>
        <v>#DIV/0!</v>
      </c>
      <c r="G530" s="263" t="str">
        <f t="shared" si="18"/>
        <v/>
      </c>
      <c r="H530" s="265" t="e">
        <f t="shared" si="16"/>
        <v>#DIV/0!</v>
      </c>
      <c r="I530" s="267"/>
      <c r="K530" s="261"/>
      <c r="L530" s="261"/>
    </row>
    <row r="531" spans="1:12" ht="12.65" customHeight="1" x14ac:dyDescent="0.35">
      <c r="A531" s="180" t="s">
        <v>547</v>
      </c>
      <c r="B531" s="240" t="e">
        <v>#DIV/0!</v>
      </c>
      <c r="C531" s="240">
        <f>AL71</f>
        <v>0</v>
      </c>
      <c r="D531" s="240">
        <v>0</v>
      </c>
      <c r="E531" s="180">
        <f>AL59</f>
        <v>0</v>
      </c>
      <c r="F531" s="263" t="e">
        <f t="shared" si="18"/>
        <v>#DIV/0!</v>
      </c>
      <c r="G531" s="263" t="str">
        <f t="shared" si="18"/>
        <v/>
      </c>
      <c r="H531" s="265" t="e">
        <f t="shared" si="16"/>
        <v>#DIV/0!</v>
      </c>
      <c r="I531" s="267"/>
      <c r="K531" s="261"/>
      <c r="L531" s="261"/>
    </row>
    <row r="532" spans="1:12" ht="12.65" customHeight="1" x14ac:dyDescent="0.35">
      <c r="A532" s="180" t="s">
        <v>548</v>
      </c>
      <c r="B532" s="240" t="e">
        <v>#DIV/0!</v>
      </c>
      <c r="C532" s="240">
        <f>AM71</f>
        <v>316806</v>
      </c>
      <c r="D532" s="240">
        <v>0</v>
      </c>
      <c r="E532" s="180">
        <f>AM59</f>
        <v>0</v>
      </c>
      <c r="F532" s="263" t="e">
        <f t="shared" si="18"/>
        <v>#DIV/0!</v>
      </c>
      <c r="G532" s="263" t="str">
        <f t="shared" si="18"/>
        <v/>
      </c>
      <c r="H532" s="265" t="e">
        <f t="shared" si="16"/>
        <v>#DIV/0!</v>
      </c>
      <c r="I532" s="267"/>
      <c r="K532" s="261"/>
      <c r="L532" s="261"/>
    </row>
    <row r="533" spans="1:12" ht="12.65" customHeight="1" x14ac:dyDescent="0.35">
      <c r="A533" s="180" t="s">
        <v>1247</v>
      </c>
      <c r="B533" s="240" t="e">
        <v>#DIV/0!</v>
      </c>
      <c r="C533" s="240">
        <f>AN71</f>
        <v>0</v>
      </c>
      <c r="D533" s="240">
        <v>0</v>
      </c>
      <c r="E533" s="180">
        <f>AN59</f>
        <v>0</v>
      </c>
      <c r="F533" s="263" t="e">
        <f t="shared" si="18"/>
        <v>#DIV/0!</v>
      </c>
      <c r="G533" s="263" t="str">
        <f t="shared" si="18"/>
        <v/>
      </c>
      <c r="H533" s="265" t="e">
        <f t="shared" si="16"/>
        <v>#DIV/0!</v>
      </c>
      <c r="I533" s="267"/>
      <c r="K533" s="261"/>
      <c r="L533" s="261"/>
    </row>
    <row r="534" spans="1:12" ht="12.65" customHeight="1" x14ac:dyDescent="0.35">
      <c r="A534" s="180" t="s">
        <v>549</v>
      </c>
      <c r="B534" s="240" t="e">
        <v>#DIV/0!</v>
      </c>
      <c r="C534" s="240">
        <f>AO71</f>
        <v>0</v>
      </c>
      <c r="D534" s="240">
        <v>0</v>
      </c>
      <c r="E534" s="180">
        <f>AO59</f>
        <v>0</v>
      </c>
      <c r="F534" s="263" t="e">
        <f t="shared" si="18"/>
        <v>#DIV/0!</v>
      </c>
      <c r="G534" s="263" t="str">
        <f t="shared" si="18"/>
        <v/>
      </c>
      <c r="H534" s="265" t="e">
        <f t="shared" si="16"/>
        <v>#DIV/0!</v>
      </c>
      <c r="I534" s="267"/>
      <c r="K534" s="261"/>
      <c r="L534" s="261"/>
    </row>
    <row r="535" spans="1:12" ht="12.65" customHeight="1" x14ac:dyDescent="0.35">
      <c r="A535" s="180" t="s">
        <v>550</v>
      </c>
      <c r="B535" s="240" t="e">
        <v>#DIV/0!</v>
      </c>
      <c r="C535" s="240">
        <f>AP71</f>
        <v>0</v>
      </c>
      <c r="D535" s="240">
        <v>0</v>
      </c>
      <c r="E535" s="180">
        <f>AP59</f>
        <v>0</v>
      </c>
      <c r="F535" s="263" t="e">
        <f t="shared" si="18"/>
        <v>#DIV/0!</v>
      </c>
      <c r="G535" s="263" t="str">
        <f t="shared" si="18"/>
        <v/>
      </c>
      <c r="H535" s="265" t="e">
        <f t="shared" si="16"/>
        <v>#DIV/0!</v>
      </c>
      <c r="I535" s="267"/>
      <c r="K535" s="261"/>
      <c r="L535" s="261"/>
    </row>
    <row r="536" spans="1:12" ht="12.65" customHeight="1" x14ac:dyDescent="0.35">
      <c r="A536" s="180" t="s">
        <v>551</v>
      </c>
      <c r="B536" s="240" t="e">
        <v>#DIV/0!</v>
      </c>
      <c r="C536" s="240">
        <f>AQ71</f>
        <v>0</v>
      </c>
      <c r="D536" s="240">
        <v>0</v>
      </c>
      <c r="E536" s="180">
        <f>AQ59</f>
        <v>0</v>
      </c>
      <c r="F536" s="263" t="e">
        <f t="shared" si="18"/>
        <v>#DIV/0!</v>
      </c>
      <c r="G536" s="263" t="str">
        <f t="shared" si="18"/>
        <v/>
      </c>
      <c r="H536" s="265" t="e">
        <f t="shared" si="16"/>
        <v>#DIV/0!</v>
      </c>
      <c r="I536" s="267"/>
      <c r="K536" s="261"/>
      <c r="L536" s="261"/>
    </row>
    <row r="537" spans="1:12" ht="12.65" customHeight="1" x14ac:dyDescent="0.35">
      <c r="A537" s="180" t="s">
        <v>552</v>
      </c>
      <c r="B537" s="240" t="e">
        <v>#DIV/0!</v>
      </c>
      <c r="C537" s="240">
        <f>AR71</f>
        <v>0</v>
      </c>
      <c r="D537" s="240">
        <v>0</v>
      </c>
      <c r="E537" s="180">
        <f>AR59</f>
        <v>0</v>
      </c>
      <c r="F537" s="263" t="e">
        <f t="shared" si="18"/>
        <v>#DIV/0!</v>
      </c>
      <c r="G537" s="263" t="str">
        <f t="shared" si="18"/>
        <v/>
      </c>
      <c r="H537" s="265" t="e">
        <f t="shared" si="16"/>
        <v>#DIV/0!</v>
      </c>
      <c r="I537" s="267"/>
      <c r="K537" s="261"/>
      <c r="L537" s="261"/>
    </row>
    <row r="538" spans="1:12" ht="12.65" customHeight="1" x14ac:dyDescent="0.35">
      <c r="A538" s="180" t="s">
        <v>553</v>
      </c>
      <c r="B538" s="240" t="e">
        <v>#DIV/0!</v>
      </c>
      <c r="C538" s="240">
        <f>AS71</f>
        <v>0</v>
      </c>
      <c r="D538" s="240">
        <v>0</v>
      </c>
      <c r="E538" s="180">
        <f>AS59</f>
        <v>0</v>
      </c>
      <c r="F538" s="263" t="e">
        <f t="shared" si="18"/>
        <v>#DIV/0!</v>
      </c>
      <c r="G538" s="263" t="str">
        <f t="shared" si="18"/>
        <v/>
      </c>
      <c r="H538" s="265" t="e">
        <f t="shared" si="16"/>
        <v>#DIV/0!</v>
      </c>
      <c r="I538" s="267"/>
      <c r="K538" s="261"/>
      <c r="L538" s="261"/>
    </row>
    <row r="539" spans="1:12" ht="12.65" customHeight="1" x14ac:dyDescent="0.35">
      <c r="A539" s="180" t="s">
        <v>554</v>
      </c>
      <c r="B539" s="240" t="e">
        <v>#DIV/0!</v>
      </c>
      <c r="C539" s="240">
        <f>AT71</f>
        <v>0</v>
      </c>
      <c r="D539" s="240">
        <v>0</v>
      </c>
      <c r="E539" s="180">
        <f>AT59</f>
        <v>0</v>
      </c>
      <c r="F539" s="263" t="e">
        <f t="shared" si="18"/>
        <v>#DIV/0!</v>
      </c>
      <c r="G539" s="263" t="str">
        <f t="shared" si="18"/>
        <v/>
      </c>
      <c r="H539" s="265" t="e">
        <f t="shared" si="16"/>
        <v>#DIV/0!</v>
      </c>
      <c r="I539" s="267"/>
      <c r="K539" s="261"/>
      <c r="L539" s="261"/>
    </row>
    <row r="540" spans="1:12" ht="12.65" customHeight="1" x14ac:dyDescent="0.35">
      <c r="A540" s="180" t="s">
        <v>555</v>
      </c>
      <c r="B540" s="240" t="e">
        <v>#DIV/0!</v>
      </c>
      <c r="C540" s="240">
        <f>AU71</f>
        <v>0</v>
      </c>
      <c r="D540" s="240">
        <v>0</v>
      </c>
      <c r="E540" s="180">
        <f>AU59</f>
        <v>0</v>
      </c>
      <c r="F540" s="263" t="e">
        <f t="shared" si="18"/>
        <v>#DIV/0!</v>
      </c>
      <c r="G540" s="263" t="str">
        <f t="shared" si="18"/>
        <v/>
      </c>
      <c r="H540" s="265" t="e">
        <f t="shared" si="16"/>
        <v>#DIV/0!</v>
      </c>
      <c r="I540" s="267"/>
      <c r="K540" s="261"/>
      <c r="L540" s="261"/>
    </row>
    <row r="541" spans="1:12" ht="12.65" customHeight="1" x14ac:dyDescent="0.35">
      <c r="A541" s="180" t="s">
        <v>556</v>
      </c>
      <c r="B541" s="240" t="e">
        <v>#DIV/0!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 t="e">
        <v>#DIV/0!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 t="e">
        <v>#DIV/0!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 t="e">
        <v>#DIV/0!</v>
      </c>
      <c r="C544" s="240">
        <f>AY71</f>
        <v>913330</v>
      </c>
      <c r="D544" s="240">
        <v>0</v>
      </c>
      <c r="E544" s="180">
        <f>AY59</f>
        <v>0</v>
      </c>
      <c r="F544" s="263" t="e">
        <f t="shared" ref="F544:G550" si="19">IF(B544=0,"",IF(D544=0,"",B544/D544))</f>
        <v>#DIV/0!</v>
      </c>
      <c r="G544" s="263" t="str">
        <f t="shared" si="19"/>
        <v/>
      </c>
      <c r="H544" s="265" t="e">
        <f t="shared" si="16"/>
        <v>#DIV/0!</v>
      </c>
      <c r="I544" s="267"/>
      <c r="K544" s="261"/>
      <c r="L544" s="261"/>
    </row>
    <row r="545" spans="1:13" ht="12.65" customHeight="1" x14ac:dyDescent="0.35">
      <c r="A545" s="180" t="s">
        <v>559</v>
      </c>
      <c r="B545" s="240" t="e">
        <v>#DIV/0!</v>
      </c>
      <c r="C545" s="240">
        <f>AZ71</f>
        <v>0</v>
      </c>
      <c r="D545" s="240">
        <v>0</v>
      </c>
      <c r="E545" s="180">
        <f>AZ59</f>
        <v>0</v>
      </c>
      <c r="F545" s="263" t="e">
        <f t="shared" si="19"/>
        <v>#DIV/0!</v>
      </c>
      <c r="G545" s="263" t="str">
        <f t="shared" si="19"/>
        <v/>
      </c>
      <c r="H545" s="265" t="e">
        <f t="shared" si="16"/>
        <v>#DIV/0!</v>
      </c>
      <c r="I545" s="267"/>
      <c r="K545" s="261"/>
      <c r="L545" s="261"/>
    </row>
    <row r="546" spans="1:13" ht="12.65" customHeight="1" x14ac:dyDescent="0.35">
      <c r="A546" s="180" t="s">
        <v>560</v>
      </c>
      <c r="B546" s="240" t="e">
        <v>#DIV/0!</v>
      </c>
      <c r="C546" s="240">
        <f>BA71</f>
        <v>4333</v>
      </c>
      <c r="D546" s="240">
        <v>0</v>
      </c>
      <c r="E546" s="180">
        <f>BA59</f>
        <v>0</v>
      </c>
      <c r="F546" s="263" t="e">
        <f t="shared" si="19"/>
        <v>#DIV/0!</v>
      </c>
      <c r="G546" s="263" t="str">
        <f t="shared" si="19"/>
        <v/>
      </c>
      <c r="H546" s="265" t="e">
        <f t="shared" si="16"/>
        <v>#DIV/0!</v>
      </c>
      <c r="I546" s="267"/>
      <c r="K546" s="261"/>
      <c r="L546" s="261"/>
    </row>
    <row r="547" spans="1:13" ht="12.65" customHeight="1" x14ac:dyDescent="0.35">
      <c r="A547" s="180" t="s">
        <v>561</v>
      </c>
      <c r="B547" s="240" t="e">
        <v>#DIV/0!</v>
      </c>
      <c r="C547" s="240">
        <f>BB71</f>
        <v>1319876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 t="e">
        <v>#DIV/0!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 t="e">
        <v>#DIV/0!</v>
      </c>
      <c r="C549" s="240">
        <f>BD71</f>
        <v>2577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 t="e">
        <v>#DIV/0!</v>
      </c>
      <c r="C550" s="240">
        <f>BE71</f>
        <v>1236412</v>
      </c>
      <c r="D550" s="240">
        <v>0</v>
      </c>
      <c r="E550" s="180">
        <f>BE59</f>
        <v>70193</v>
      </c>
      <c r="F550" s="263" t="e">
        <f t="shared" si="19"/>
        <v>#DIV/0!</v>
      </c>
      <c r="G550" s="263">
        <f t="shared" si="19"/>
        <v>17.614462980639097</v>
      </c>
      <c r="H550" s="265" t="e">
        <f t="shared" si="16"/>
        <v>#DIV/0!</v>
      </c>
      <c r="I550" s="267"/>
      <c r="K550" s="261"/>
      <c r="L550" s="261"/>
    </row>
    <row r="551" spans="1:13" ht="12.65" customHeight="1" x14ac:dyDescent="0.35">
      <c r="A551" s="180" t="s">
        <v>565</v>
      </c>
      <c r="B551" s="240" t="e">
        <v>#DIV/0!</v>
      </c>
      <c r="C551" s="240">
        <f>BF71</f>
        <v>324180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 t="e">
        <v>#DIV/0!</v>
      </c>
      <c r="C552" s="240">
        <f>BG71</f>
        <v>156143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 t="e">
        <v>#DIV/0!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 t="e">
        <v>#DIV/0!</v>
      </c>
      <c r="C554" s="240">
        <f>BI71</f>
        <v>155782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 t="e">
        <v>#DIV/0!</v>
      </c>
      <c r="C555" s="240">
        <f>BJ71</f>
        <v>319875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 t="e">
        <v>#DIV/0!</v>
      </c>
      <c r="C556" s="240">
        <f>BK71</f>
        <v>383048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 t="e">
        <v>#DIV/0!</v>
      </c>
      <c r="C557" s="240">
        <f>BL71</f>
        <v>1320016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 t="e">
        <v>#DIV/0!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 t="e">
        <v>#DIV/0!</v>
      </c>
      <c r="C559" s="240">
        <f>BN71</f>
        <v>2830734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 t="e">
        <v>#DIV/0!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 t="e">
        <v>#DIV/0!</v>
      </c>
      <c r="C561" s="240">
        <f>BP71</f>
        <v>407101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 t="e">
        <v>#DIV/0!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 t="e">
        <v>#DIV/0!</v>
      </c>
      <c r="C563" s="240">
        <f>BR71</f>
        <v>419414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 t="e">
        <v>#DIV/0!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 t="e">
        <v>#DIV/0!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 t="e">
        <v>#DIV/0!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 t="e">
        <v>#DIV/0!</v>
      </c>
      <c r="C567" s="240">
        <f>BV71</f>
        <v>384090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 t="e">
        <v>#DIV/0!</v>
      </c>
      <c r="C568" s="240">
        <f>BW71</f>
        <v>3181418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 t="e">
        <v>#DIV/0!</v>
      </c>
      <c r="C569" s="240">
        <f>BX71</f>
        <v>407230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 t="e">
        <v>#DIV/0!</v>
      </c>
      <c r="C570" s="240">
        <f>BY71</f>
        <v>1272886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 t="e">
        <v>#DIV/0!</v>
      </c>
      <c r="C571" s="240">
        <f>BZ71</f>
        <v>113295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 t="e">
        <v>#DIV/0!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 t="e">
        <v>#DIV/0!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 t="e">
        <v>#DIV/0!</v>
      </c>
      <c r="C574" s="240">
        <f>CC71</f>
        <v>249468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64195</v>
      </c>
      <c r="E612" s="180">
        <f>SUM(C624:D647)+SUM(C668:D713)</f>
        <v>19807423.23478464</v>
      </c>
      <c r="F612" s="180">
        <f>CE64-(AX64+BD64+BE64+BG64+BJ64+BN64+BP64+BQ64+CB64+CC64+CD64)</f>
        <v>949705</v>
      </c>
      <c r="G612" s="180">
        <f>CE77-(AX77+AY77+BD77+BE77+BG77+BJ77+BN77+BP77+BQ77+CB77+CC77+CD77)</f>
        <v>78148</v>
      </c>
      <c r="H612" s="197">
        <f>CE60-(AX60+AY60+AZ60+BD60+BE60+BG60+BJ60+BN60+BO60+BP60+BQ60+BR60+CB60+CC60+CD60)</f>
        <v>142.09013698630139</v>
      </c>
      <c r="I612" s="180">
        <f>CE78-(AX78+AY78+AZ78+BD78+BE78+BF78+BG78+BJ78+BN78+BO78+BP78+BQ78+BR78+CB78+CC78+CD78)</f>
        <v>9395</v>
      </c>
      <c r="J612" s="180">
        <f>CE79-(AX79+AY79+AZ79+BA79+BD79+BE79+BF79+BG79+BJ79+BN79+BO79+BP79+BQ79+BR79+CB79+CC79+CD79)</f>
        <v>61307</v>
      </c>
      <c r="K612" s="180">
        <f>CE75-(AW75+AX75+AY75+AZ75+BA75+BB75+BC75+BD75+BE75+BF75+BG75+BH75+BI75+BJ75+BK75+BL75+BM75+BN75+BO75+BP75+BQ75+BR75+BS75+BT75+BU75+BV75+BW75+BX75+CB75+CC75+CD75)</f>
        <v>78127200</v>
      </c>
      <c r="L612" s="197">
        <f>CE80-(AW80+AX80+AY80+AZ80+BA80+BB80+BC80+BD80+BE80+BF80+BG80+BH80+BI80+BJ80+BK80+BL80+BM80+BN80+BO80+BP80+BQ80+BR80+BS80+BT80+BU80+BV80+BW80+BX80+BY80+BZ80+CA80+CB80+CC80+CD80)</f>
        <v>76.590136986301374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1236412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0</v>
      </c>
      <c r="D615" s="266">
        <f>SUM(C614:C615)</f>
        <v>1236412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319875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156143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2830734</v>
      </c>
      <c r="D619" s="180">
        <f>(D615/D612)*BN76</f>
        <v>199131.76521535942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249468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407101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4162452.7652153596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2577</v>
      </c>
      <c r="D624" s="180">
        <f>(D615/D612)*BD76</f>
        <v>13308.835454474647</v>
      </c>
      <c r="E624" s="180">
        <f>(E623/E612)*SUM(C624:D624)</f>
        <v>3338.3463831434178</v>
      </c>
      <c r="F624" s="180">
        <f>SUM(C624:E624)</f>
        <v>19224.181837618064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913330</v>
      </c>
      <c r="D625" s="180">
        <f>(D615/D612)*AY76</f>
        <v>66890.861842822647</v>
      </c>
      <c r="E625" s="180">
        <f>(E623/E612)*SUM(C625:D625)</f>
        <v>205989.59231275306</v>
      </c>
      <c r="F625" s="180">
        <f>(F624/F612)*AY64</f>
        <v>9373.8293193442696</v>
      </c>
      <c r="G625" s="180">
        <f>SUM(C625:F625)</f>
        <v>1195584.2834749201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419414</v>
      </c>
      <c r="D626" s="180">
        <f>(D615/D612)*BR76</f>
        <v>0</v>
      </c>
      <c r="E626" s="180">
        <f>(E623/E612)*SUM(C626:D626)</f>
        <v>88138.216838027613</v>
      </c>
      <c r="F626" s="180">
        <f>(F624/F612)*BR64</f>
        <v>136.67578434102924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507688.89262236858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324180</v>
      </c>
      <c r="D629" s="180">
        <f>(D615/D612)*BF76</f>
        <v>22380.415047900926</v>
      </c>
      <c r="E629" s="180">
        <f>(E623/E612)*SUM(C629:D629)</f>
        <v>72828.320010702402</v>
      </c>
      <c r="F629" s="180">
        <f>(F624/F612)*BF64</f>
        <v>1189.9416443257412</v>
      </c>
      <c r="G629" s="180">
        <f>(G625/G612)*BF77</f>
        <v>0</v>
      </c>
      <c r="H629" s="180">
        <f>(H628/H612)*BF60</f>
        <v>15185.27492061665</v>
      </c>
      <c r="I629" s="180">
        <f>SUM(C629:H629)</f>
        <v>435763.95162354573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4333</v>
      </c>
      <c r="D630" s="180">
        <f>(D615/D612)*BA76</f>
        <v>22380.415047900926</v>
      </c>
      <c r="E630" s="180">
        <f>(E623/E612)*SUM(C630:D630)</f>
        <v>5613.720018826557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32327.135066727482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1319876</v>
      </c>
      <c r="D632" s="180">
        <f>(D615/D612)*BB76</f>
        <v>0</v>
      </c>
      <c r="E632" s="180">
        <f>(E623/E612)*SUM(C632:D632)</f>
        <v>277366.79530799767</v>
      </c>
      <c r="F632" s="180">
        <f>(F624/F612)*BB64</f>
        <v>34.513064618106469</v>
      </c>
      <c r="G632" s="180">
        <f>(G625/G612)*BB77</f>
        <v>0</v>
      </c>
      <c r="H632" s="180">
        <f>(H628/H612)*BB60</f>
        <v>53595.087955117582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155782</v>
      </c>
      <c r="D634" s="180">
        <f>(D615/D612)*BI76</f>
        <v>0</v>
      </c>
      <c r="E634" s="180">
        <f>(E623/E612)*SUM(C634:D634)</f>
        <v>32736.979918318459</v>
      </c>
      <c r="F634" s="180">
        <f>(F624/F612)*BI64</f>
        <v>24.918230231606486</v>
      </c>
      <c r="G634" s="180">
        <f>(G625/G612)*BI77</f>
        <v>0</v>
      </c>
      <c r="H634" s="180">
        <f>(H628/H612)*BI60</f>
        <v>5359.5087955117588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383048</v>
      </c>
      <c r="D635" s="180">
        <f>(D615/D612)*BK76</f>
        <v>0</v>
      </c>
      <c r="E635" s="180">
        <f>(E623/E612)*SUM(C635:D635)</f>
        <v>80496.043726181771</v>
      </c>
      <c r="F635" s="180">
        <f>(F624/F612)*BK64</f>
        <v>32.448353421011532</v>
      </c>
      <c r="G635" s="180">
        <f>(G625/G612)*BK77</f>
        <v>0</v>
      </c>
      <c r="H635" s="180">
        <f>(H628/H612)*BK60</f>
        <v>28584.046909396046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1320016</v>
      </c>
      <c r="D637" s="180">
        <f>(D615/D612)*BL76</f>
        <v>0</v>
      </c>
      <c r="E637" s="180">
        <f>(E623/E612)*SUM(C637:D637)</f>
        <v>277396.21576214873</v>
      </c>
      <c r="F637" s="180">
        <f>(F624/F612)*BL64</f>
        <v>33.521193552835371</v>
      </c>
      <c r="G637" s="180">
        <f>(G625/G612)*BL77</f>
        <v>0</v>
      </c>
      <c r="H637" s="180">
        <f>(H628/H612)*BL60</f>
        <v>37516.561568582307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384090</v>
      </c>
      <c r="D642" s="180">
        <f>(D615/D612)*BV76</f>
        <v>15947.490240672949</v>
      </c>
      <c r="E642" s="180">
        <f>(E623/E612)*SUM(C642:D642)</f>
        <v>84066.318859582141</v>
      </c>
      <c r="F642" s="180">
        <f>(F624/F612)*BV64</f>
        <v>206.97717637544787</v>
      </c>
      <c r="G642" s="180">
        <f>(G625/G612)*BV77</f>
        <v>0</v>
      </c>
      <c r="H642" s="180">
        <f>(H628/H612)*BV60</f>
        <v>10719.017591023518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3181418</v>
      </c>
      <c r="D643" s="180">
        <f>(D615/D612)*BW76</f>
        <v>8686.3745151491548</v>
      </c>
      <c r="E643" s="180">
        <f>(E623/E612)*SUM(C643:D643)</f>
        <v>670387.99634002836</v>
      </c>
      <c r="F643" s="180">
        <f>(F624/F612)*BW64</f>
        <v>74.876144294648569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407230</v>
      </c>
      <c r="D644" s="180">
        <f>(D615/D612)*BX76</f>
        <v>0</v>
      </c>
      <c r="E644" s="180">
        <f>(E623/E612)*SUM(C644:D644)</f>
        <v>85577.796742478749</v>
      </c>
      <c r="F644" s="180">
        <f>(F624/F612)*BX64</f>
        <v>54.35048592352836</v>
      </c>
      <c r="G644" s="180">
        <f>(G625/G612)*BX77</f>
        <v>0</v>
      </c>
      <c r="H644" s="180">
        <f>(H628/H612)*BX60</f>
        <v>17865.02931837253</v>
      </c>
      <c r="I644" s="180">
        <f>(I629/I612)*BX78</f>
        <v>0</v>
      </c>
      <c r="J644" s="180">
        <f>(J630/J612)*BX79</f>
        <v>0</v>
      </c>
      <c r="K644" s="180">
        <f>SUM(C631:J644)</f>
        <v>8838222.8681989759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1272886</v>
      </c>
      <c r="D645" s="180">
        <f>(D615/D612)*BY76</f>
        <v>101809.70218864396</v>
      </c>
      <c r="E645" s="180">
        <f>(E623/E612)*SUM(C645:D645)</f>
        <v>288886.94198526355</v>
      </c>
      <c r="F645" s="180">
        <f>(F624/F612)*BY64</f>
        <v>418.77201221078388</v>
      </c>
      <c r="G645" s="180">
        <f>(G625/G612)*BY77</f>
        <v>0</v>
      </c>
      <c r="H645" s="180">
        <f>(H628/H612)*BY60</f>
        <v>23224.538113884286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113295</v>
      </c>
      <c r="D646" s="180">
        <f>(D615/D612)*BZ76</f>
        <v>0</v>
      </c>
      <c r="E646" s="180">
        <f>(E623/E612)*SUM(C646:D646)</f>
        <v>23808.502521766888</v>
      </c>
      <c r="F646" s="180">
        <f>(F624/F612)*BZ64</f>
        <v>27.691420761037914</v>
      </c>
      <c r="G646" s="180">
        <f>(G625/G612)*BZ77</f>
        <v>0</v>
      </c>
      <c r="H646" s="180">
        <f>(H628/H612)*BZ60</f>
        <v>6252.7602614303851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1830609.9085039606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15401208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6982712</v>
      </c>
      <c r="D673" s="180">
        <f>(D615/D612)*H76</f>
        <v>770082.73223771318</v>
      </c>
      <c r="E673" s="180">
        <f>(E623/E612)*SUM(C673:D673)</f>
        <v>1629219.5854470422</v>
      </c>
      <c r="F673" s="180">
        <f>(F624/F612)*H64</f>
        <v>2793.0481930034889</v>
      </c>
      <c r="G673" s="180">
        <f>(G625/G612)*H77</f>
        <v>1195584.2834749201</v>
      </c>
      <c r="H673" s="180">
        <f>(H628/H612)*H60</f>
        <v>273657.00855168846</v>
      </c>
      <c r="I673" s="180">
        <f>(I629/I612)*H78</f>
        <v>406311.03951274726</v>
      </c>
      <c r="J673" s="180">
        <f>(J630/J612)*H79</f>
        <v>32327.135066727478</v>
      </c>
      <c r="K673" s="180">
        <f>(K644/K612)*H75</f>
        <v>8727246.7620209884</v>
      </c>
      <c r="L673" s="180">
        <f>(L647/L612)*H80</f>
        <v>1830609.9085039606</v>
      </c>
      <c r="M673" s="180">
        <f t="shared" si="20"/>
        <v>14867832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254130</v>
      </c>
      <c r="D686" s="180">
        <f>(D615/D612)*U76</f>
        <v>0</v>
      </c>
      <c r="E686" s="180">
        <f>(E623/E612)*SUM(C686:D686)</f>
        <v>53404.428667254688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53404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88655</v>
      </c>
      <c r="D690" s="180">
        <f>(D615/D612)*Y76</f>
        <v>0</v>
      </c>
      <c r="E690" s="180">
        <f>(E623/E612)*SUM(C690:D690)</f>
        <v>18630.502591175635</v>
      </c>
      <c r="F690" s="180">
        <f>(F624/F612)*Y64</f>
        <v>1.1740514650147653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18632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697519</v>
      </c>
      <c r="D693" s="180">
        <f>(D615/D612)*AB76</f>
        <v>15793.408209362098</v>
      </c>
      <c r="E693" s="180">
        <f>(E623/E612)*SUM(C693:D693)</f>
        <v>149899.82143660542</v>
      </c>
      <c r="F693" s="180">
        <f>(F624/F612)*AB64</f>
        <v>4470.0592571772522</v>
      </c>
      <c r="G693" s="180">
        <f>(G625/G612)*AB77</f>
        <v>0</v>
      </c>
      <c r="H693" s="180">
        <f>(H628/H612)*AB60</f>
        <v>14292.023454698023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184455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228846</v>
      </c>
      <c r="D701" s="180">
        <f>(D615/D612)*AJ76</f>
        <v>0</v>
      </c>
      <c r="E701" s="180">
        <f>(E623/E612)*SUM(C701:D701)</f>
        <v>48091.094647568432</v>
      </c>
      <c r="F701" s="180">
        <f>(F624/F612)*AJ64</f>
        <v>47.690780199565296</v>
      </c>
      <c r="G701" s="180">
        <f>(G625/G612)*AJ77</f>
        <v>0</v>
      </c>
      <c r="H701" s="180">
        <f>(H628/H612)*AJ60</f>
        <v>10719.017591023518</v>
      </c>
      <c r="I701" s="180">
        <f>(I629/I612)*AJ78</f>
        <v>29452.912110798457</v>
      </c>
      <c r="J701" s="180">
        <f>(J630/J612)*AJ79</f>
        <v>0</v>
      </c>
      <c r="K701" s="180">
        <f>(K644/K612)*AJ75</f>
        <v>110976.10617798737</v>
      </c>
      <c r="L701" s="180">
        <f>(L647/L612)*AJ80</f>
        <v>0</v>
      </c>
      <c r="M701" s="180">
        <f t="shared" si="20"/>
        <v>199287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316806</v>
      </c>
      <c r="D704" s="180">
        <f>(D615/D612)*AM76</f>
        <v>0</v>
      </c>
      <c r="E704" s="180">
        <f>(E623/E612)*SUM(C704:D704)</f>
        <v>66575.545698494025</v>
      </c>
      <c r="F704" s="180">
        <f>(F624/F612)*AM64</f>
        <v>303.69472637269871</v>
      </c>
      <c r="G704" s="180">
        <f>(G625/G612)*AM77</f>
        <v>0</v>
      </c>
      <c r="H704" s="180">
        <f>(H628/H612)*AM60</f>
        <v>10719.017591023518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77598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23969876</v>
      </c>
      <c r="D715" s="180">
        <f>SUM(D616:D647)+SUM(D668:D713)</f>
        <v>1236412</v>
      </c>
      <c r="E715" s="180">
        <f>SUM(E624:E647)+SUM(E668:E713)</f>
        <v>4162452.7652153596</v>
      </c>
      <c r="F715" s="180">
        <f>SUM(F625:F648)+SUM(F668:F713)</f>
        <v>19224.181837618064</v>
      </c>
      <c r="G715" s="180">
        <f>SUM(G626:G647)+SUM(G668:G713)</f>
        <v>1195584.2834749201</v>
      </c>
      <c r="H715" s="180">
        <f>SUM(H629:H647)+SUM(H668:H713)</f>
        <v>507688.89262236864</v>
      </c>
      <c r="I715" s="180">
        <f>SUM(I630:I647)+SUM(I668:I713)</f>
        <v>435763.95162354573</v>
      </c>
      <c r="J715" s="180">
        <f>SUM(J631:J647)+SUM(J668:J713)</f>
        <v>32327.135066727478</v>
      </c>
      <c r="K715" s="180">
        <f>SUM(K668:K713)</f>
        <v>8838222.8681989759</v>
      </c>
      <c r="L715" s="180">
        <f>SUM(L668:L713)</f>
        <v>1830609.9085039606</v>
      </c>
      <c r="M715" s="180">
        <f>SUM(M668:M713)</f>
        <v>15401208</v>
      </c>
      <c r="N715" s="198" t="s">
        <v>742</v>
      </c>
    </row>
    <row r="716" spans="1:83" ht="12.65" customHeight="1" x14ac:dyDescent="0.35">
      <c r="C716" s="180">
        <f>CE71</f>
        <v>23969876</v>
      </c>
      <c r="D716" s="180">
        <f>D615</f>
        <v>1236412</v>
      </c>
      <c r="E716" s="180">
        <f>E623</f>
        <v>4162452.7652153596</v>
      </c>
      <c r="F716" s="180">
        <f>F624</f>
        <v>19224.181837618064</v>
      </c>
      <c r="G716" s="180">
        <f>G625</f>
        <v>1195584.2834749201</v>
      </c>
      <c r="H716" s="180">
        <f>H628</f>
        <v>507688.89262236858</v>
      </c>
      <c r="I716" s="180">
        <f>I629</f>
        <v>435763.95162354573</v>
      </c>
      <c r="J716" s="180">
        <f>J630</f>
        <v>32327.135066727482</v>
      </c>
      <c r="K716" s="180">
        <f>K644</f>
        <v>8838222.8681989759</v>
      </c>
      <c r="L716" s="180">
        <f>L647</f>
        <v>1830609.9085039606</v>
      </c>
      <c r="M716" s="180">
        <f>C648</f>
        <v>15401208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924*2018*A</v>
      </c>
      <c r="B722" s="276">
        <f>ROUND(C165,0)</f>
        <v>839814</v>
      </c>
      <c r="C722" s="276">
        <f>ROUND(C166,0)</f>
        <v>116523</v>
      </c>
      <c r="D722" s="276">
        <f>ROUND(C167,0)</f>
        <v>219615</v>
      </c>
      <c r="E722" s="276">
        <f>ROUND(C168,0)</f>
        <v>878265</v>
      </c>
      <c r="F722" s="276">
        <f>ROUND(C169,0)</f>
        <v>38442</v>
      </c>
      <c r="G722" s="276">
        <f>ROUND(C170,0)</f>
        <v>2083</v>
      </c>
      <c r="H722" s="276">
        <f>ROUND(C171+C172,0)</f>
        <v>131398</v>
      </c>
      <c r="I722" s="276">
        <f>ROUND(C175,0)</f>
        <v>0</v>
      </c>
      <c r="J722" s="276">
        <f>ROUND(C176,0)</f>
        <v>139103</v>
      </c>
      <c r="K722" s="276">
        <f>ROUND(C179,0)</f>
        <v>63104</v>
      </c>
      <c r="L722" s="276">
        <f>ROUND(C180,0)</f>
        <v>37427</v>
      </c>
      <c r="M722" s="276">
        <f>ROUND(C183,0)</f>
        <v>22396</v>
      </c>
      <c r="N722" s="276">
        <f>ROUND(C184,0)</f>
        <v>575037</v>
      </c>
      <c r="O722" s="276">
        <f>ROUND(C185,0)</f>
        <v>0</v>
      </c>
      <c r="P722" s="276">
        <f>ROUND(C188,0)</f>
        <v>0</v>
      </c>
      <c r="Q722" s="276">
        <f>ROUND(C189,0)</f>
        <v>791298</v>
      </c>
      <c r="R722" s="276">
        <f>ROUND(B195,0)</f>
        <v>2000000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22539211</v>
      </c>
      <c r="Y722" s="276">
        <f>ROUND(C197,0)</f>
        <v>418120</v>
      </c>
      <c r="Z722" s="276">
        <f>ROUND(D197,0)</f>
        <v>0</v>
      </c>
      <c r="AA722" s="276">
        <f>ROUND(B198,0)</f>
        <v>128015</v>
      </c>
      <c r="AB722" s="276">
        <f>ROUND(C198,0)</f>
        <v>4593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1149441</v>
      </c>
      <c r="AH722" s="276">
        <f>ROUND(C200,0)</f>
        <v>49636</v>
      </c>
      <c r="AI722" s="276">
        <f>ROUND(D200,0)</f>
        <v>0</v>
      </c>
      <c r="AJ722" s="276">
        <f>ROUND(B201,0)</f>
        <v>220754</v>
      </c>
      <c r="AK722" s="276">
        <f>ROUND(C201,0)</f>
        <v>108198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1188375</v>
      </c>
      <c r="AQ722" s="276">
        <f>ROUND(C203,0)</f>
        <v>0</v>
      </c>
      <c r="AR722" s="276">
        <f>ROUND(D203,0)</f>
        <v>1188375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337016</v>
      </c>
      <c r="AZ722" s="276">
        <f>ROUND(C210,0)</f>
        <v>596662</v>
      </c>
      <c r="BA722" s="276">
        <f>ROUND(D210,0)</f>
        <v>0</v>
      </c>
      <c r="BB722" s="276">
        <f>ROUND(B211,0)</f>
        <v>1866</v>
      </c>
      <c r="BC722" s="276">
        <f>ROUND(C211,0)</f>
        <v>5527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112411</v>
      </c>
      <c r="BI722" s="276">
        <f>ROUND(C213,0)</f>
        <v>206301</v>
      </c>
      <c r="BJ722" s="276">
        <f>ROUND(D213,0)</f>
        <v>0</v>
      </c>
      <c r="BK722" s="276">
        <f>ROUND(B214,0)</f>
        <v>24178</v>
      </c>
      <c r="BL722" s="276">
        <f>ROUND(C214,0)</f>
        <v>52915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138644</v>
      </c>
      <c r="BR722" s="276">
        <f>ROUND(C216,0)</f>
        <v>0</v>
      </c>
      <c r="BS722" s="276">
        <f>ROUND(D216,0)</f>
        <v>138644</v>
      </c>
      <c r="BT722" s="276">
        <f>ROUND(C223,0)</f>
        <v>13240981</v>
      </c>
      <c r="BU722" s="276">
        <f>ROUND(C224,0)</f>
        <v>25601817</v>
      </c>
      <c r="BV722" s="276">
        <f>ROUND(C225,0)</f>
        <v>0</v>
      </c>
      <c r="BW722" s="276">
        <f>ROUND(C226,0)</f>
        <v>4053951</v>
      </c>
      <c r="BX722" s="276">
        <f>ROUND(C227,0)</f>
        <v>11311578</v>
      </c>
      <c r="BY722" s="276">
        <f>ROUND(C228,0)</f>
        <v>88666</v>
      </c>
      <c r="BZ722" s="276">
        <f>ROUND(C231,0)</f>
        <v>0</v>
      </c>
      <c r="CA722" s="276">
        <f>ROUND(C233,0)</f>
        <v>996705</v>
      </c>
      <c r="CB722" s="276">
        <f>ROUND(C234,0)</f>
        <v>25162</v>
      </c>
      <c r="CC722" s="276">
        <f>ROUND(C238+C239,0)</f>
        <v>292329</v>
      </c>
      <c r="CD722" s="276">
        <f>D221</f>
        <v>883866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924*2018*A</v>
      </c>
      <c r="B726" s="276">
        <f>ROUND(C111,0)</f>
        <v>2071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25414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115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115</v>
      </c>
      <c r="W726" s="276">
        <f>ROUND(C129,0)</f>
        <v>0</v>
      </c>
      <c r="X726" s="276">
        <f>ROUND(B138,0)</f>
        <v>289</v>
      </c>
      <c r="Y726" s="276">
        <f>ROUND(B139,0)</f>
        <v>6186</v>
      </c>
      <c r="Z726" s="276">
        <f>ROUND(B140,0)</f>
        <v>352</v>
      </c>
      <c r="AA726" s="276">
        <f>ROUND(B141,0)</f>
        <v>18558000</v>
      </c>
      <c r="AB726" s="276">
        <f>ROUND(B142,0)</f>
        <v>228800</v>
      </c>
      <c r="AC726" s="276">
        <f>ROUND(C138,0)</f>
        <v>1081</v>
      </c>
      <c r="AD726" s="276">
        <f>ROUND(C139,0)</f>
        <v>11560</v>
      </c>
      <c r="AE726" s="276">
        <f>ROUND(C140,0)</f>
        <v>29</v>
      </c>
      <c r="AF726" s="276">
        <f>ROUND(C141,0)</f>
        <v>34680000</v>
      </c>
      <c r="AG726" s="276">
        <f>ROUND(C142,0)</f>
        <v>18850</v>
      </c>
      <c r="AH726" s="276">
        <f>ROUND(D138,0)</f>
        <v>701</v>
      </c>
      <c r="AI726" s="276">
        <f>ROUND(D139,0)</f>
        <v>7668</v>
      </c>
      <c r="AJ726" s="276">
        <f>ROUND(D140,0)</f>
        <v>2397</v>
      </c>
      <c r="AK726" s="276">
        <f>ROUND(D141,0)</f>
        <v>23004000</v>
      </c>
      <c r="AL726" s="276">
        <f>ROUND(D142,0)</f>
        <v>1637550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904205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924*2018*A</v>
      </c>
      <c r="B730" s="276">
        <f>ROUND(C250,0)</f>
        <v>702835</v>
      </c>
      <c r="C730" s="276">
        <f>ROUND(C251,0)</f>
        <v>0</v>
      </c>
      <c r="D730" s="276">
        <f>ROUND(C252,0)</f>
        <v>8947643</v>
      </c>
      <c r="E730" s="276">
        <f>ROUND(C253,0)</f>
        <v>4243030</v>
      </c>
      <c r="F730" s="276">
        <f>ROUND(C254,0)</f>
        <v>39518</v>
      </c>
      <c r="G730" s="276">
        <f>ROUND(C255,0)</f>
        <v>0</v>
      </c>
      <c r="H730" s="276">
        <f>ROUND(C256,0)</f>
        <v>0</v>
      </c>
      <c r="I730" s="276">
        <f>ROUND(C257,0)</f>
        <v>119370</v>
      </c>
      <c r="J730" s="276">
        <f>ROUND(C258,0)</f>
        <v>95430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2000000</v>
      </c>
      <c r="P730" s="276">
        <f>ROUND(C268,0)</f>
        <v>0</v>
      </c>
      <c r="Q730" s="276">
        <f>ROUND(C269,0)</f>
        <v>22957331</v>
      </c>
      <c r="R730" s="276">
        <f>ROUND(C270,0)</f>
        <v>132609</v>
      </c>
      <c r="S730" s="276">
        <f>ROUND(C271,0)</f>
        <v>0</v>
      </c>
      <c r="T730" s="276">
        <f>ROUND(C272,0)</f>
        <v>1528029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1336876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812056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652845</v>
      </c>
      <c r="AI730" s="276">
        <f>ROUND(C306,0)</f>
        <v>748195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14560744</v>
      </c>
      <c r="AW730" s="276">
        <f>ROUND(C324,0)</f>
        <v>0</v>
      </c>
      <c r="AX730" s="276">
        <f>ROUND(C325,0)</f>
        <v>0</v>
      </c>
      <c r="AY730" s="276">
        <f>ROUND(C326,0)</f>
        <v>-2815316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-4564700</v>
      </c>
      <c r="BF730" s="276">
        <f>ROUND(C336,0)</f>
        <v>23173147</v>
      </c>
      <c r="BG730" s="276"/>
      <c r="BH730" s="276"/>
      <c r="BI730" s="276">
        <f>ROUND(CE60,2)</f>
        <v>162.59</v>
      </c>
      <c r="BJ730" s="276">
        <f>ROUND(C359,0)</f>
        <v>77146205</v>
      </c>
      <c r="BK730" s="276">
        <f>ROUND(C360,0)</f>
        <v>1885200</v>
      </c>
      <c r="BL730" s="276">
        <f>ROUND(C364,0)</f>
        <v>54294993</v>
      </c>
      <c r="BM730" s="276">
        <f>ROUND(C365,0)</f>
        <v>1021867</v>
      </c>
      <c r="BN730" s="276">
        <f>ROUND(C366,0)</f>
        <v>292329</v>
      </c>
      <c r="BO730" s="276">
        <f>ROUND(C370,0)</f>
        <v>75728</v>
      </c>
      <c r="BP730" s="276">
        <f>ROUND(C371,0)</f>
        <v>0</v>
      </c>
      <c r="BQ730" s="276">
        <f>ROUND(C378,0)</f>
        <v>11311843</v>
      </c>
      <c r="BR730" s="276">
        <f>ROUND(C379,0)</f>
        <v>2226140</v>
      </c>
      <c r="BS730" s="276">
        <f>ROUND(C380,0)</f>
        <v>2557187</v>
      </c>
      <c r="BT730" s="276">
        <f>ROUND(C381,0)</f>
        <v>1003933</v>
      </c>
      <c r="BU730" s="276">
        <f>ROUND(C382,0)</f>
        <v>315276</v>
      </c>
      <c r="BV730" s="276">
        <f>ROUND(C383,0)</f>
        <v>1196379</v>
      </c>
      <c r="BW730" s="276">
        <f>ROUND(C384,0)</f>
        <v>853588</v>
      </c>
      <c r="BX730" s="276">
        <f>ROUND(C385,0)</f>
        <v>139103</v>
      </c>
      <c r="BY730" s="276">
        <f>ROUND(C386,0)</f>
        <v>100531</v>
      </c>
      <c r="BZ730" s="276">
        <f>ROUND(C387,0)</f>
        <v>597432</v>
      </c>
      <c r="CA730" s="276">
        <f>ROUND(C388,0)</f>
        <v>791298</v>
      </c>
      <c r="CB730" s="276">
        <f>C363</f>
        <v>883866</v>
      </c>
      <c r="CC730" s="276">
        <f>ROUND(C389,0)</f>
        <v>2817025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924*2018*6010*A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924*2018*6030*A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924*2018*6070*A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924*2018*6100*A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924*2018*6120*A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924*2018*6140*A</v>
      </c>
      <c r="B739" s="276">
        <f>ROUND(H59,0)</f>
        <v>25414</v>
      </c>
      <c r="C739" s="278">
        <f>ROUND(H60,2)</f>
        <v>76.59</v>
      </c>
      <c r="D739" s="276">
        <f>ROUND(H61,0)</f>
        <v>4746500</v>
      </c>
      <c r="E739" s="276">
        <f>ROUND(H62,0)</f>
        <v>943082</v>
      </c>
      <c r="F739" s="276">
        <f>ROUND(H63,0)</f>
        <v>0</v>
      </c>
      <c r="G739" s="276">
        <f>ROUND(H64,0)</f>
        <v>137981</v>
      </c>
      <c r="H739" s="276">
        <f>ROUND(H65,0)</f>
        <v>0</v>
      </c>
      <c r="I739" s="276">
        <f>ROUND(H66,0)</f>
        <v>16331</v>
      </c>
      <c r="J739" s="276">
        <f>ROUND(H67,0)</f>
        <v>149100</v>
      </c>
      <c r="K739" s="276">
        <f>ROUND(H68,0)</f>
        <v>0</v>
      </c>
      <c r="L739" s="276">
        <f>ROUND(H69,0)</f>
        <v>989718</v>
      </c>
      <c r="M739" s="276">
        <f>ROUND(H70,0)</f>
        <v>0</v>
      </c>
      <c r="N739" s="276">
        <f>ROUND(H75,0)</f>
        <v>77146205</v>
      </c>
      <c r="O739" s="276">
        <f>ROUND(H73,0)</f>
        <v>76242000</v>
      </c>
      <c r="P739" s="276">
        <f>IF(H76&gt;0,ROUND(H76,0),0)</f>
        <v>39983</v>
      </c>
      <c r="Q739" s="276">
        <f>IF(H77&gt;0,ROUND(H77,0),0)</f>
        <v>78148</v>
      </c>
      <c r="R739" s="276">
        <f>IF(H78&gt;0,ROUND(H78,0),0)</f>
        <v>8760</v>
      </c>
      <c r="S739" s="276">
        <f>IF(H79&gt;0,ROUND(H79,0),0)</f>
        <v>61307</v>
      </c>
      <c r="T739" s="278">
        <f>IF(H80&gt;0,ROUND(H80,2),0)</f>
        <v>76.59</v>
      </c>
      <c r="U739" s="276"/>
      <c r="V739" s="277"/>
      <c r="W739" s="276"/>
      <c r="X739" s="276"/>
      <c r="Y739" s="276">
        <f t="shared" si="21"/>
        <v>14867832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924*2018*6150*A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924*2018*6170*A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924*2018*6200*A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924*2018*6210*A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924*2018*6330*A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924*2018*6400*A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924*2018*7010*A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924*2018*7020*A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924*2018*7030*A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924*2018*7040*A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924*2018*7050*A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924*2018*7060*A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924*2018*7070*A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254130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53404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924*2018*7110*A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924*2018*7120*A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924*2018*7130*A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924*2018*7140*A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58</v>
      </c>
      <c r="H756" s="276">
        <f>ROUND(Y65,0)</f>
        <v>0</v>
      </c>
      <c r="I756" s="276">
        <f>ROUND(Y66,0)</f>
        <v>88597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18632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924*2018*7150*A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924*2018*7160*A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924*2018*7170*A</v>
      </c>
      <c r="B759" s="276"/>
      <c r="C759" s="278">
        <f>ROUND(AB60,2)</f>
        <v>4</v>
      </c>
      <c r="D759" s="276">
        <f>ROUND(AB61,0)</f>
        <v>216653</v>
      </c>
      <c r="E759" s="276">
        <f>ROUND(AB62,0)</f>
        <v>44311</v>
      </c>
      <c r="F759" s="276">
        <f>ROUND(AB63,0)</f>
        <v>0</v>
      </c>
      <c r="G759" s="276">
        <f>ROUND(AB64,0)</f>
        <v>220828</v>
      </c>
      <c r="H759" s="276">
        <f>ROUND(AB65,0)</f>
        <v>0</v>
      </c>
      <c r="I759" s="276">
        <f>ROUND(AB66,0)</f>
        <v>940</v>
      </c>
      <c r="J759" s="276">
        <f>ROUND(AB67,0)</f>
        <v>3058</v>
      </c>
      <c r="K759" s="276">
        <f>ROUND(AB68,0)</f>
        <v>0</v>
      </c>
      <c r="L759" s="276">
        <f>ROUND(AB69,0)</f>
        <v>211729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820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184455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924*2018*7180*A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924*2018*7190*A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924*2018*7200*A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924*2018*7220*A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924*2018*7230*A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924*2018*7240*A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924*2018*7250*A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924*2018*7260*A</v>
      </c>
      <c r="B767" s="276">
        <f>ROUND(AJ59,0)</f>
        <v>2778</v>
      </c>
      <c r="C767" s="278">
        <f>ROUND(AJ60,2)</f>
        <v>3</v>
      </c>
      <c r="D767" s="276">
        <f>ROUND(AJ61,0)</f>
        <v>186815</v>
      </c>
      <c r="E767" s="276">
        <f>ROUND(AJ62,0)</f>
        <v>36871</v>
      </c>
      <c r="F767" s="276">
        <f>ROUND(AJ63,0)</f>
        <v>0</v>
      </c>
      <c r="G767" s="276">
        <f>ROUND(AJ64,0)</f>
        <v>2356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2804</v>
      </c>
      <c r="M767" s="276">
        <f>ROUND(AJ70,0)</f>
        <v>0</v>
      </c>
      <c r="N767" s="276">
        <f>ROUND(AJ75,0)</f>
        <v>980995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635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199287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924*2018*7310*A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924*2018*7320*A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924*2018*7330*A</v>
      </c>
      <c r="B770" s="276">
        <f>ROUND(AM59,0)</f>
        <v>0</v>
      </c>
      <c r="C770" s="278">
        <f>ROUND(AM60,2)</f>
        <v>3</v>
      </c>
      <c r="D770" s="276">
        <f>ROUND(AM61,0)</f>
        <v>244494</v>
      </c>
      <c r="E770" s="276">
        <f>ROUND(AM62,0)</f>
        <v>47961</v>
      </c>
      <c r="F770" s="276">
        <f>ROUND(AM63,0)</f>
        <v>0</v>
      </c>
      <c r="G770" s="276">
        <f>ROUND(AM64,0)</f>
        <v>15003</v>
      </c>
      <c r="H770" s="276">
        <f>ROUND(AM65,0)</f>
        <v>0</v>
      </c>
      <c r="I770" s="276">
        <f>ROUND(AM66,0)</f>
        <v>9326</v>
      </c>
      <c r="J770" s="276">
        <f>ROUND(AM67,0)</f>
        <v>0</v>
      </c>
      <c r="K770" s="276">
        <f>ROUND(AM68,0)</f>
        <v>0</v>
      </c>
      <c r="L770" s="276">
        <f>ROUND(AM69,0)</f>
        <v>22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77598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924*2018*7340*A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924*2018*7350*A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924*2018*7380*A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924*2018*7390*A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924*2018*7400*A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924*2018*7410*A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924*2018*7420*A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924*2018*7430*A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924*2018*7490*A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924*2018*8200*A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924*2018*8310*A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924*2018*8320*A</v>
      </c>
      <c r="B782" s="276">
        <f>ROUND(AY59,0)</f>
        <v>0</v>
      </c>
      <c r="C782" s="278">
        <f>ROUND(AY60,2)</f>
        <v>7</v>
      </c>
      <c r="D782" s="276">
        <f>ROUND(AY61,0)</f>
        <v>85751</v>
      </c>
      <c r="E782" s="276">
        <f>ROUND(AY62,0)</f>
        <v>36167</v>
      </c>
      <c r="F782" s="276">
        <f>ROUND(AY63,0)</f>
        <v>0</v>
      </c>
      <c r="G782" s="276">
        <f>ROUND(AY64,0)</f>
        <v>463082</v>
      </c>
      <c r="H782" s="276">
        <f>ROUND(AY65,0)</f>
        <v>0</v>
      </c>
      <c r="I782" s="276">
        <f>ROUND(AY66,0)</f>
        <v>0</v>
      </c>
      <c r="J782" s="276">
        <f>ROUND(AY67,0)</f>
        <v>12951</v>
      </c>
      <c r="K782" s="276">
        <f>ROUND(AY68,0)</f>
        <v>0</v>
      </c>
      <c r="L782" s="276">
        <f>ROUND(AY69,0)</f>
        <v>315379</v>
      </c>
      <c r="M782" s="276">
        <f>ROUND(AY70,0)</f>
        <v>0</v>
      </c>
      <c r="N782" s="276"/>
      <c r="O782" s="276"/>
      <c r="P782" s="276">
        <f>IF(AY76&gt;0,ROUND(AY76,0),0)</f>
        <v>3473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924*2018*8330*A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924*2018*8350*A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4333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1162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924*2018*8360*A</v>
      </c>
      <c r="B785" s="276"/>
      <c r="C785" s="278">
        <f>ROUND(BB60,2)</f>
        <v>15</v>
      </c>
      <c r="D785" s="276">
        <f>ROUND(BB61,0)</f>
        <v>1024463</v>
      </c>
      <c r="E785" s="276">
        <f>ROUND(BB62,0)</f>
        <v>203787</v>
      </c>
      <c r="F785" s="276">
        <f>ROUND(BB63,0)</f>
        <v>0</v>
      </c>
      <c r="G785" s="276">
        <f>ROUND(BB64,0)</f>
        <v>1705</v>
      </c>
      <c r="H785" s="276">
        <f>ROUND(BB65,0)</f>
        <v>0</v>
      </c>
      <c r="I785" s="276">
        <f>ROUND(BB66,0)</f>
        <v>46390</v>
      </c>
      <c r="J785" s="276">
        <f>ROUND(BB67,0)</f>
        <v>0</v>
      </c>
      <c r="K785" s="276">
        <f>ROUND(BB68,0)</f>
        <v>0</v>
      </c>
      <c r="L785" s="276">
        <f>ROUND(BB69,0)</f>
        <v>43531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924*2018*8370*A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924*2018*8420*A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2577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691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924*2018*8430*A</v>
      </c>
      <c r="B788" s="276">
        <f>ROUND(BE59,0)</f>
        <v>70193</v>
      </c>
      <c r="C788" s="278">
        <f>ROUND(BE60,2)</f>
        <v>3</v>
      </c>
      <c r="D788" s="276">
        <f>ROUND(BE61,0)</f>
        <v>135303</v>
      </c>
      <c r="E788" s="276">
        <f>ROUND(BE62,0)</f>
        <v>27058</v>
      </c>
      <c r="F788" s="276">
        <f>ROUND(BE63,0)</f>
        <v>0</v>
      </c>
      <c r="G788" s="276">
        <f>ROUND(BE64,0)</f>
        <v>19910</v>
      </c>
      <c r="H788" s="276">
        <f>ROUND(BE65,0)</f>
        <v>315276</v>
      </c>
      <c r="I788" s="276">
        <f>ROUND(BE66,0)</f>
        <v>8158</v>
      </c>
      <c r="J788" s="276">
        <f>ROUND(BE67,0)</f>
        <v>614199</v>
      </c>
      <c r="K788" s="276">
        <f>ROUND(BE68,0)</f>
        <v>0</v>
      </c>
      <c r="L788" s="276">
        <f>ROUND(BE69,0)</f>
        <v>116508</v>
      </c>
      <c r="M788" s="276">
        <f>ROUND(BE70,0)</f>
        <v>0</v>
      </c>
      <c r="N788" s="276"/>
      <c r="O788" s="276"/>
      <c r="P788" s="276">
        <f>IF(BE76&gt;0,ROUND(BE76,0),0)</f>
        <v>5998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924*2018*8460*A</v>
      </c>
      <c r="B789" s="276"/>
      <c r="C789" s="278">
        <f>ROUND(BF60,2)</f>
        <v>4.25</v>
      </c>
      <c r="D789" s="276">
        <f>ROUND(BF61,0)</f>
        <v>178137</v>
      </c>
      <c r="E789" s="276">
        <f>ROUND(BF62,0)</f>
        <v>35942</v>
      </c>
      <c r="F789" s="276">
        <f>ROUND(BF63,0)</f>
        <v>0</v>
      </c>
      <c r="G789" s="276">
        <f>ROUND(BF64,0)</f>
        <v>58785</v>
      </c>
      <c r="H789" s="276">
        <f>ROUND(BF65,0)</f>
        <v>0</v>
      </c>
      <c r="I789" s="276">
        <f>ROUND(BF66,0)</f>
        <v>46983</v>
      </c>
      <c r="J789" s="276">
        <f>ROUND(BF67,0)</f>
        <v>4333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1162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924*2018*8470*A</v>
      </c>
      <c r="B790" s="276"/>
      <c r="C790" s="278">
        <f>ROUND(BG60,2)</f>
        <v>2.25</v>
      </c>
      <c r="D790" s="276">
        <f>ROUND(BG61,0)</f>
        <v>128611</v>
      </c>
      <c r="E790" s="276">
        <f>ROUND(BG62,0)</f>
        <v>25867</v>
      </c>
      <c r="F790" s="276">
        <f>ROUND(BG63,0)</f>
        <v>0</v>
      </c>
      <c r="G790" s="276">
        <f>ROUND(BG64,0)</f>
        <v>1665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924*2018*8480*A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924*2018*8490*A</v>
      </c>
      <c r="B792" s="276"/>
      <c r="C792" s="278">
        <f>ROUND(BI60,2)</f>
        <v>1.5</v>
      </c>
      <c r="D792" s="276">
        <f>ROUND(BI61,0)</f>
        <v>124016</v>
      </c>
      <c r="E792" s="276">
        <f>ROUND(BI62,0)</f>
        <v>23956</v>
      </c>
      <c r="F792" s="276">
        <f>ROUND(BI63,0)</f>
        <v>0</v>
      </c>
      <c r="G792" s="276">
        <f>ROUND(BI64,0)</f>
        <v>1231</v>
      </c>
      <c r="H792" s="276">
        <f>ROUND(BI65,0)</f>
        <v>0</v>
      </c>
      <c r="I792" s="276">
        <f>ROUND(BI66,0)</f>
        <v>6559</v>
      </c>
      <c r="J792" s="276">
        <f>ROUND(BI67,0)</f>
        <v>0</v>
      </c>
      <c r="K792" s="276">
        <f>ROUND(BI68,0)</f>
        <v>0</v>
      </c>
      <c r="L792" s="276">
        <f>ROUND(BI69,0)</f>
        <v>20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924*2018*8510*A</v>
      </c>
      <c r="B793" s="276"/>
      <c r="C793" s="278">
        <f>ROUND(BJ60,2)</f>
        <v>2</v>
      </c>
      <c r="D793" s="276">
        <f>ROUND(BJ61,0)</f>
        <v>194855</v>
      </c>
      <c r="E793" s="276">
        <f>ROUND(BJ62,0)</f>
        <v>38646</v>
      </c>
      <c r="F793" s="276">
        <f>ROUND(BJ63,0)</f>
        <v>0</v>
      </c>
      <c r="G793" s="276">
        <f>ROUND(BJ64,0)</f>
        <v>4738</v>
      </c>
      <c r="H793" s="276">
        <f>ROUND(BJ65,0)</f>
        <v>0</v>
      </c>
      <c r="I793" s="276">
        <f>ROUND(BJ66,0)</f>
        <v>79918</v>
      </c>
      <c r="J793" s="276">
        <f>ROUND(BJ67,0)</f>
        <v>0</v>
      </c>
      <c r="K793" s="276">
        <f>ROUND(BJ68,0)</f>
        <v>0</v>
      </c>
      <c r="L793" s="276">
        <f>ROUND(BJ69,0)</f>
        <v>1718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924*2018*8530*A</v>
      </c>
      <c r="B794" s="276"/>
      <c r="C794" s="278">
        <f>ROUND(BK60,2)</f>
        <v>8</v>
      </c>
      <c r="D794" s="276">
        <f>ROUND(BK61,0)</f>
        <v>264268</v>
      </c>
      <c r="E794" s="276">
        <f>ROUND(BK62,0)</f>
        <v>42706</v>
      </c>
      <c r="F794" s="276">
        <f>ROUND(BK63,0)</f>
        <v>0</v>
      </c>
      <c r="G794" s="276">
        <f>ROUND(BK64,0)</f>
        <v>1603</v>
      </c>
      <c r="H794" s="276">
        <f>ROUND(BK65,0)</f>
        <v>0</v>
      </c>
      <c r="I794" s="276">
        <f>ROUND(BK66,0)</f>
        <v>75846</v>
      </c>
      <c r="J794" s="276">
        <f>ROUND(BK67,0)</f>
        <v>0</v>
      </c>
      <c r="K794" s="276">
        <f>ROUND(BK68,0)</f>
        <v>0</v>
      </c>
      <c r="L794" s="276">
        <f>ROUND(BK69,0)</f>
        <v>222</v>
      </c>
      <c r="M794" s="276">
        <f>ROUND(BK70,0)</f>
        <v>1597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924*2018*8560*A</v>
      </c>
      <c r="B795" s="276"/>
      <c r="C795" s="278">
        <f>ROUND(BL60,2)</f>
        <v>10.5</v>
      </c>
      <c r="D795" s="276">
        <f>ROUND(BL61,0)</f>
        <v>1079149</v>
      </c>
      <c r="E795" s="276">
        <f>ROUND(BL62,0)</f>
        <v>209630</v>
      </c>
      <c r="F795" s="276">
        <f>ROUND(BL63,0)</f>
        <v>0</v>
      </c>
      <c r="G795" s="276">
        <f>ROUND(BL64,0)</f>
        <v>1656</v>
      </c>
      <c r="H795" s="276">
        <f>ROUND(BL65,0)</f>
        <v>0</v>
      </c>
      <c r="I795" s="276">
        <f>ROUND(BL66,0)</f>
        <v>3600</v>
      </c>
      <c r="J795" s="276">
        <f>ROUND(BL67,0)</f>
        <v>0</v>
      </c>
      <c r="K795" s="276">
        <f>ROUND(BL68,0)</f>
        <v>0</v>
      </c>
      <c r="L795" s="276">
        <f>ROUND(BL69,0)</f>
        <v>25981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924*2018*8590*A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924*2018*8610*A</v>
      </c>
      <c r="B797" s="276"/>
      <c r="C797" s="278">
        <f>ROUND(BN60,2)</f>
        <v>2</v>
      </c>
      <c r="D797" s="276">
        <f>ROUND(BN61,0)</f>
        <v>617916</v>
      </c>
      <c r="E797" s="276">
        <f>ROUND(BN62,0)</f>
        <v>132008</v>
      </c>
      <c r="F797" s="276">
        <f>ROUND(BN63,0)</f>
        <v>0</v>
      </c>
      <c r="G797" s="276">
        <f>ROUND(BN64,0)</f>
        <v>4173</v>
      </c>
      <c r="H797" s="276">
        <f>ROUND(BN65,0)</f>
        <v>0</v>
      </c>
      <c r="I797" s="276">
        <f>ROUND(BN66,0)</f>
        <v>262893</v>
      </c>
      <c r="J797" s="276">
        <f>ROUND(BN67,0)</f>
        <v>38555</v>
      </c>
      <c r="K797" s="276">
        <f>ROUND(BN68,0)</f>
        <v>139103</v>
      </c>
      <c r="L797" s="276">
        <f>ROUND(BN69,0)</f>
        <v>1636086</v>
      </c>
      <c r="M797" s="276">
        <f>ROUND(BN70,0)</f>
        <v>0</v>
      </c>
      <c r="N797" s="276"/>
      <c r="O797" s="276"/>
      <c r="P797" s="276">
        <f>IF(BN76&gt;0,ROUND(BN76,0),0)</f>
        <v>10339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924*2018*8620*A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924*2018*8630*A</v>
      </c>
      <c r="B799" s="276"/>
      <c r="C799" s="278">
        <f>ROUND(BP60,2)</f>
        <v>2</v>
      </c>
      <c r="D799" s="276">
        <f>ROUND(BP61,0)</f>
        <v>287241</v>
      </c>
      <c r="E799" s="276">
        <f>ROUND(BP62,0)</f>
        <v>56046</v>
      </c>
      <c r="F799" s="276">
        <f>ROUND(BP63,0)</f>
        <v>0</v>
      </c>
      <c r="G799" s="276">
        <f>ROUND(BP64,0)</f>
        <v>13350</v>
      </c>
      <c r="H799" s="276">
        <f>ROUND(BP65,0)</f>
        <v>0</v>
      </c>
      <c r="I799" s="276">
        <f>ROUND(BP66,0)</f>
        <v>6399</v>
      </c>
      <c r="J799" s="276">
        <f>ROUND(BP67,0)</f>
        <v>0</v>
      </c>
      <c r="K799" s="276">
        <f>ROUND(BP68,0)</f>
        <v>0</v>
      </c>
      <c r="L799" s="276">
        <f>ROUND(BP69,0)</f>
        <v>44065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924*2018*8640*A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924*2018*8650*A</v>
      </c>
      <c r="B801" s="276"/>
      <c r="C801" s="278">
        <f>ROUND(BR60,2)</f>
        <v>1</v>
      </c>
      <c r="D801" s="276">
        <f>ROUND(BR61,0)</f>
        <v>96803</v>
      </c>
      <c r="E801" s="276">
        <f>ROUND(BR62,0)</f>
        <v>13150</v>
      </c>
      <c r="F801" s="276">
        <f>ROUND(BR63,0)</f>
        <v>0</v>
      </c>
      <c r="G801" s="276">
        <f>ROUND(BR64,0)</f>
        <v>6752</v>
      </c>
      <c r="H801" s="276">
        <f>ROUND(BR65,0)</f>
        <v>0</v>
      </c>
      <c r="I801" s="276">
        <f>ROUND(BR66,0)</f>
        <v>21463</v>
      </c>
      <c r="J801" s="276">
        <f>ROUND(BR67,0)</f>
        <v>0</v>
      </c>
      <c r="K801" s="276">
        <f>ROUND(BR68,0)</f>
        <v>0</v>
      </c>
      <c r="L801" s="276">
        <f>ROUND(BR69,0)</f>
        <v>281246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924*2018*8660*A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924*2018*8670*A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924*2018*8680*A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924*2018*8690*A</v>
      </c>
      <c r="B805" s="276"/>
      <c r="C805" s="278">
        <f>ROUND(BV60,2)</f>
        <v>3</v>
      </c>
      <c r="D805" s="276">
        <f>ROUND(BV61,0)</f>
        <v>227686</v>
      </c>
      <c r="E805" s="276">
        <f>ROUND(BV62,0)</f>
        <v>44877</v>
      </c>
      <c r="F805" s="276">
        <f>ROUND(BV63,0)</f>
        <v>0</v>
      </c>
      <c r="G805" s="276">
        <f>ROUND(BV64,0)</f>
        <v>10225</v>
      </c>
      <c r="H805" s="276">
        <f>ROUND(BV65,0)</f>
        <v>0</v>
      </c>
      <c r="I805" s="276">
        <f>ROUND(BV66,0)</f>
        <v>96360</v>
      </c>
      <c r="J805" s="276">
        <f>ROUND(BV67,0)</f>
        <v>3088</v>
      </c>
      <c r="K805" s="276">
        <f>ROUND(BV68,0)</f>
        <v>0</v>
      </c>
      <c r="L805" s="276">
        <f>ROUND(BV69,0)</f>
        <v>1854</v>
      </c>
      <c r="M805" s="276">
        <f>ROUND(BV70,0)</f>
        <v>0</v>
      </c>
      <c r="N805" s="276"/>
      <c r="O805" s="276"/>
      <c r="P805" s="276">
        <f>IF(BV76&gt;0,ROUND(BV76,0),0)</f>
        <v>828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924*2018*8700*A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2557187</v>
      </c>
      <c r="G806" s="276">
        <f>ROUND(BW64,0)</f>
        <v>3699</v>
      </c>
      <c r="H806" s="276">
        <f>ROUND(BW65,0)</f>
        <v>0</v>
      </c>
      <c r="I806" s="276">
        <f>ROUND(BW66,0)</f>
        <v>200</v>
      </c>
      <c r="J806" s="276">
        <f>ROUND(BW67,0)</f>
        <v>1682</v>
      </c>
      <c r="K806" s="276">
        <f>ROUND(BW68,0)</f>
        <v>0</v>
      </c>
      <c r="L806" s="276">
        <f>ROUND(BW69,0)</f>
        <v>618650</v>
      </c>
      <c r="M806" s="276">
        <f>ROUND(BW70,0)</f>
        <v>0</v>
      </c>
      <c r="N806" s="276"/>
      <c r="O806" s="276"/>
      <c r="P806" s="276">
        <f>IF(BW76&gt;0,ROUND(BW76,0),0)</f>
        <v>451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924*2018*8710*A</v>
      </c>
      <c r="B807" s="276"/>
      <c r="C807" s="278">
        <f>ROUND(BX60,2)</f>
        <v>5</v>
      </c>
      <c r="D807" s="276">
        <f>ROUND(BX61,0)</f>
        <v>349117</v>
      </c>
      <c r="E807" s="276">
        <f>ROUND(BX62,0)</f>
        <v>40212</v>
      </c>
      <c r="F807" s="276">
        <f>ROUND(BX63,0)</f>
        <v>0</v>
      </c>
      <c r="G807" s="276">
        <f>ROUND(BX64,0)</f>
        <v>2685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15216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924*2018*8720*A</v>
      </c>
      <c r="B808" s="276"/>
      <c r="C808" s="278">
        <f>ROUND(BY60,2)</f>
        <v>6.5</v>
      </c>
      <c r="D808" s="276">
        <f>ROUND(BY61,0)</f>
        <v>962061</v>
      </c>
      <c r="E808" s="276">
        <f>ROUND(BY62,0)</f>
        <v>192394</v>
      </c>
      <c r="F808" s="276">
        <f>ROUND(BY63,0)</f>
        <v>0</v>
      </c>
      <c r="G808" s="276">
        <f>ROUND(BY64,0)</f>
        <v>20688</v>
      </c>
      <c r="H808" s="276">
        <f>ROUND(BY65,0)</f>
        <v>0</v>
      </c>
      <c r="I808" s="276">
        <f>ROUND(BY66,0)</f>
        <v>14869</v>
      </c>
      <c r="J808" s="276">
        <f>ROUND(BY67,0)</f>
        <v>19712</v>
      </c>
      <c r="K808" s="276">
        <f>ROUND(BY68,0)</f>
        <v>0</v>
      </c>
      <c r="L808" s="276">
        <f>ROUND(BY69,0)</f>
        <v>63162</v>
      </c>
      <c r="M808" s="276">
        <f>ROUND(BY70,0)</f>
        <v>0</v>
      </c>
      <c r="N808" s="276"/>
      <c r="O808" s="276"/>
      <c r="P808" s="276">
        <f>IF(BY76&gt;0,ROUND(BY76,0),0)</f>
        <v>5286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924*2018*8730*A</v>
      </c>
      <c r="B809" s="276"/>
      <c r="C809" s="278">
        <f>ROUND(BZ60,2)</f>
        <v>1.75</v>
      </c>
      <c r="D809" s="276">
        <f>ROUND(BZ61,0)</f>
        <v>93333</v>
      </c>
      <c r="E809" s="276">
        <f>ROUND(BZ62,0)</f>
        <v>18355</v>
      </c>
      <c r="F809" s="276">
        <f>ROUND(BZ63,0)</f>
        <v>0</v>
      </c>
      <c r="G809" s="276">
        <f>ROUND(BZ64,0)</f>
        <v>1368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239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924*2018*8740*A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924*2018*8770*A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924*2018*8790*A</v>
      </c>
      <c r="B812" s="276"/>
      <c r="C812" s="278">
        <f>ROUND(CC60,2)</f>
        <v>1.25</v>
      </c>
      <c r="D812" s="276">
        <f>ROUND(CC61,0)</f>
        <v>68371</v>
      </c>
      <c r="E812" s="276">
        <f>ROUND(CC62,0)</f>
        <v>13114</v>
      </c>
      <c r="F812" s="276">
        <f>ROUND(CC63,0)</f>
        <v>0</v>
      </c>
      <c r="G812" s="276">
        <f>ROUND(CC64,0)</f>
        <v>10392</v>
      </c>
      <c r="H812" s="276">
        <f>ROUND(CC65,0)</f>
        <v>0</v>
      </c>
      <c r="I812" s="276">
        <f>ROUND(CC66,0)</f>
        <v>157417</v>
      </c>
      <c r="J812" s="276">
        <f>ROUND(CC67,0)</f>
        <v>0</v>
      </c>
      <c r="K812" s="276">
        <f>ROUND(CC68,0)</f>
        <v>0</v>
      </c>
      <c r="L812" s="276">
        <f>ROUND(CC69,0)</f>
        <v>174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924*2018*9000*A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162.59</v>
      </c>
      <c r="D815" s="277">
        <f t="shared" si="22"/>
        <v>11311543</v>
      </c>
      <c r="E815" s="277">
        <f t="shared" si="22"/>
        <v>2226140</v>
      </c>
      <c r="F815" s="277">
        <f t="shared" si="22"/>
        <v>2557187</v>
      </c>
      <c r="G815" s="277">
        <f t="shared" si="22"/>
        <v>1003933</v>
      </c>
      <c r="H815" s="277">
        <f t="shared" si="22"/>
        <v>315276</v>
      </c>
      <c r="I815" s="277">
        <f t="shared" si="22"/>
        <v>1196379</v>
      </c>
      <c r="J815" s="277">
        <f t="shared" si="22"/>
        <v>853588</v>
      </c>
      <c r="K815" s="277">
        <f t="shared" si="22"/>
        <v>139103</v>
      </c>
      <c r="L815" s="277">
        <f>SUM(L734:L813)+SUM(U734:U813)</f>
        <v>4368324</v>
      </c>
      <c r="M815" s="277">
        <f>SUM(M734:M813)+SUM(V734:V813)</f>
        <v>1597</v>
      </c>
      <c r="N815" s="277">
        <f t="shared" ref="N815:Y815" si="23">SUM(N734:N813)</f>
        <v>78127200</v>
      </c>
      <c r="O815" s="277">
        <f t="shared" si="23"/>
        <v>76242000</v>
      </c>
      <c r="P815" s="277">
        <f t="shared" si="23"/>
        <v>70193</v>
      </c>
      <c r="Q815" s="277">
        <f t="shared" si="23"/>
        <v>78148</v>
      </c>
      <c r="R815" s="277">
        <f t="shared" si="23"/>
        <v>9395</v>
      </c>
      <c r="S815" s="277">
        <f t="shared" si="23"/>
        <v>61307</v>
      </c>
      <c r="T815" s="281">
        <f t="shared" si="23"/>
        <v>76.59</v>
      </c>
      <c r="U815" s="277">
        <f t="shared" si="23"/>
        <v>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15401208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162.59013698630139</v>
      </c>
      <c r="D816" s="277">
        <f>CE61</f>
        <v>11311543</v>
      </c>
      <c r="E816" s="277">
        <f>CE62</f>
        <v>2226140</v>
      </c>
      <c r="F816" s="277">
        <f>CE63</f>
        <v>2557187</v>
      </c>
      <c r="G816" s="277">
        <f>CE64</f>
        <v>1003933</v>
      </c>
      <c r="H816" s="280">
        <f>CE65</f>
        <v>315276</v>
      </c>
      <c r="I816" s="280">
        <f>CE66</f>
        <v>1196379</v>
      </c>
      <c r="J816" s="280">
        <f>CE67</f>
        <v>853588</v>
      </c>
      <c r="K816" s="280">
        <f>CE68</f>
        <v>139103</v>
      </c>
      <c r="L816" s="280">
        <f>CE69</f>
        <v>4368324</v>
      </c>
      <c r="M816" s="280">
        <f>CE70</f>
        <v>1597</v>
      </c>
      <c r="N816" s="277">
        <f>CE75</f>
        <v>78127200</v>
      </c>
      <c r="O816" s="277">
        <f>CE73</f>
        <v>76242000</v>
      </c>
      <c r="P816" s="277">
        <f>CE76</f>
        <v>70193</v>
      </c>
      <c r="Q816" s="277">
        <f>CE77</f>
        <v>78148</v>
      </c>
      <c r="R816" s="277">
        <f>CE78</f>
        <v>9395</v>
      </c>
      <c r="S816" s="277">
        <f>CE79</f>
        <v>61307</v>
      </c>
      <c r="T816" s="281">
        <f>CE80</f>
        <v>76.590136986301374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15401208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11311843</v>
      </c>
      <c r="E817" s="180">
        <f>C379</f>
        <v>2226140</v>
      </c>
      <c r="F817" s="180">
        <f>C380</f>
        <v>2557187</v>
      </c>
      <c r="G817" s="240">
        <f>C381</f>
        <v>1003933</v>
      </c>
      <c r="H817" s="240">
        <f>C382</f>
        <v>315276</v>
      </c>
      <c r="I817" s="240">
        <f>C383</f>
        <v>1196379</v>
      </c>
      <c r="J817" s="240">
        <f>C384</f>
        <v>853588</v>
      </c>
      <c r="K817" s="240">
        <f>C385</f>
        <v>139103</v>
      </c>
      <c r="L817" s="240">
        <f>C386+C387+C388+C389</f>
        <v>4306286</v>
      </c>
      <c r="M817" s="240">
        <f>C370</f>
        <v>75728</v>
      </c>
      <c r="N817" s="180">
        <f>D361</f>
        <v>79031405</v>
      </c>
      <c r="O817" s="180">
        <f>C359</f>
        <v>77146205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E50" sqref="E50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Vest Seattle, LLC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H-924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 xml:space="preserve">3955 156th Street NE 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Marysville, WA  98271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H-924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Vest Seattle, LLC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Christopher Burke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Teresa Logsdon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Richard Kresch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360-651-6400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2510</v>
      </c>
      <c r="G23" s="21">
        <f>data!D111</f>
        <v>26836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115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115</v>
      </c>
      <c r="E36" s="49" t="s">
        <v>292</v>
      </c>
      <c r="F36" s="24"/>
      <c r="G36" s="21">
        <f>data!C128</f>
        <v>115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Vest Seattle, LLC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272</v>
      </c>
      <c r="C7" s="48">
        <f>data!B139</f>
        <v>5407</v>
      </c>
      <c r="D7" s="48">
        <f>data!B140</f>
        <v>240</v>
      </c>
      <c r="E7" s="48">
        <f>data!B141</f>
        <v>16221000</v>
      </c>
      <c r="F7" s="48">
        <f>data!B142</f>
        <v>156000</v>
      </c>
      <c r="G7" s="48">
        <f>data!B141+data!B142</f>
        <v>16377000</v>
      </c>
    </row>
    <row r="8" spans="1:13" ht="20.149999999999999" customHeight="1" x14ac:dyDescent="0.35">
      <c r="A8" s="23" t="s">
        <v>297</v>
      </c>
      <c r="B8" s="48">
        <f>data!C138</f>
        <v>1326</v>
      </c>
      <c r="C8" s="48">
        <f>data!C139</f>
        <v>14085</v>
      </c>
      <c r="D8" s="48">
        <f>data!C140</f>
        <v>142</v>
      </c>
      <c r="E8" s="48">
        <f>data!C141</f>
        <v>42255000</v>
      </c>
      <c r="F8" s="48">
        <f>data!C142</f>
        <v>92300</v>
      </c>
      <c r="G8" s="48">
        <f>data!C141+data!C142</f>
        <v>42347300</v>
      </c>
    </row>
    <row r="9" spans="1:13" ht="20.149999999999999" customHeight="1" x14ac:dyDescent="0.35">
      <c r="A9" s="23" t="s">
        <v>1058</v>
      </c>
      <c r="B9" s="48">
        <f>data!D138</f>
        <v>912</v>
      </c>
      <c r="C9" s="48">
        <f>data!D139</f>
        <v>7344</v>
      </c>
      <c r="D9" s="48">
        <f>data!D140</f>
        <v>2154</v>
      </c>
      <c r="E9" s="48">
        <f>data!D141</f>
        <v>24452733</v>
      </c>
      <c r="F9" s="48">
        <f>data!D142</f>
        <v>1400100</v>
      </c>
      <c r="G9" s="48">
        <f>data!D141+data!D142</f>
        <v>25852833</v>
      </c>
    </row>
    <row r="10" spans="1:13" ht="20.149999999999999" customHeight="1" x14ac:dyDescent="0.35">
      <c r="A10" s="111" t="s">
        <v>203</v>
      </c>
      <c r="B10" s="48">
        <f>data!E138</f>
        <v>2510</v>
      </c>
      <c r="C10" s="48">
        <f>data!E139</f>
        <v>26836</v>
      </c>
      <c r="D10" s="48">
        <f>data!E140</f>
        <v>2536</v>
      </c>
      <c r="E10" s="48">
        <f>data!E141</f>
        <v>82928733</v>
      </c>
      <c r="F10" s="48">
        <f>data!E142</f>
        <v>1648400</v>
      </c>
      <c r="G10" s="48">
        <f>data!E141+data!E142</f>
        <v>84577133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2420733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Vest Seattle, LLC</v>
      </c>
      <c r="B3" s="30"/>
      <c r="C3" s="31" t="str">
        <f>"FYE: "&amp;data!C82</f>
        <v>FYE: 12/31/2019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1055611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177598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1125673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19974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136880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40104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173378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2729218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153508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153508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112157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21025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133182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17032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872712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58653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948397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959758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959758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Vest Seattle, LLC</v>
      </c>
      <c r="B3" s="8"/>
      <c r="C3" s="8"/>
      <c r="E3" s="11"/>
      <c r="F3" s="12" t="str">
        <f>" FYE: "&amp;data!C82</f>
        <v xml:space="preserve"> FYE: 12/31/2019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2000000</v>
      </c>
      <c r="D7" s="21">
        <f>data!C195</f>
        <v>0</v>
      </c>
      <c r="E7" s="21">
        <f>data!D195</f>
        <v>2000000</v>
      </c>
      <c r="F7" s="21">
        <f>data!E195</f>
        <v>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22957331</v>
      </c>
      <c r="D9" s="21">
        <f>data!C197</f>
        <v>27570400</v>
      </c>
      <c r="E9" s="21">
        <f>data!D197</f>
        <v>22957331</v>
      </c>
      <c r="F9" s="21">
        <f>data!E197</f>
        <v>27570400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132608</v>
      </c>
      <c r="D10" s="21">
        <f>data!C198</f>
        <v>7549</v>
      </c>
      <c r="E10" s="21">
        <f>data!D198</f>
        <v>140158</v>
      </c>
      <c r="F10" s="21">
        <f>data!E198</f>
        <v>-1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1199077</v>
      </c>
      <c r="D12" s="21">
        <f>data!C200</f>
        <v>13191</v>
      </c>
      <c r="E12" s="21">
        <f>data!D200</f>
        <v>0</v>
      </c>
      <c r="F12" s="21">
        <f>data!E200</f>
        <v>1212268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328952</v>
      </c>
      <c r="D13" s="21">
        <f>data!C201</f>
        <v>59867</v>
      </c>
      <c r="E13" s="21">
        <f>data!D201</f>
        <v>0</v>
      </c>
      <c r="F13" s="21">
        <f>data!E201</f>
        <v>388819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23695</v>
      </c>
      <c r="E14" s="21">
        <f>data!D202</f>
        <v>0</v>
      </c>
      <c r="F14" s="21">
        <f>data!E202</f>
        <v>23695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26617968</v>
      </c>
      <c r="D16" s="21">
        <f>data!C204</f>
        <v>27674702</v>
      </c>
      <c r="E16" s="21">
        <f>data!D204</f>
        <v>25097489</v>
      </c>
      <c r="F16" s="21">
        <f>data!E204</f>
        <v>29195181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933678</v>
      </c>
      <c r="D25" s="21">
        <f>data!C210</f>
        <v>1109222.9099999999</v>
      </c>
      <c r="E25" s="21">
        <f>data!D210</f>
        <v>1277057</v>
      </c>
      <c r="F25" s="21">
        <f>data!E210</f>
        <v>765843.90999999992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7393</v>
      </c>
      <c r="D26" s="21">
        <f>data!C211</f>
        <v>4883.55</v>
      </c>
      <c r="E26" s="21">
        <f>data!D211</f>
        <v>12277</v>
      </c>
      <c r="F26" s="21">
        <f>data!E211</f>
        <v>-0.4500000000007276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318712</v>
      </c>
      <c r="D28" s="21">
        <f>data!C213</f>
        <v>207647</v>
      </c>
      <c r="E28" s="21">
        <f>data!D213</f>
        <v>0</v>
      </c>
      <c r="F28" s="21">
        <f>data!E213</f>
        <v>526359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77093</v>
      </c>
      <c r="D29" s="21">
        <f>data!C214</f>
        <v>76556</v>
      </c>
      <c r="E29" s="21">
        <f>data!D214</f>
        <v>0</v>
      </c>
      <c r="F29" s="21">
        <f>data!E214</f>
        <v>153649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1336876</v>
      </c>
      <c r="D32" s="21">
        <f>data!C217</f>
        <v>1398309.46</v>
      </c>
      <c r="E32" s="21">
        <f>data!D217</f>
        <v>1289334</v>
      </c>
      <c r="F32" s="21">
        <f>data!E217</f>
        <v>1445851.46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Vest Seattle, LLC</v>
      </c>
      <c r="B2" s="30"/>
      <c r="C2" s="30"/>
      <c r="D2" s="31" t="str">
        <f>"FYE: "&amp;data!C82</f>
        <v>FYE: 12/31/2019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1287503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8214625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13475545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2823628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33251556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124148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57889502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56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350460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31323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381783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95561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59654349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Vest Seattle, LLC</v>
      </c>
      <c r="B3" s="30"/>
      <c r="C3" s="31" t="str">
        <f>" FYE: "&amp;data!C82</f>
        <v xml:space="preserve"> FYE: 12/31/2019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1088703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4306511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204096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85908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60565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269719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5607310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27570400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1624782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29195182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1452517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27742665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116553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116553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33466528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Vest Seattle, LLC</v>
      </c>
      <c r="B55" s="30"/>
      <c r="C55" s="31" t="str">
        <f>"FYE: "&amp;data!C82</f>
        <v>FYE: 12/31/2019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957414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793753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-15989786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-14238619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27011282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3463962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30475244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30475244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23173147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-5943244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17229903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33466528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Vest Seattle, LLC</v>
      </c>
      <c r="B107" s="30"/>
      <c r="C107" s="31" t="str">
        <f>" FYE: "&amp;data!C82</f>
        <v xml:space="preserve"> FYE: 12/31/2019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82928733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1648400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84577133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1287503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57889502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381783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95561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59654349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24922784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56403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56403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24979187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13088462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2729218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1469381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1022055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256856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3074427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2132546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153508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133182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872712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959758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465622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26357727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-1378540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-1378540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-1378540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208" zoomScale="65" workbookViewId="0">
      <selection activeCell="H233" sqref="H233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Vest Seattle, LLC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26836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77.411057692307693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4398815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924818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157008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1296149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270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6777060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17435369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80508000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80508000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39983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70782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8760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72914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77.411057692307693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Vest Seattle, LLC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Vest Seattle, LLC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79046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79046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9294</v>
      </c>
      <c r="H87" s="48">
        <f>+data!M687</f>
        <v>0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Vest Seattle, LLC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2.9759615384615383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570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228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218227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27482</v>
      </c>
      <c r="E112" s="14">
        <f>data!Z66</f>
        <v>0</v>
      </c>
      <c r="F112" s="14">
        <f>data!AA66</f>
        <v>0</v>
      </c>
      <c r="G112" s="14">
        <f>data!AB66</f>
        <v>710516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489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27482</v>
      </c>
      <c r="E117" s="14">
        <f>data!Z71</f>
        <v>0</v>
      </c>
      <c r="F117" s="14">
        <f>data!AA71</f>
        <v>0</v>
      </c>
      <c r="G117" s="14">
        <f>data!AB71</f>
        <v>930030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3231</v>
      </c>
      <c r="E119" s="48">
        <f>+data!M691</f>
        <v>0</v>
      </c>
      <c r="F119" s="48">
        <f>+data!M692</f>
        <v>0</v>
      </c>
      <c r="G119" s="48">
        <f>+data!M693</f>
        <v>197592</v>
      </c>
      <c r="H119" s="48">
        <f>+data!M694</f>
        <v>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820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Vest Seattle, LLC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2536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3.0495192307692309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194223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39503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4310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238036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213574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1648400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1648400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Vest Seattle, LLC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3.3125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248226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51450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10780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29710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340166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50447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Vest Seattle, LLC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7.7591346153846157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351294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73313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434555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14626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873788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3473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Vest Seattle, LLC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70913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16.440865384615385</v>
      </c>
      <c r="F234" s="26">
        <f>data!BC60</f>
        <v>0</v>
      </c>
      <c r="G234" s="26">
        <f>data!BD60</f>
        <v>0</v>
      </c>
      <c r="H234" s="26">
        <f>data!BE60</f>
        <v>2.8634615384615385</v>
      </c>
      <c r="I234" s="26">
        <f>data!BF60</f>
        <v>4.561057692307692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1076660</v>
      </c>
      <c r="F235" s="14">
        <f>data!BC61</f>
        <v>0</v>
      </c>
      <c r="G235" s="14">
        <f>data!BD61</f>
        <v>0</v>
      </c>
      <c r="H235" s="14">
        <f>data!BE61</f>
        <v>165939</v>
      </c>
      <c r="I235" s="14">
        <f>data!BF61</f>
        <v>166055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222376</v>
      </c>
      <c r="F236" s="14">
        <f>data!BC62</f>
        <v>0</v>
      </c>
      <c r="G236" s="14">
        <f>data!BD62</f>
        <v>0</v>
      </c>
      <c r="H236" s="14">
        <f>data!BE62</f>
        <v>34992</v>
      </c>
      <c r="I236" s="14">
        <f>data!BF62</f>
        <v>35292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4183.3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3707</v>
      </c>
      <c r="F238" s="14">
        <f>data!BC64</f>
        <v>0</v>
      </c>
      <c r="G238" s="14">
        <f>data!BD64</f>
        <v>0</v>
      </c>
      <c r="H238" s="14">
        <f>data!BE64</f>
        <v>28089</v>
      </c>
      <c r="I238" s="14">
        <f>data!BF64</f>
        <v>72759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256856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51083</v>
      </c>
      <c r="E240" s="14">
        <f>data!BB66</f>
        <v>137729</v>
      </c>
      <c r="F240" s="14">
        <f>data!BC66</f>
        <v>0</v>
      </c>
      <c r="G240" s="14">
        <f>data!BD66</f>
        <v>0</v>
      </c>
      <c r="H240" s="14">
        <f>data!BE66</f>
        <v>9188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2132546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422</v>
      </c>
      <c r="F243" s="14">
        <f>data!BC69</f>
        <v>0</v>
      </c>
      <c r="G243" s="14">
        <f>data!BD69</f>
        <v>0</v>
      </c>
      <c r="H243" s="14">
        <f>data!BE69</f>
        <v>138588.44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51083</v>
      </c>
      <c r="E245" s="14">
        <f>data!BB71</f>
        <v>1440894</v>
      </c>
      <c r="F245" s="14">
        <f>data!BC71</f>
        <v>0</v>
      </c>
      <c r="G245" s="14">
        <f>data!BD71</f>
        <v>0</v>
      </c>
      <c r="H245" s="14">
        <f>data!BE71</f>
        <v>2770381.7399999998</v>
      </c>
      <c r="I245" s="14">
        <f>data!BF71</f>
        <v>274106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1162</v>
      </c>
      <c r="E252" s="85">
        <f>data!BB76</f>
        <v>0</v>
      </c>
      <c r="F252" s="85">
        <f>data!BC76</f>
        <v>0</v>
      </c>
      <c r="G252" s="85">
        <f>data!BD76</f>
        <v>691</v>
      </c>
      <c r="H252" s="85">
        <f>data!BE76</f>
        <v>5998</v>
      </c>
      <c r="I252" s="85">
        <f>data!BF76</f>
        <v>1162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Vest Seattle, LLC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2.9586538461538461</v>
      </c>
      <c r="D266" s="26">
        <f>data!BH60</f>
        <v>0.68461538461538463</v>
      </c>
      <c r="E266" s="26">
        <f>data!BI60</f>
        <v>0</v>
      </c>
      <c r="F266" s="26">
        <f>data!BJ60</f>
        <v>2.1336538461538463</v>
      </c>
      <c r="G266" s="26">
        <f>data!BK60</f>
        <v>7.53125</v>
      </c>
      <c r="H266" s="26">
        <f>data!BL60</f>
        <v>12.484615384615385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105724</v>
      </c>
      <c r="D267" s="14">
        <f>data!BH61</f>
        <v>49709</v>
      </c>
      <c r="E267" s="14">
        <f>data!BI61</f>
        <v>0</v>
      </c>
      <c r="F267" s="14">
        <f>data!BJ61</f>
        <v>207646</v>
      </c>
      <c r="G267" s="14">
        <f>data!BK61</f>
        <v>410291</v>
      </c>
      <c r="H267" s="14">
        <f>data!BL61</f>
        <v>1120923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22255</v>
      </c>
      <c r="D268" s="14">
        <f>data!BH62</f>
        <v>9785</v>
      </c>
      <c r="E268" s="14">
        <f>data!BI62</f>
        <v>0</v>
      </c>
      <c r="F268" s="14">
        <f>data!BJ62</f>
        <v>44469</v>
      </c>
      <c r="G268" s="14">
        <f>data!BK62</f>
        <v>72842</v>
      </c>
      <c r="H268" s="14">
        <f>data!BL62</f>
        <v>227114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233</v>
      </c>
      <c r="D270" s="14">
        <f>data!BH64</f>
        <v>13152</v>
      </c>
      <c r="E270" s="14">
        <f>data!BI64</f>
        <v>0</v>
      </c>
      <c r="F270" s="14">
        <f>data!BJ64</f>
        <v>9923</v>
      </c>
      <c r="G270" s="14">
        <f>data!BK64</f>
        <v>4361</v>
      </c>
      <c r="H270" s="14">
        <f>data!BL64</f>
        <v>4517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8595</v>
      </c>
      <c r="D272" s="14">
        <f>data!BH66</f>
        <v>195976</v>
      </c>
      <c r="E272" s="14">
        <f>data!BI66</f>
        <v>0</v>
      </c>
      <c r="F272" s="14">
        <f>data!BJ66</f>
        <v>106500</v>
      </c>
      <c r="G272" s="14">
        <f>data!BK66</f>
        <v>87305</v>
      </c>
      <c r="H272" s="14">
        <f>data!BL66</f>
        <v>15616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-45</v>
      </c>
      <c r="E275" s="14">
        <f>data!BI69</f>
        <v>0</v>
      </c>
      <c r="F275" s="14">
        <f>data!BJ69</f>
        <v>18733</v>
      </c>
      <c r="G275" s="14">
        <f>data!BK69</f>
        <v>0</v>
      </c>
      <c r="H275" s="14">
        <f>data!BL69</f>
        <v>4867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136807</v>
      </c>
      <c r="D277" s="14">
        <f>data!BH71</f>
        <v>268577</v>
      </c>
      <c r="E277" s="14">
        <f>data!BI71</f>
        <v>0</v>
      </c>
      <c r="F277" s="14">
        <f>data!BJ71</f>
        <v>387271</v>
      </c>
      <c r="G277" s="14">
        <f>data!BK71</f>
        <v>574799</v>
      </c>
      <c r="H277" s="14">
        <f>data!BL71</f>
        <v>1373037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Vest Seattle, LLC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5.375</v>
      </c>
      <c r="D298" s="26">
        <f>data!BO60</f>
        <v>0</v>
      </c>
      <c r="E298" s="26">
        <f>data!BP60</f>
        <v>3.4980769230769231</v>
      </c>
      <c r="F298" s="26">
        <f>data!BQ60</f>
        <v>0</v>
      </c>
      <c r="G298" s="26">
        <f>data!BR60</f>
        <v>1.5995192307692307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545142</v>
      </c>
      <c r="D299" s="14">
        <f>data!BO61</f>
        <v>0</v>
      </c>
      <c r="E299" s="14">
        <f>data!BP61</f>
        <v>342909</v>
      </c>
      <c r="F299" s="14">
        <f>data!BQ61</f>
        <v>0</v>
      </c>
      <c r="G299" s="14">
        <f>data!BR61</f>
        <v>95864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96911</v>
      </c>
      <c r="D300" s="14">
        <f>data!BO62</f>
        <v>0</v>
      </c>
      <c r="E300" s="14">
        <f>data!BP62</f>
        <v>70245</v>
      </c>
      <c r="F300" s="14">
        <f>data!BQ62</f>
        <v>0</v>
      </c>
      <c r="G300" s="14">
        <f>data!BR62</f>
        <v>17030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113613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2125</v>
      </c>
      <c r="D302" s="14">
        <f>data!BO64</f>
        <v>0</v>
      </c>
      <c r="E302" s="14">
        <f>data!BP64</f>
        <v>7386</v>
      </c>
      <c r="F302" s="14">
        <f>data!BQ64</f>
        <v>0</v>
      </c>
      <c r="G302" s="14">
        <f>data!BR64</f>
        <v>11102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66419</v>
      </c>
      <c r="D304" s="14">
        <f>data!BO66</f>
        <v>0</v>
      </c>
      <c r="E304" s="14">
        <f>data!BP66</f>
        <v>15099</v>
      </c>
      <c r="F304" s="14">
        <f>data!BQ66</f>
        <v>0</v>
      </c>
      <c r="G304" s="14">
        <f>data!BR66</f>
        <v>55232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153509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22467</v>
      </c>
      <c r="D307" s="14">
        <f>data!BO69</f>
        <v>0</v>
      </c>
      <c r="E307" s="14">
        <f>data!BP69</f>
        <v>53478</v>
      </c>
      <c r="F307" s="14">
        <f>data!BQ69</f>
        <v>0</v>
      </c>
      <c r="G307" s="14">
        <f>data!BR69</f>
        <v>221935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1000186</v>
      </c>
      <c r="D309" s="14">
        <f>data!BO71</f>
        <v>0</v>
      </c>
      <c r="E309" s="14">
        <f>data!BP71</f>
        <v>489117</v>
      </c>
      <c r="F309" s="14">
        <f>data!BQ71</f>
        <v>0</v>
      </c>
      <c r="G309" s="14">
        <f>data!BR71</f>
        <v>401163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10339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Vest Seattle, LLC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3.6730769230769229</v>
      </c>
      <c r="E330" s="26">
        <f>data!BW60</f>
        <v>4.2129807692307688</v>
      </c>
      <c r="F330" s="26">
        <f>data!BX60</f>
        <v>5.092307692307692</v>
      </c>
      <c r="G330" s="26">
        <f>data!BY60</f>
        <v>9.889903846153846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249437</v>
      </c>
      <c r="E331" s="86">
        <f>data!BW61</f>
        <v>1443737</v>
      </c>
      <c r="F331" s="86">
        <f>data!BX61</f>
        <v>335592</v>
      </c>
      <c r="G331" s="86">
        <f>data!BY61</f>
        <v>1579705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50606</v>
      </c>
      <c r="E332" s="86">
        <f>data!BW62</f>
        <v>347384</v>
      </c>
      <c r="F332" s="86">
        <f>data!BX62</f>
        <v>70026</v>
      </c>
      <c r="G332" s="86">
        <f>data!BY62</f>
        <v>318582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1351585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12551</v>
      </c>
      <c r="E334" s="86">
        <f>data!BW64</f>
        <v>4940</v>
      </c>
      <c r="F334" s="86">
        <f>data!BX64</f>
        <v>1597</v>
      </c>
      <c r="G334" s="86">
        <f>data!BY64</f>
        <v>20732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104098</v>
      </c>
      <c r="E336" s="86">
        <f>data!BW66</f>
        <v>4207</v>
      </c>
      <c r="F336" s="86">
        <f>data!BX66</f>
        <v>0</v>
      </c>
      <c r="G336" s="86">
        <f>data!BY66</f>
        <v>59851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159</v>
      </c>
      <c r="E339" s="86">
        <f>data!BW69</f>
        <v>33</v>
      </c>
      <c r="F339" s="86">
        <f>data!BX69</f>
        <v>50</v>
      </c>
      <c r="G339" s="86">
        <f>data!BY69</f>
        <v>4176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416851</v>
      </c>
      <c r="E341" s="14">
        <f>data!BW71</f>
        <v>3151886</v>
      </c>
      <c r="F341" s="14">
        <f>data!BX71</f>
        <v>407265</v>
      </c>
      <c r="G341" s="14">
        <f>data!BY71</f>
        <v>1983046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828</v>
      </c>
      <c r="E348" s="85">
        <f>data!BW76</f>
        <v>451</v>
      </c>
      <c r="F348" s="85">
        <f>data!BX76</f>
        <v>0</v>
      </c>
      <c r="G348" s="85">
        <f>data!BY76</f>
        <v>5286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Vest Seattle, LLC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177.50721153846155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13088461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2729221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1469381.3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1022054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256856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3074427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2132546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153509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1965652</v>
      </c>
      <c r="F371" s="219"/>
      <c r="G371" s="219"/>
      <c r="H371" s="219"/>
      <c r="I371" s="86">
        <f>data!CE69</f>
        <v>2431274.44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56403</v>
      </c>
      <c r="F372" s="220"/>
      <c r="G372" s="220"/>
      <c r="H372" s="220"/>
      <c r="I372" s="14">
        <f>-data!CE70</f>
        <v>-56403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1909249</v>
      </c>
      <c r="F373" s="219"/>
      <c r="G373" s="219"/>
      <c r="H373" s="219"/>
      <c r="I373" s="14">
        <f>data!CE71</f>
        <v>26301326.740000002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80508000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1648400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82156400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70193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70782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8760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72914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77.411057692307693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924 Year End Report</dc:title>
  <dc:subject>2019 924 Year End Report</dc:subject>
  <dc:creator>Washington State Dept of Health - HSQA - Community Health Systems</dc:creator>
  <cp:keywords>hospital financial reports</cp:keywords>
  <cp:lastModifiedBy>Baranowski, Carrie (DOH)</cp:lastModifiedBy>
  <cp:lastPrinted>2020-04-20T20:03:52Z</cp:lastPrinted>
  <dcterms:created xsi:type="dcterms:W3CDTF">1999-06-02T22:01:56Z</dcterms:created>
  <dcterms:modified xsi:type="dcterms:W3CDTF">2021-12-10T18:29:05Z</dcterms:modified>
</cp:coreProperties>
</file>