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1C4FAC44-6277-4CE5-BE6E-573860DD9D72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D215" i="1"/>
  <c r="D211" i="1"/>
  <c r="D212" i="1"/>
  <c r="C282" i="1" l="1"/>
  <c r="C272" i="1"/>
  <c r="C255" i="1"/>
  <c r="C12" i="5" l="1"/>
  <c r="E8" i="4" l="1"/>
  <c r="E7" i="4"/>
  <c r="E9" i="4" l="1"/>
  <c r="C388" i="1" l="1"/>
  <c r="CC47" i="1" l="1"/>
  <c r="E77" i="1" l="1"/>
  <c r="AV74" i="1" l="1"/>
  <c r="AV73" i="1" l="1"/>
  <c r="CD70" i="1"/>
  <c r="CD69" i="1"/>
  <c r="CC68" i="1"/>
  <c r="CC66" i="1"/>
  <c r="CC65" i="1"/>
  <c r="CC64" i="1" l="1"/>
  <c r="CC63" i="1"/>
  <c r="CC61" i="1"/>
  <c r="CC51" i="1"/>
  <c r="BH51" i="1"/>
  <c r="B47" i="1"/>
  <c r="B48" i="1" s="1"/>
  <c r="B51" i="1" l="1"/>
  <c r="B52" i="1" s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E538" i="10"/>
  <c r="D538" i="10"/>
  <c r="B538" i="10"/>
  <c r="H538" i="10" s="1"/>
  <c r="E537" i="10"/>
  <c r="D537" i="10"/>
  <c r="B537" i="10"/>
  <c r="F537" i="10" s="1"/>
  <c r="E536" i="10"/>
  <c r="D536" i="10"/>
  <c r="B536" i="10"/>
  <c r="F536" i="10" s="1"/>
  <c r="E535" i="10"/>
  <c r="D535" i="10"/>
  <c r="B535" i="10"/>
  <c r="E534" i="10"/>
  <c r="D534" i="10"/>
  <c r="B534" i="10"/>
  <c r="H534" i="10" s="1"/>
  <c r="E533" i="10"/>
  <c r="D533" i="10"/>
  <c r="B533" i="10"/>
  <c r="F533" i="10" s="1"/>
  <c r="E532" i="10"/>
  <c r="D532" i="10"/>
  <c r="B532" i="10"/>
  <c r="F532" i="10" s="1"/>
  <c r="E531" i="10"/>
  <c r="D531" i="10"/>
  <c r="B531" i="10"/>
  <c r="H531" i="10" s="1"/>
  <c r="E530" i="10"/>
  <c r="D530" i="10"/>
  <c r="B530" i="10"/>
  <c r="H530" i="10" s="1"/>
  <c r="E529" i="10"/>
  <c r="D529" i="10"/>
  <c r="B529" i="10"/>
  <c r="E528" i="10"/>
  <c r="D528" i="10"/>
  <c r="B528" i="10"/>
  <c r="F528" i="10" s="1"/>
  <c r="E527" i="10"/>
  <c r="D527" i="10"/>
  <c r="B527" i="10"/>
  <c r="H527" i="10" s="1"/>
  <c r="E526" i="10"/>
  <c r="D526" i="10"/>
  <c r="B526" i="10"/>
  <c r="E525" i="10"/>
  <c r="D525" i="10"/>
  <c r="B525" i="10"/>
  <c r="E524" i="10"/>
  <c r="D524" i="10"/>
  <c r="B524" i="10"/>
  <c r="E523" i="10"/>
  <c r="D523" i="10"/>
  <c r="B523" i="10"/>
  <c r="E522" i="10"/>
  <c r="D522" i="10"/>
  <c r="B522" i="10"/>
  <c r="B521" i="10"/>
  <c r="F521" i="10" s="1"/>
  <c r="E520" i="10"/>
  <c r="D520" i="10"/>
  <c r="B520" i="10"/>
  <c r="E519" i="10"/>
  <c r="D519" i="10"/>
  <c r="B519" i="10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F515" i="10" s="1"/>
  <c r="E514" i="10"/>
  <c r="D514" i="10"/>
  <c r="B514" i="10"/>
  <c r="B513" i="10"/>
  <c r="F513" i="10" s="1"/>
  <c r="B512" i="10"/>
  <c r="F512" i="10" s="1"/>
  <c r="E511" i="10"/>
  <c r="D511" i="10"/>
  <c r="B511" i="10"/>
  <c r="E510" i="10"/>
  <c r="D510" i="10"/>
  <c r="B510" i="10"/>
  <c r="E509" i="10"/>
  <c r="D509" i="10"/>
  <c r="B509" i="10"/>
  <c r="E508" i="10"/>
  <c r="D508" i="10"/>
  <c r="B508" i="10"/>
  <c r="H508" i="10" s="1"/>
  <c r="E507" i="10"/>
  <c r="D507" i="10"/>
  <c r="B507" i="10"/>
  <c r="E506" i="10"/>
  <c r="D506" i="10"/>
  <c r="B506" i="10"/>
  <c r="F506" i="10" s="1"/>
  <c r="E505" i="10"/>
  <c r="D505" i="10"/>
  <c r="B505" i="10"/>
  <c r="H505" i="10" s="1"/>
  <c r="E504" i="10"/>
  <c r="D504" i="10"/>
  <c r="B504" i="10"/>
  <c r="E503" i="10"/>
  <c r="D503" i="10"/>
  <c r="B503" i="10"/>
  <c r="F503" i="10" s="1"/>
  <c r="E502" i="10"/>
  <c r="D502" i="10"/>
  <c r="B502" i="10"/>
  <c r="F502" i="10" s="1"/>
  <c r="E501" i="10"/>
  <c r="D501" i="10"/>
  <c r="B501" i="10"/>
  <c r="H501" i="10" s="1"/>
  <c r="E500" i="10"/>
  <c r="D500" i="10"/>
  <c r="B500" i="10"/>
  <c r="H500" i="10" s="1"/>
  <c r="E499" i="10"/>
  <c r="D499" i="10"/>
  <c r="B499" i="10"/>
  <c r="F499" i="10" s="1"/>
  <c r="E498" i="10"/>
  <c r="D498" i="10"/>
  <c r="B498" i="10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C459" i="10"/>
  <c r="B459" i="10"/>
  <c r="B455" i="10"/>
  <c r="B454" i="10"/>
  <c r="B453" i="10"/>
  <c r="C439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5" i="10"/>
  <c r="C392" i="10"/>
  <c r="D329" i="10"/>
  <c r="D328" i="10"/>
  <c r="D319" i="10"/>
  <c r="D314" i="10"/>
  <c r="D290" i="10"/>
  <c r="D283" i="10"/>
  <c r="D275" i="10"/>
  <c r="D265" i="10"/>
  <c r="C255" i="10"/>
  <c r="D260" i="10" s="1"/>
  <c r="C239" i="10"/>
  <c r="D240" i="10" s="1"/>
  <c r="D236" i="10"/>
  <c r="B446" i="10" s="1"/>
  <c r="D229" i="10"/>
  <c r="C364" i="10" s="1"/>
  <c r="C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C184" i="10"/>
  <c r="D186" i="10" s="1"/>
  <c r="D436" i="10" s="1"/>
  <c r="C180" i="10"/>
  <c r="C179" i="10"/>
  <c r="C176" i="10"/>
  <c r="C175" i="10"/>
  <c r="C171" i="10"/>
  <c r="D173" i="10" s="1"/>
  <c r="C379" i="10" s="1"/>
  <c r="B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C142" i="10"/>
  <c r="D141" i="10"/>
  <c r="C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D612" i="10" s="1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AV74" i="10"/>
  <c r="CE74" i="10" s="1"/>
  <c r="C464" i="10" s="1"/>
  <c r="AV73" i="10"/>
  <c r="CE70" i="10"/>
  <c r="C458" i="10" s="1"/>
  <c r="CD69" i="10"/>
  <c r="CE68" i="10"/>
  <c r="C385" i="10" s="1"/>
  <c r="B434" i="10" s="1"/>
  <c r="CE66" i="10"/>
  <c r="C383" i="10" s="1"/>
  <c r="B432" i="10" s="1"/>
  <c r="CC65" i="10"/>
  <c r="CE65" i="10" s="1"/>
  <c r="CC64" i="10"/>
  <c r="CE64" i="10" s="1"/>
  <c r="CC63" i="10"/>
  <c r="CE63" i="10" s="1"/>
  <c r="CE61" i="10"/>
  <c r="C378" i="10" s="1"/>
  <c r="B427" i="10" s="1"/>
  <c r="CE60" i="10"/>
  <c r="H612" i="10" s="1"/>
  <c r="CC51" i="10"/>
  <c r="B51" i="10" s="1"/>
  <c r="B52" i="10" s="1"/>
  <c r="CC47" i="10"/>
  <c r="B47" i="10" s="1"/>
  <c r="F545" i="10" l="1"/>
  <c r="F507" i="10"/>
  <c r="F514" i="10"/>
  <c r="F522" i="10"/>
  <c r="F496" i="10"/>
  <c r="F525" i="10"/>
  <c r="F520" i="10"/>
  <c r="F526" i="10"/>
  <c r="F516" i="10"/>
  <c r="E142" i="10"/>
  <c r="C360" i="10" s="1"/>
  <c r="B464" i="10" s="1"/>
  <c r="F508" i="10"/>
  <c r="F504" i="10"/>
  <c r="H506" i="10"/>
  <c r="F530" i="10"/>
  <c r="H540" i="10"/>
  <c r="H528" i="10"/>
  <c r="H533" i="10"/>
  <c r="H502" i="10"/>
  <c r="F510" i="10"/>
  <c r="CF76" i="10"/>
  <c r="BX52" i="10" s="1"/>
  <c r="BX67" i="10" s="1"/>
  <c r="E217" i="10"/>
  <c r="C478" i="10" s="1"/>
  <c r="C365" i="10"/>
  <c r="C446" i="10" s="1"/>
  <c r="H499" i="10"/>
  <c r="CF77" i="10"/>
  <c r="C432" i="10"/>
  <c r="F498" i="10"/>
  <c r="H536" i="10"/>
  <c r="F538" i="10"/>
  <c r="B48" i="10"/>
  <c r="BY48" i="10" s="1"/>
  <c r="BY62" i="10" s="1"/>
  <c r="E141" i="10"/>
  <c r="C359" i="10" s="1"/>
  <c r="B463" i="10" s="1"/>
  <c r="D177" i="10"/>
  <c r="D434" i="10" s="1"/>
  <c r="F500" i="10"/>
  <c r="H515" i="10"/>
  <c r="F518" i="10"/>
  <c r="H532" i="10"/>
  <c r="F534" i="10"/>
  <c r="D181" i="10"/>
  <c r="D435" i="10" s="1"/>
  <c r="D330" i="10"/>
  <c r="D339" i="10" s="1"/>
  <c r="C482" i="10" s="1"/>
  <c r="H503" i="10"/>
  <c r="F529" i="10"/>
  <c r="H537" i="10"/>
  <c r="C429" i="10"/>
  <c r="C380" i="10"/>
  <c r="B429" i="10" s="1"/>
  <c r="C387" i="10"/>
  <c r="B436" i="10" s="1"/>
  <c r="F612" i="10"/>
  <c r="C381" i="10"/>
  <c r="B430" i="10" s="1"/>
  <c r="C430" i="10"/>
  <c r="C615" i="10"/>
  <c r="C438" i="10"/>
  <c r="CD71" i="10"/>
  <c r="C575" i="10" s="1"/>
  <c r="CE69" i="10"/>
  <c r="D242" i="10"/>
  <c r="B448" i="10" s="1"/>
  <c r="B476" i="10"/>
  <c r="D277" i="10"/>
  <c r="D292" i="10" s="1"/>
  <c r="D341" i="10" s="1"/>
  <c r="C481" i="10" s="1"/>
  <c r="B447" i="10"/>
  <c r="C366" i="10"/>
  <c r="C447" i="10" s="1"/>
  <c r="B53" i="10"/>
  <c r="C382" i="10"/>
  <c r="B431" i="10" s="1"/>
  <c r="C431" i="10"/>
  <c r="D428" i="10"/>
  <c r="CE47" i="10"/>
  <c r="CE51" i="10"/>
  <c r="AV75" i="10"/>
  <c r="CE75" i="10" s="1"/>
  <c r="CE73" i="10"/>
  <c r="C463" i="10" s="1"/>
  <c r="B445" i="10"/>
  <c r="C388" i="10"/>
  <c r="B437" i="10" s="1"/>
  <c r="F523" i="10"/>
  <c r="F527" i="10"/>
  <c r="F531" i="10"/>
  <c r="F535" i="10"/>
  <c r="F539" i="10"/>
  <c r="F544" i="10"/>
  <c r="F546" i="10"/>
  <c r="F550" i="10"/>
  <c r="E204" i="10"/>
  <c r="C476" i="10" s="1"/>
  <c r="C370" i="10"/>
  <c r="F497" i="10"/>
  <c r="F501" i="10"/>
  <c r="F505" i="10"/>
  <c r="F509" i="10"/>
  <c r="F511" i="10"/>
  <c r="F517" i="10"/>
  <c r="F519" i="10"/>
  <c r="C473" i="10"/>
  <c r="C363" i="10"/>
  <c r="C427" i="10"/>
  <c r="C434" i="10"/>
  <c r="F524" i="10"/>
  <c r="C48" i="10" l="1"/>
  <c r="C62" i="10" s="1"/>
  <c r="V52" i="10"/>
  <c r="V67" i="10" s="1"/>
  <c r="AK52" i="10"/>
  <c r="AK67" i="10" s="1"/>
  <c r="AN52" i="10"/>
  <c r="AN67" i="10" s="1"/>
  <c r="X48" i="10"/>
  <c r="X62" i="10" s="1"/>
  <c r="BS52" i="10"/>
  <c r="BS67" i="10" s="1"/>
  <c r="AE52" i="10"/>
  <c r="AE67" i="10" s="1"/>
  <c r="AP52" i="10"/>
  <c r="AP67" i="10" s="1"/>
  <c r="CA48" i="10"/>
  <c r="CA62" i="10" s="1"/>
  <c r="AN48" i="10"/>
  <c r="AN62" i="10" s="1"/>
  <c r="P48" i="10"/>
  <c r="P62" i="10" s="1"/>
  <c r="AF48" i="10"/>
  <c r="AF62" i="10" s="1"/>
  <c r="BN48" i="10"/>
  <c r="BN62" i="10" s="1"/>
  <c r="AO48" i="10"/>
  <c r="AO62" i="10" s="1"/>
  <c r="Y48" i="10"/>
  <c r="Y62" i="10" s="1"/>
  <c r="AG48" i="10"/>
  <c r="AG62" i="10" s="1"/>
  <c r="AP48" i="10"/>
  <c r="AP62" i="10" s="1"/>
  <c r="BU48" i="10"/>
  <c r="BU62" i="10" s="1"/>
  <c r="R48" i="10"/>
  <c r="R62" i="10" s="1"/>
  <c r="AW48" i="10"/>
  <c r="AW62" i="10" s="1"/>
  <c r="BP48" i="10"/>
  <c r="BP62" i="10" s="1"/>
  <c r="AS48" i="10"/>
  <c r="AS62" i="10" s="1"/>
  <c r="BL48" i="10"/>
  <c r="BL62" i="10" s="1"/>
  <c r="S48" i="10"/>
  <c r="S62" i="10" s="1"/>
  <c r="BJ48" i="10"/>
  <c r="BJ62" i="10" s="1"/>
  <c r="CB48" i="10"/>
  <c r="CB62" i="10" s="1"/>
  <c r="F48" i="10"/>
  <c r="F62" i="10" s="1"/>
  <c r="BW48" i="10"/>
  <c r="BW62" i="10" s="1"/>
  <c r="I48" i="10"/>
  <c r="I62" i="10" s="1"/>
  <c r="AB48" i="10"/>
  <c r="AB62" i="10" s="1"/>
  <c r="D48" i="10"/>
  <c r="D62" i="10" s="1"/>
  <c r="AT48" i="10"/>
  <c r="AT62" i="10" s="1"/>
  <c r="U48" i="10"/>
  <c r="U62" i="10" s="1"/>
  <c r="AJ48" i="10"/>
  <c r="AJ62" i="10" s="1"/>
  <c r="L48" i="10"/>
  <c r="L62" i="10" s="1"/>
  <c r="BM48" i="10"/>
  <c r="BM62" i="10" s="1"/>
  <c r="T48" i="10"/>
  <c r="T62" i="10" s="1"/>
  <c r="O48" i="10"/>
  <c r="O62" i="10" s="1"/>
  <c r="AH48" i="10"/>
  <c r="AH62" i="10" s="1"/>
  <c r="AL48" i="10"/>
  <c r="AL62" i="10" s="1"/>
  <c r="BG48" i="10"/>
  <c r="BG62" i="10" s="1"/>
  <c r="BC48" i="10"/>
  <c r="BC62" i="10" s="1"/>
  <c r="BE48" i="10"/>
  <c r="BE62" i="10" s="1"/>
  <c r="Q48" i="10"/>
  <c r="Q62" i="10" s="1"/>
  <c r="BH48" i="10"/>
  <c r="BH62" i="10" s="1"/>
  <c r="CC48" i="10"/>
  <c r="CC62" i="10" s="1"/>
  <c r="BV48" i="10"/>
  <c r="BV62" i="10" s="1"/>
  <c r="BA48" i="10"/>
  <c r="BA62" i="10" s="1"/>
  <c r="M48" i="10"/>
  <c r="M62" i="10" s="1"/>
  <c r="AZ48" i="10"/>
  <c r="AZ62" i="10" s="1"/>
  <c r="BS48" i="10"/>
  <c r="BS62" i="10" s="1"/>
  <c r="AX48" i="10"/>
  <c r="AX62" i="10" s="1"/>
  <c r="BT48" i="10"/>
  <c r="BT62" i="10" s="1"/>
  <c r="BF48" i="10"/>
  <c r="BF62" i="10" s="1"/>
  <c r="BZ48" i="10"/>
  <c r="BZ62" i="10" s="1"/>
  <c r="X52" i="10"/>
  <c r="X67" i="10" s="1"/>
  <c r="H52" i="10"/>
  <c r="H67" i="10" s="1"/>
  <c r="AH52" i="10"/>
  <c r="AH67" i="10" s="1"/>
  <c r="AM52" i="10"/>
  <c r="AM67" i="10" s="1"/>
  <c r="E52" i="10"/>
  <c r="E67" i="10" s="1"/>
  <c r="AW52" i="10"/>
  <c r="AW67" i="10" s="1"/>
  <c r="BF52" i="10"/>
  <c r="BF67" i="10" s="1"/>
  <c r="BW52" i="10"/>
  <c r="BW67" i="10" s="1"/>
  <c r="BT52" i="10"/>
  <c r="BT67" i="10" s="1"/>
  <c r="BB52" i="10"/>
  <c r="BB67" i="10" s="1"/>
  <c r="G52" i="10"/>
  <c r="G67" i="10" s="1"/>
  <c r="AY52" i="10"/>
  <c r="AY67" i="10" s="1"/>
  <c r="Q52" i="10"/>
  <c r="Q67" i="10" s="1"/>
  <c r="BE52" i="10"/>
  <c r="BE67" i="10" s="1"/>
  <c r="BL52" i="10"/>
  <c r="BL67" i="10" s="1"/>
  <c r="AT52" i="10"/>
  <c r="AT67" i="10" s="1"/>
  <c r="K52" i="10"/>
  <c r="K67" i="10" s="1"/>
  <c r="BG52" i="10"/>
  <c r="BG67" i="10" s="1"/>
  <c r="U52" i="10"/>
  <c r="U67" i="10" s="1"/>
  <c r="BQ52" i="10"/>
  <c r="BQ67" i="10" s="1"/>
  <c r="D464" i="10"/>
  <c r="M52" i="10"/>
  <c r="M67" i="10" s="1"/>
  <c r="BD52" i="10"/>
  <c r="BD67" i="10" s="1"/>
  <c r="AL52" i="10"/>
  <c r="AL67" i="10" s="1"/>
  <c r="S52" i="10"/>
  <c r="S67" i="10" s="1"/>
  <c r="BK52" i="10"/>
  <c r="BK67" i="10" s="1"/>
  <c r="Y52" i="10"/>
  <c r="Y67" i="10" s="1"/>
  <c r="BY52" i="10"/>
  <c r="BY67" i="10" s="1"/>
  <c r="BY71" i="10" s="1"/>
  <c r="C645" i="10" s="1"/>
  <c r="R52" i="10"/>
  <c r="R67" i="10" s="1"/>
  <c r="AI52" i="10"/>
  <c r="AI67" i="10" s="1"/>
  <c r="AS52" i="10"/>
  <c r="AS67" i="10" s="1"/>
  <c r="BR52" i="10"/>
  <c r="BR67" i="10" s="1"/>
  <c r="C52" i="10"/>
  <c r="C67" i="10" s="1"/>
  <c r="AQ52" i="10"/>
  <c r="AQ67" i="10" s="1"/>
  <c r="BA52" i="10"/>
  <c r="BA67" i="10" s="1"/>
  <c r="AV52" i="10"/>
  <c r="AV67" i="10" s="1"/>
  <c r="BV52" i="10"/>
  <c r="BV67" i="10" s="1"/>
  <c r="AD52" i="10"/>
  <c r="AD67" i="10" s="1"/>
  <c r="AA52" i="10"/>
  <c r="AA67" i="10" s="1"/>
  <c r="BO52" i="10"/>
  <c r="BO67" i="10" s="1"/>
  <c r="AC52" i="10"/>
  <c r="AC67" i="10" s="1"/>
  <c r="CC52" i="10"/>
  <c r="CC67" i="10" s="1"/>
  <c r="BH52" i="10"/>
  <c r="BH67" i="10" s="1"/>
  <c r="AZ52" i="10"/>
  <c r="AZ67" i="10" s="1"/>
  <c r="AR52" i="10"/>
  <c r="AR67" i="10" s="1"/>
  <c r="AJ52" i="10"/>
  <c r="AJ67" i="10" s="1"/>
  <c r="BI52" i="10"/>
  <c r="BI67" i="10" s="1"/>
  <c r="AB52" i="10"/>
  <c r="AB67" i="10" s="1"/>
  <c r="AY48" i="10"/>
  <c r="AY62" i="10" s="1"/>
  <c r="N48" i="10"/>
  <c r="N62" i="10" s="1"/>
  <c r="AQ48" i="10"/>
  <c r="AQ62" i="10" s="1"/>
  <c r="AF52" i="10"/>
  <c r="AF67" i="10" s="1"/>
  <c r="BQ48" i="10"/>
  <c r="BQ62" i="10" s="1"/>
  <c r="AK48" i="10"/>
  <c r="AK62" i="10" s="1"/>
  <c r="E48" i="10"/>
  <c r="E62" i="10" s="1"/>
  <c r="BD48" i="10"/>
  <c r="BD62" i="10" s="1"/>
  <c r="H48" i="10"/>
  <c r="H62" i="10" s="1"/>
  <c r="BB48" i="10"/>
  <c r="BB62" i="10" s="1"/>
  <c r="BZ52" i="10"/>
  <c r="BZ67" i="10" s="1"/>
  <c r="F52" i="10"/>
  <c r="F67" i="10" s="1"/>
  <c r="F71" i="10" s="1"/>
  <c r="G48" i="10"/>
  <c r="G62" i="10" s="1"/>
  <c r="O52" i="10"/>
  <c r="O67" i="10" s="1"/>
  <c r="AU52" i="10"/>
  <c r="AU67" i="10" s="1"/>
  <c r="CA52" i="10"/>
  <c r="CA67" i="10" s="1"/>
  <c r="AG52" i="10"/>
  <c r="AG67" i="10" s="1"/>
  <c r="BM52" i="10"/>
  <c r="BM67" i="10" s="1"/>
  <c r="V48" i="10"/>
  <c r="V62" i="10" s="1"/>
  <c r="T52" i="10"/>
  <c r="T67" i="10" s="1"/>
  <c r="AM48" i="10"/>
  <c r="AM62" i="10" s="1"/>
  <c r="AX52" i="10"/>
  <c r="AX67" i="10" s="1"/>
  <c r="J48" i="10"/>
  <c r="J62" i="10" s="1"/>
  <c r="C386" i="10"/>
  <c r="C389" i="10" s="1"/>
  <c r="B439" i="10" s="1"/>
  <c r="L52" i="10"/>
  <c r="L67" i="10" s="1"/>
  <c r="AI48" i="10"/>
  <c r="AI62" i="10" s="1"/>
  <c r="Z52" i="10"/>
  <c r="Z67" i="10" s="1"/>
  <c r="B49" i="10"/>
  <c r="CB52" i="10"/>
  <c r="CB67" i="10" s="1"/>
  <c r="P52" i="10"/>
  <c r="P67" i="10" s="1"/>
  <c r="BI48" i="10"/>
  <c r="BI62" i="10" s="1"/>
  <c r="AC48" i="10"/>
  <c r="AC62" i="10" s="1"/>
  <c r="N52" i="10"/>
  <c r="N67" i="10" s="1"/>
  <c r="AR48" i="10"/>
  <c r="AR62" i="10" s="1"/>
  <c r="BN52" i="10"/>
  <c r="BN67" i="10" s="1"/>
  <c r="AD48" i="10"/>
  <c r="AD62" i="10" s="1"/>
  <c r="BJ52" i="10"/>
  <c r="BJ67" i="10" s="1"/>
  <c r="AV48" i="10"/>
  <c r="AV62" i="10" s="1"/>
  <c r="W52" i="10"/>
  <c r="W67" i="10" s="1"/>
  <c r="BC52" i="10"/>
  <c r="BC67" i="10" s="1"/>
  <c r="I52" i="10"/>
  <c r="I67" i="10" s="1"/>
  <c r="AO52" i="10"/>
  <c r="AO67" i="10" s="1"/>
  <c r="BU52" i="10"/>
  <c r="BU67" i="10" s="1"/>
  <c r="BU71" i="10" s="1"/>
  <c r="BR48" i="10"/>
  <c r="BR62" i="10" s="1"/>
  <c r="D438" i="10"/>
  <c r="BP52" i="10"/>
  <c r="BP67" i="10" s="1"/>
  <c r="D52" i="10"/>
  <c r="D67" i="10" s="1"/>
  <c r="W48" i="10"/>
  <c r="W62" i="10" s="1"/>
  <c r="J52" i="10"/>
  <c r="J67" i="10" s="1"/>
  <c r="D463" i="10"/>
  <c r="Z48" i="10"/>
  <c r="Z62" i="10" s="1"/>
  <c r="BO48" i="10"/>
  <c r="BO62" i="10" s="1"/>
  <c r="AE48" i="10"/>
  <c r="AE62" i="10" s="1"/>
  <c r="BK48" i="10"/>
  <c r="BK62" i="10" s="1"/>
  <c r="AA48" i="10"/>
  <c r="AA62" i="10" s="1"/>
  <c r="D361" i="10"/>
  <c r="B465" i="10" s="1"/>
  <c r="AU48" i="10"/>
  <c r="AU62" i="10" s="1"/>
  <c r="K48" i="10"/>
  <c r="K62" i="10" s="1"/>
  <c r="BX48" i="10"/>
  <c r="BX62" i="10" s="1"/>
  <c r="BX71" i="10" s="1"/>
  <c r="C644" i="10" s="1"/>
  <c r="K612" i="10"/>
  <c r="C465" i="10"/>
  <c r="C440" i="10"/>
  <c r="C444" i="10"/>
  <c r="D367" i="10"/>
  <c r="C448" i="10" s="1"/>
  <c r="B458" i="10"/>
  <c r="D372" i="10"/>
  <c r="BP71" i="10" l="1"/>
  <c r="C561" i="10" s="1"/>
  <c r="BI71" i="10"/>
  <c r="C554" i="10" s="1"/>
  <c r="BG71" i="10"/>
  <c r="C552" i="10" s="1"/>
  <c r="V71" i="10"/>
  <c r="C687" i="10" s="1"/>
  <c r="AS71" i="10"/>
  <c r="C710" i="10" s="1"/>
  <c r="AG71" i="10"/>
  <c r="C698" i="10" s="1"/>
  <c r="S71" i="10"/>
  <c r="C512" i="10" s="1"/>
  <c r="Q71" i="10"/>
  <c r="C510" i="10" s="1"/>
  <c r="G510" i="10" s="1"/>
  <c r="H510" i="10" s="1"/>
  <c r="AK71" i="10"/>
  <c r="C702" i="10" s="1"/>
  <c r="AN71" i="10"/>
  <c r="C533" i="10" s="1"/>
  <c r="G533" i="10" s="1"/>
  <c r="BS71" i="10"/>
  <c r="C564" i="10" s="1"/>
  <c r="X71" i="10"/>
  <c r="C689" i="10" s="1"/>
  <c r="AE71" i="10"/>
  <c r="C696" i="10" s="1"/>
  <c r="AP71" i="10"/>
  <c r="C707" i="10" s="1"/>
  <c r="P71" i="10"/>
  <c r="C681" i="10" s="1"/>
  <c r="AF71" i="10"/>
  <c r="C697" i="10" s="1"/>
  <c r="Y71" i="10"/>
  <c r="C690" i="10" s="1"/>
  <c r="BC71" i="10"/>
  <c r="C633" i="10" s="1"/>
  <c r="CA71" i="10"/>
  <c r="C572" i="10" s="1"/>
  <c r="AJ71" i="10"/>
  <c r="C529" i="10" s="1"/>
  <c r="M71" i="10"/>
  <c r="C678" i="10" s="1"/>
  <c r="AA71" i="10"/>
  <c r="C692" i="10" s="1"/>
  <c r="BJ71" i="10"/>
  <c r="C617" i="10" s="1"/>
  <c r="CB71" i="10"/>
  <c r="C573" i="10" s="1"/>
  <c r="AZ71" i="10"/>
  <c r="C628" i="10" s="1"/>
  <c r="AW71" i="10"/>
  <c r="C542" i="10" s="1"/>
  <c r="BN71" i="10"/>
  <c r="C619" i="10" s="1"/>
  <c r="AO71" i="10"/>
  <c r="C706" i="10" s="1"/>
  <c r="T71" i="10"/>
  <c r="C513" i="10" s="1"/>
  <c r="G513" i="10" s="1"/>
  <c r="H513" i="10" s="1"/>
  <c r="I71" i="10"/>
  <c r="C502" i="10" s="1"/>
  <c r="G502" i="10" s="1"/>
  <c r="R71" i="10"/>
  <c r="C683" i="10" s="1"/>
  <c r="AB71" i="10"/>
  <c r="C521" i="10" s="1"/>
  <c r="G521" i="10" s="1"/>
  <c r="H521" i="10" s="1"/>
  <c r="BW71" i="10"/>
  <c r="C643" i="10" s="1"/>
  <c r="AH71" i="10"/>
  <c r="C699" i="10" s="1"/>
  <c r="AT71" i="10"/>
  <c r="C711" i="10" s="1"/>
  <c r="BL71" i="10"/>
  <c r="C557" i="10" s="1"/>
  <c r="CC71" i="10"/>
  <c r="C620" i="10" s="1"/>
  <c r="AL71" i="10"/>
  <c r="C703" i="10" s="1"/>
  <c r="U71" i="10"/>
  <c r="C686" i="10" s="1"/>
  <c r="BF71" i="10"/>
  <c r="C551" i="10" s="1"/>
  <c r="O71" i="10"/>
  <c r="C508" i="10" s="1"/>
  <c r="G508" i="10" s="1"/>
  <c r="D71" i="10"/>
  <c r="C669" i="10" s="1"/>
  <c r="BE71" i="10"/>
  <c r="C614" i="10" s="1"/>
  <c r="D615" i="10" s="1"/>
  <c r="BM71" i="10"/>
  <c r="C638" i="10" s="1"/>
  <c r="L71" i="10"/>
  <c r="C677" i="10" s="1"/>
  <c r="BT71" i="10"/>
  <c r="C565" i="10" s="1"/>
  <c r="BV71" i="10"/>
  <c r="C642" i="10" s="1"/>
  <c r="BH71" i="10"/>
  <c r="C553" i="10" s="1"/>
  <c r="BA71" i="10"/>
  <c r="C630" i="10" s="1"/>
  <c r="BZ71" i="10"/>
  <c r="C646" i="10" s="1"/>
  <c r="BR71" i="10"/>
  <c r="C563" i="10" s="1"/>
  <c r="B435" i="10"/>
  <c r="AY71" i="10"/>
  <c r="C544" i="10" s="1"/>
  <c r="AX71" i="10"/>
  <c r="C543" i="10" s="1"/>
  <c r="AU71" i="10"/>
  <c r="C712" i="10" s="1"/>
  <c r="G71" i="10"/>
  <c r="C500" i="10" s="1"/>
  <c r="G500" i="10" s="1"/>
  <c r="B438" i="10"/>
  <c r="B440" i="10" s="1"/>
  <c r="K71" i="10"/>
  <c r="C504" i="10" s="1"/>
  <c r="C570" i="10"/>
  <c r="AM71" i="10"/>
  <c r="C704" i="10" s="1"/>
  <c r="D465" i="10"/>
  <c r="AC71" i="10"/>
  <c r="C694" i="10" s="1"/>
  <c r="AD71" i="10"/>
  <c r="C523" i="10" s="1"/>
  <c r="BD71" i="10"/>
  <c r="C549" i="10" s="1"/>
  <c r="AQ71" i="10"/>
  <c r="C708" i="10" s="1"/>
  <c r="N71" i="10"/>
  <c r="C507" i="10" s="1"/>
  <c r="AV71" i="10"/>
  <c r="C713" i="10" s="1"/>
  <c r="BO71" i="10"/>
  <c r="C627" i="10" s="1"/>
  <c r="BB71" i="10"/>
  <c r="C547" i="10" s="1"/>
  <c r="BK71" i="10"/>
  <c r="C635" i="10" s="1"/>
  <c r="H71" i="10"/>
  <c r="AI71" i="10"/>
  <c r="C700" i="10" s="1"/>
  <c r="E71" i="10"/>
  <c r="C670" i="10" s="1"/>
  <c r="AR71" i="10"/>
  <c r="C709" i="10" s="1"/>
  <c r="BQ71" i="10"/>
  <c r="Z71" i="10"/>
  <c r="C519" i="10" s="1"/>
  <c r="C569" i="10"/>
  <c r="W71" i="10"/>
  <c r="C688" i="10" s="1"/>
  <c r="C641" i="10"/>
  <c r="C566" i="10"/>
  <c r="C499" i="10"/>
  <c r="G499" i="10" s="1"/>
  <c r="C671" i="10"/>
  <c r="CE52" i="10"/>
  <c r="CE67" i="10"/>
  <c r="C384" i="10" s="1"/>
  <c r="J71" i="10"/>
  <c r="CE48" i="10"/>
  <c r="D368" i="10"/>
  <c r="D373" i="10" s="1"/>
  <c r="C71" i="10"/>
  <c r="CE62" i="10"/>
  <c r="C621" i="10" l="1"/>
  <c r="C634" i="10"/>
  <c r="C618" i="10"/>
  <c r="C538" i="10"/>
  <c r="G538" i="10" s="1"/>
  <c r="C515" i="10"/>
  <c r="G515" i="10" s="1"/>
  <c r="C682" i="10"/>
  <c r="C530" i="10"/>
  <c r="G530" i="10" s="1"/>
  <c r="C526" i="10"/>
  <c r="G526" i="10" s="1"/>
  <c r="H526" i="10" s="1"/>
  <c r="C684" i="10"/>
  <c r="C524" i="10"/>
  <c r="G524" i="10" s="1"/>
  <c r="H524" i="10" s="1"/>
  <c r="C705" i="10"/>
  <c r="C535" i="10"/>
  <c r="G535" i="10" s="1"/>
  <c r="H535" i="10" s="1"/>
  <c r="C647" i="10"/>
  <c r="C517" i="10"/>
  <c r="G517" i="10" s="1"/>
  <c r="H517" i="10" s="1"/>
  <c r="C639" i="10"/>
  <c r="C631" i="10"/>
  <c r="C548" i="10"/>
  <c r="C518" i="10"/>
  <c r="G518" i="10" s="1"/>
  <c r="H518" i="10" s="1"/>
  <c r="C525" i="10"/>
  <c r="G525" i="10" s="1"/>
  <c r="H525" i="10" s="1"/>
  <c r="C509" i="10"/>
  <c r="G509" i="10" s="1"/>
  <c r="H509" i="10" s="1"/>
  <c r="C637" i="10"/>
  <c r="C559" i="10"/>
  <c r="C506" i="10"/>
  <c r="G506" i="10" s="1"/>
  <c r="C701" i="10"/>
  <c r="C625" i="10"/>
  <c r="C685" i="10"/>
  <c r="C534" i="10"/>
  <c r="G534" i="10" s="1"/>
  <c r="C555" i="10"/>
  <c r="C520" i="10"/>
  <c r="G520" i="10" s="1"/>
  <c r="H520" i="10" s="1"/>
  <c r="C514" i="10"/>
  <c r="G514" i="10" s="1"/>
  <c r="H514" i="10" s="1"/>
  <c r="C511" i="10"/>
  <c r="G511" i="10" s="1"/>
  <c r="H511" i="10" s="1"/>
  <c r="C622" i="10"/>
  <c r="C505" i="10"/>
  <c r="G505" i="10" s="1"/>
  <c r="C545" i="10"/>
  <c r="G545" i="10" s="1"/>
  <c r="H545" i="10" s="1"/>
  <c r="C674" i="10"/>
  <c r="C629" i="10"/>
  <c r="C693" i="10"/>
  <c r="C527" i="10"/>
  <c r="G527" i="10" s="1"/>
  <c r="C568" i="10"/>
  <c r="C531" i="10"/>
  <c r="G531" i="10" s="1"/>
  <c r="C676" i="10"/>
  <c r="C550" i="10"/>
  <c r="G550" i="10" s="1"/>
  <c r="H550" i="10" s="1"/>
  <c r="C497" i="10"/>
  <c r="G497" i="10" s="1"/>
  <c r="C539" i="10"/>
  <c r="G539" i="10" s="1"/>
  <c r="H539" i="10" s="1"/>
  <c r="C680" i="10"/>
  <c r="C574" i="10"/>
  <c r="C558" i="10"/>
  <c r="C532" i="10"/>
  <c r="G532" i="10" s="1"/>
  <c r="C695" i="10"/>
  <c r="C640" i="10"/>
  <c r="C546" i="10"/>
  <c r="G546" i="10" s="1"/>
  <c r="C541" i="10"/>
  <c r="C567" i="10"/>
  <c r="C636" i="10"/>
  <c r="C626" i="10"/>
  <c r="C522" i="10"/>
  <c r="G522" i="10" s="1"/>
  <c r="H522" i="10" s="1"/>
  <c r="C616" i="10"/>
  <c r="C571" i="10"/>
  <c r="C498" i="10"/>
  <c r="G498" i="10" s="1"/>
  <c r="H498" i="10" s="1"/>
  <c r="C672" i="10"/>
  <c r="C540" i="10"/>
  <c r="G540" i="10" s="1"/>
  <c r="C624" i="10"/>
  <c r="C556" i="10"/>
  <c r="C632" i="10"/>
  <c r="C679" i="10"/>
  <c r="C536" i="10"/>
  <c r="G536" i="10" s="1"/>
  <c r="G507" i="10"/>
  <c r="H507" i="10"/>
  <c r="C433" i="10"/>
  <c r="C560" i="10"/>
  <c r="C691" i="10"/>
  <c r="C528" i="10"/>
  <c r="G528" i="10" s="1"/>
  <c r="C673" i="10"/>
  <c r="C501" i="10"/>
  <c r="G501" i="10" s="1"/>
  <c r="C516" i="10"/>
  <c r="G516" i="10" s="1"/>
  <c r="H516" i="10" s="1"/>
  <c r="C562" i="10"/>
  <c r="C623" i="10"/>
  <c r="C537" i="10"/>
  <c r="G537" i="10" s="1"/>
  <c r="C675" i="10"/>
  <c r="C503" i="10"/>
  <c r="G503" i="10" s="1"/>
  <c r="G529" i="10"/>
  <c r="H529" i="10" s="1"/>
  <c r="C428" i="10"/>
  <c r="CE71" i="10"/>
  <c r="C716" i="10" s="1"/>
  <c r="G512" i="10"/>
  <c r="H512" i="10" s="1"/>
  <c r="D712" i="10"/>
  <c r="D708" i="10"/>
  <c r="D704" i="10"/>
  <c r="D700" i="10"/>
  <c r="D696" i="10"/>
  <c r="D692" i="10"/>
  <c r="D688" i="10"/>
  <c r="D707" i="10"/>
  <c r="D706" i="10"/>
  <c r="D705" i="10"/>
  <c r="D691" i="10"/>
  <c r="D690" i="10"/>
  <c r="D689" i="10"/>
  <c r="D684" i="10"/>
  <c r="D680" i="10"/>
  <c r="D703" i="10"/>
  <c r="D702" i="10"/>
  <c r="D701" i="10"/>
  <c r="D687" i="10"/>
  <c r="D686" i="10"/>
  <c r="D685" i="10"/>
  <c r="D681" i="10"/>
  <c r="D711" i="10"/>
  <c r="D710" i="10"/>
  <c r="D709" i="10"/>
  <c r="D679" i="10"/>
  <c r="D677" i="10"/>
  <c r="D673" i="10"/>
  <c r="D669" i="10"/>
  <c r="D699" i="10"/>
  <c r="D698" i="10"/>
  <c r="D697" i="10"/>
  <c r="D678" i="10"/>
  <c r="D674" i="10"/>
  <c r="D670" i="10"/>
  <c r="D647" i="10"/>
  <c r="D646" i="10"/>
  <c r="D645" i="10"/>
  <c r="D694" i="10"/>
  <c r="D683" i="10"/>
  <c r="D675" i="10"/>
  <c r="D644" i="10"/>
  <c r="D643" i="10"/>
  <c r="D642" i="10"/>
  <c r="D641" i="10"/>
  <c r="D629" i="10"/>
  <c r="D626" i="10"/>
  <c r="D623" i="10"/>
  <c r="D621" i="10"/>
  <c r="D619" i="10"/>
  <c r="D617" i="10"/>
  <c r="D716" i="10"/>
  <c r="D713" i="10"/>
  <c r="D672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5" i="10"/>
  <c r="D693" i="10"/>
  <c r="D620" i="10"/>
  <c r="D616" i="10"/>
  <c r="D676" i="10"/>
  <c r="D627" i="10"/>
  <c r="D671" i="10"/>
  <c r="D628" i="10"/>
  <c r="D622" i="10"/>
  <c r="D618" i="10"/>
  <c r="D682" i="10"/>
  <c r="D668" i="10"/>
  <c r="C668" i="10"/>
  <c r="C496" i="10"/>
  <c r="G519" i="10"/>
  <c r="H519" i="10" s="1"/>
  <c r="G544" i="10"/>
  <c r="H544" i="10" s="1"/>
  <c r="G504" i="10"/>
  <c r="H504" i="10" s="1"/>
  <c r="G523" i="10"/>
  <c r="H523" i="10" s="1"/>
  <c r="B433" i="10"/>
  <c r="D390" i="10"/>
  <c r="B441" i="10" s="1"/>
  <c r="H546" i="10" l="1"/>
  <c r="C648" i="10"/>
  <c r="M716" i="10" s="1"/>
  <c r="C441" i="10"/>
  <c r="C715" i="10"/>
  <c r="E623" i="10"/>
  <c r="E716" i="10" s="1"/>
  <c r="E612" i="10"/>
  <c r="G496" i="10"/>
  <c r="H496" i="10" s="1"/>
  <c r="D391" i="10"/>
  <c r="D393" i="10" s="1"/>
  <c r="D396" i="10" s="1"/>
  <c r="D715" i="10"/>
  <c r="E689" i="10" l="1"/>
  <c r="E675" i="10"/>
  <c r="E691" i="10"/>
  <c r="E703" i="10"/>
  <c r="E693" i="10"/>
  <c r="E627" i="10"/>
  <c r="E694" i="10"/>
  <c r="E628" i="10"/>
  <c r="E631" i="10"/>
  <c r="E697" i="10"/>
  <c r="E680" i="10"/>
  <c r="E690" i="10"/>
  <c r="E632" i="10"/>
  <c r="E645" i="10"/>
  <c r="E705" i="10"/>
  <c r="E673" i="10"/>
  <c r="E640" i="10"/>
  <c r="E684" i="10"/>
  <c r="E679" i="10"/>
  <c r="E634" i="10"/>
  <c r="E646" i="10"/>
  <c r="E712" i="10"/>
  <c r="E672" i="10"/>
  <c r="E682" i="10"/>
  <c r="E708" i="10"/>
  <c r="E701" i="10"/>
  <c r="E625" i="10"/>
  <c r="E641" i="10"/>
  <c r="E698" i="10"/>
  <c r="E633" i="10"/>
  <c r="E683" i="10"/>
  <c r="E699" i="10"/>
  <c r="E669" i="10"/>
  <c r="E636" i="10"/>
  <c r="E643" i="10"/>
  <c r="E647" i="10"/>
  <c r="E709" i="10"/>
  <c r="E629" i="10"/>
  <c r="E711" i="10"/>
  <c r="E637" i="10"/>
  <c r="E644" i="10"/>
  <c r="E670" i="10"/>
  <c r="E686" i="10"/>
  <c r="E710" i="10"/>
  <c r="E624" i="10"/>
  <c r="F624" i="10" s="1"/>
  <c r="E639" i="10"/>
  <c r="E671" i="10"/>
  <c r="E674" i="10"/>
  <c r="E687" i="10"/>
  <c r="E688" i="10"/>
  <c r="E668" i="10"/>
  <c r="E677" i="10"/>
  <c r="E635" i="10"/>
  <c r="E692" i="10"/>
  <c r="E695" i="10"/>
  <c r="E678" i="10"/>
  <c r="E702" i="10"/>
  <c r="E700" i="10"/>
  <c r="E704" i="10"/>
  <c r="E713" i="10"/>
  <c r="E706" i="10"/>
  <c r="E685" i="10"/>
  <c r="E626" i="10"/>
  <c r="E676" i="10"/>
  <c r="E630" i="10"/>
  <c r="E638" i="10"/>
  <c r="E642" i="10"/>
  <c r="E696" i="10"/>
  <c r="E707" i="10"/>
  <c r="E681" i="10"/>
  <c r="E715" i="10" l="1"/>
  <c r="F710" i="10"/>
  <c r="F706" i="10"/>
  <c r="F702" i="10"/>
  <c r="F698" i="10"/>
  <c r="F694" i="10"/>
  <c r="F690" i="10"/>
  <c r="F686" i="10"/>
  <c r="F716" i="10"/>
  <c r="F701" i="10"/>
  <c r="F700" i="10"/>
  <c r="F699" i="10"/>
  <c r="F685" i="10"/>
  <c r="F682" i="10"/>
  <c r="F678" i="10"/>
  <c r="F713" i="10"/>
  <c r="F712" i="10"/>
  <c r="F711" i="10"/>
  <c r="F697" i="10"/>
  <c r="F696" i="10"/>
  <c r="F695" i="10"/>
  <c r="F683" i="10"/>
  <c r="F679" i="10"/>
  <c r="F705" i="10"/>
  <c r="F704" i="10"/>
  <c r="F703" i="10"/>
  <c r="F681" i="10"/>
  <c r="F675" i="10"/>
  <c r="F671" i="10"/>
  <c r="F644" i="10"/>
  <c r="F643" i="10"/>
  <c r="F642" i="10"/>
  <c r="F641" i="10"/>
  <c r="F640" i="10"/>
  <c r="F693" i="10"/>
  <c r="F692" i="10"/>
  <c r="F691" i="10"/>
  <c r="F680" i="10"/>
  <c r="F676" i="10"/>
  <c r="F672" i="10"/>
  <c r="F668" i="10"/>
  <c r="F688" i="10"/>
  <c r="F677" i="10"/>
  <c r="F669" i="10"/>
  <c r="F628" i="10"/>
  <c r="F709" i="10"/>
  <c r="F707" i="10"/>
  <c r="F684" i="10"/>
  <c r="F674" i="10"/>
  <c r="F627" i="10"/>
  <c r="F687" i="10"/>
  <c r="F673" i="10"/>
  <c r="F670" i="10"/>
  <c r="F647" i="10"/>
  <c r="F645" i="10"/>
  <c r="F625" i="10"/>
  <c r="F689" i="10"/>
  <c r="F629" i="10"/>
  <c r="F626" i="10"/>
  <c r="F708" i="10"/>
  <c r="F637" i="10"/>
  <c r="F633" i="10"/>
  <c r="F636" i="10"/>
  <c r="F632" i="10"/>
  <c r="F638" i="10"/>
  <c r="F630" i="10"/>
  <c r="F646" i="10"/>
  <c r="F639" i="10"/>
  <c r="F635" i="10"/>
  <c r="F631" i="10"/>
  <c r="F634" i="10"/>
  <c r="F715" i="10" l="1"/>
  <c r="G625" i="10"/>
  <c r="G716" i="10" l="1"/>
  <c r="G711" i="10"/>
  <c r="G707" i="10"/>
  <c r="G703" i="10"/>
  <c r="G699" i="10"/>
  <c r="G695" i="10"/>
  <c r="G691" i="10"/>
  <c r="G687" i="10"/>
  <c r="G713" i="10"/>
  <c r="G712" i="10"/>
  <c r="G698" i="10"/>
  <c r="G697" i="10"/>
  <c r="G696" i="10"/>
  <c r="G683" i="10"/>
  <c r="G679" i="10"/>
  <c r="G710" i="10"/>
  <c r="G709" i="10"/>
  <c r="G708" i="10"/>
  <c r="G694" i="10"/>
  <c r="G693" i="10"/>
  <c r="G692" i="10"/>
  <c r="G684" i="10"/>
  <c r="G680" i="10"/>
  <c r="G702" i="10"/>
  <c r="G701" i="10"/>
  <c r="G700" i="10"/>
  <c r="G678" i="10"/>
  <c r="G676" i="10"/>
  <c r="G672" i="10"/>
  <c r="G668" i="10"/>
  <c r="G690" i="10"/>
  <c r="G689" i="10"/>
  <c r="G688" i="10"/>
  <c r="G677" i="10"/>
  <c r="G673" i="10"/>
  <c r="G669" i="10"/>
  <c r="G686" i="10"/>
  <c r="G674" i="10"/>
  <c r="G627" i="10"/>
  <c r="G705" i="10"/>
  <c r="G681" i="10"/>
  <c r="G671" i="10"/>
  <c r="G629" i="10"/>
  <c r="G626" i="10"/>
  <c r="G706" i="10"/>
  <c r="G670" i="10"/>
  <c r="G647" i="10"/>
  <c r="G645" i="10"/>
  <c r="G704" i="10"/>
  <c r="G643" i="10"/>
  <c r="G641" i="10"/>
  <c r="G628" i="10"/>
  <c r="G685" i="10"/>
  <c r="G682" i="10"/>
  <c r="G646" i="10"/>
  <c r="G639" i="10"/>
  <c r="G638" i="10"/>
  <c r="G637" i="10"/>
  <c r="G636" i="10"/>
  <c r="G635" i="10"/>
  <c r="G634" i="10"/>
  <c r="G633" i="10"/>
  <c r="G632" i="10"/>
  <c r="G631" i="10"/>
  <c r="G630" i="10"/>
  <c r="G675" i="10"/>
  <c r="G642" i="10"/>
  <c r="G640" i="10"/>
  <c r="G644" i="10"/>
  <c r="H628" i="10" l="1"/>
  <c r="H712" i="10" s="1"/>
  <c r="G715" i="10"/>
  <c r="H645" i="10" l="1"/>
  <c r="H644" i="10"/>
  <c r="H675" i="10"/>
  <c r="H634" i="10"/>
  <c r="H639" i="10"/>
  <c r="H646" i="10"/>
  <c r="H673" i="10"/>
  <c r="H642" i="10"/>
  <c r="H699" i="10"/>
  <c r="H677" i="10"/>
  <c r="H684" i="10"/>
  <c r="H635" i="10"/>
  <c r="H693" i="10"/>
  <c r="H716" i="10"/>
  <c r="H694" i="10"/>
  <c r="H679" i="10"/>
  <c r="H668" i="10"/>
  <c r="H647" i="10"/>
  <c r="H681" i="10"/>
  <c r="H711" i="10"/>
  <c r="H702" i="10"/>
  <c r="H676" i="10"/>
  <c r="H685" i="10"/>
  <c r="H689" i="10"/>
  <c r="H688" i="10"/>
  <c r="H631" i="10"/>
  <c r="H678" i="10"/>
  <c r="H686" i="10"/>
  <c r="H690" i="10"/>
  <c r="H692" i="10"/>
  <c r="H632" i="10"/>
  <c r="H701" i="10"/>
  <c r="H687" i="10"/>
  <c r="H707" i="10"/>
  <c r="H696" i="10"/>
  <c r="H633" i="10"/>
  <c r="H713" i="10"/>
  <c r="H669" i="10"/>
  <c r="H680" i="10"/>
  <c r="H700" i="10"/>
  <c r="H641" i="10"/>
  <c r="H636" i="10"/>
  <c r="H703" i="10"/>
  <c r="H670" i="10"/>
  <c r="H683" i="10"/>
  <c r="H691" i="10"/>
  <c r="H695" i="10"/>
  <c r="H704" i="10"/>
  <c r="H672" i="10"/>
  <c r="H643" i="10"/>
  <c r="H637" i="10"/>
  <c r="H629" i="10"/>
  <c r="H674" i="10"/>
  <c r="H697" i="10"/>
  <c r="H705" i="10"/>
  <c r="H709" i="10"/>
  <c r="H708" i="10"/>
  <c r="H640" i="10"/>
  <c r="H630" i="10"/>
  <c r="H638" i="10"/>
  <c r="H671" i="10"/>
  <c r="H682" i="10"/>
  <c r="H698" i="10"/>
  <c r="H706" i="10"/>
  <c r="H710" i="10"/>
  <c r="H715" i="10" l="1"/>
  <c r="I629" i="10"/>
  <c r="I689" i="10" s="1"/>
  <c r="I633" i="10" l="1"/>
  <c r="I640" i="10"/>
  <c r="I645" i="10"/>
  <c r="I687" i="10"/>
  <c r="I704" i="10"/>
  <c r="I706" i="10"/>
  <c r="I710" i="10"/>
  <c r="I632" i="10"/>
  <c r="I685" i="10"/>
  <c r="I634" i="10"/>
  <c r="I635" i="10"/>
  <c r="I711" i="10"/>
  <c r="I693" i="10"/>
  <c r="I700" i="10"/>
  <c r="I642" i="10"/>
  <c r="I673" i="10"/>
  <c r="I644" i="10"/>
  <c r="I697" i="10"/>
  <c r="I674" i="10"/>
  <c r="I669" i="10"/>
  <c r="I638" i="10"/>
  <c r="I680" i="10"/>
  <c r="I698" i="10"/>
  <c r="I684" i="10"/>
  <c r="I694" i="10"/>
  <c r="I678" i="10"/>
  <c r="I701" i="10"/>
  <c r="I671" i="10"/>
  <c r="I688" i="10"/>
  <c r="I683" i="10"/>
  <c r="I637" i="10"/>
  <c r="I716" i="10"/>
  <c r="I702" i="10"/>
  <c r="I670" i="10"/>
  <c r="I703" i="10"/>
  <c r="I705" i="10"/>
  <c r="I699" i="10"/>
  <c r="I668" i="10"/>
  <c r="I675" i="10"/>
  <c r="I695" i="10"/>
  <c r="I677" i="10"/>
  <c r="I630" i="10"/>
  <c r="J630" i="10" s="1"/>
  <c r="I676" i="10"/>
  <c r="I679" i="10"/>
  <c r="I696" i="10"/>
  <c r="I690" i="10"/>
  <c r="I712" i="10"/>
  <c r="I636" i="10"/>
  <c r="I641" i="10"/>
  <c r="I646" i="10"/>
  <c r="I686" i="10"/>
  <c r="I691" i="10"/>
  <c r="I692" i="10"/>
  <c r="I709" i="10"/>
  <c r="I707" i="10"/>
  <c r="I708" i="10"/>
  <c r="I713" i="10"/>
  <c r="I672" i="10"/>
  <c r="I631" i="10"/>
  <c r="I639" i="10"/>
  <c r="I643" i="10"/>
  <c r="I647" i="10"/>
  <c r="I682" i="10"/>
  <c r="I681" i="10"/>
  <c r="I715" i="10" l="1"/>
  <c r="J710" i="10"/>
  <c r="J706" i="10"/>
  <c r="J702" i="10"/>
  <c r="J698" i="10"/>
  <c r="J694" i="10"/>
  <c r="J690" i="10"/>
  <c r="J686" i="10"/>
  <c r="J705" i="10"/>
  <c r="J704" i="10"/>
  <c r="J703" i="10"/>
  <c r="J689" i="10"/>
  <c r="J688" i="10"/>
  <c r="J687" i="10"/>
  <c r="J682" i="10"/>
  <c r="J678" i="10"/>
  <c r="J716" i="10"/>
  <c r="J701" i="10"/>
  <c r="J700" i="10"/>
  <c r="J699" i="10"/>
  <c r="J685" i="10"/>
  <c r="J683" i="10"/>
  <c r="J679" i="10"/>
  <c r="J693" i="10"/>
  <c r="J692" i="10"/>
  <c r="J691" i="10"/>
  <c r="J677" i="10"/>
  <c r="J675" i="10"/>
  <c r="J671" i="10"/>
  <c r="J644" i="10"/>
  <c r="J643" i="10"/>
  <c r="J642" i="10"/>
  <c r="J641" i="10"/>
  <c r="J640" i="10"/>
  <c r="J713" i="10"/>
  <c r="J712" i="10"/>
  <c r="J711" i="10"/>
  <c r="J684" i="10"/>
  <c r="J676" i="10"/>
  <c r="J672" i="10"/>
  <c r="J668" i="10"/>
  <c r="J709" i="10"/>
  <c r="J707" i="10"/>
  <c r="J681" i="10"/>
  <c r="J673" i="10"/>
  <c r="J697" i="10"/>
  <c r="J695" i="10"/>
  <c r="J670" i="10"/>
  <c r="J647" i="10"/>
  <c r="J646" i="10"/>
  <c r="J645" i="10"/>
  <c r="J708" i="10"/>
  <c r="J696" i="10"/>
  <c r="J680" i="10"/>
  <c r="J674" i="10"/>
  <c r="J639" i="10"/>
  <c r="J638" i="10"/>
  <c r="J637" i="10"/>
  <c r="J636" i="10"/>
  <c r="J635" i="10"/>
  <c r="J634" i="10"/>
  <c r="J633" i="10"/>
  <c r="J632" i="10"/>
  <c r="J631" i="10"/>
  <c r="J669" i="10"/>
  <c r="L647" i="10" l="1"/>
  <c r="L716" i="10" s="1"/>
  <c r="J715" i="10"/>
  <c r="K644" i="10"/>
  <c r="L702" i="10" l="1"/>
  <c r="L689" i="10"/>
  <c r="L670" i="10"/>
  <c r="L705" i="10"/>
  <c r="L681" i="10"/>
  <c r="L693" i="10"/>
  <c r="L671" i="10"/>
  <c r="L694" i="10"/>
  <c r="L683" i="10"/>
  <c r="L698" i="10"/>
  <c r="L699" i="10"/>
  <c r="L706" i="10"/>
  <c r="L688" i="10"/>
  <c r="L707" i="10"/>
  <c r="L692" i="10"/>
  <c r="L677" i="10"/>
  <c r="L691" i="10"/>
  <c r="L669" i="10"/>
  <c r="L695" i="10"/>
  <c r="L696" i="10"/>
  <c r="L676" i="10"/>
  <c r="L675" i="10"/>
  <c r="L673" i="10"/>
  <c r="L711" i="10"/>
  <c r="L700" i="10"/>
  <c r="L668" i="10"/>
  <c r="L701" i="10"/>
  <c r="L679" i="10"/>
  <c r="L680" i="10"/>
  <c r="L704" i="10"/>
  <c r="L690" i="10"/>
  <c r="L703" i="10"/>
  <c r="L687" i="10"/>
  <c r="L684" i="10"/>
  <c r="L697" i="10"/>
  <c r="L708" i="10"/>
  <c r="L672" i="10"/>
  <c r="L674" i="10"/>
  <c r="L685" i="10"/>
  <c r="L709" i="10"/>
  <c r="L713" i="10"/>
  <c r="L712" i="10"/>
  <c r="L682" i="10"/>
  <c r="L678" i="10"/>
  <c r="L686" i="10"/>
  <c r="L710" i="10"/>
  <c r="K716" i="10"/>
  <c r="K711" i="10"/>
  <c r="K707" i="10"/>
  <c r="K703" i="10"/>
  <c r="K699" i="10"/>
  <c r="K695" i="10"/>
  <c r="K691" i="10"/>
  <c r="K687" i="10"/>
  <c r="K702" i="10"/>
  <c r="K701" i="10"/>
  <c r="K700" i="10"/>
  <c r="K686" i="10"/>
  <c r="K685" i="10"/>
  <c r="K683" i="10"/>
  <c r="K679" i="10"/>
  <c r="K713" i="10"/>
  <c r="K712" i="10"/>
  <c r="K698" i="10"/>
  <c r="K697" i="10"/>
  <c r="K696" i="10"/>
  <c r="K684" i="10"/>
  <c r="K680" i="10"/>
  <c r="K690" i="10"/>
  <c r="K689" i="10"/>
  <c r="K688" i="10"/>
  <c r="K682" i="10"/>
  <c r="K676" i="10"/>
  <c r="K672" i="10"/>
  <c r="K668" i="10"/>
  <c r="K710" i="10"/>
  <c r="K709" i="10"/>
  <c r="K708" i="10"/>
  <c r="K681" i="10"/>
  <c r="K673" i="10"/>
  <c r="K669" i="10"/>
  <c r="K705" i="10"/>
  <c r="K678" i="10"/>
  <c r="K670" i="10"/>
  <c r="K693" i="10"/>
  <c r="K675" i="10"/>
  <c r="K706" i="10"/>
  <c r="K704" i="10"/>
  <c r="K674" i="10"/>
  <c r="K677" i="10"/>
  <c r="K671" i="10"/>
  <c r="K694" i="10"/>
  <c r="K692" i="10"/>
  <c r="M706" i="10" l="1"/>
  <c r="M675" i="10"/>
  <c r="M699" i="10"/>
  <c r="M700" i="10"/>
  <c r="M688" i="10"/>
  <c r="M681" i="10"/>
  <c r="M708" i="10"/>
  <c r="M711" i="10"/>
  <c r="M704" i="10"/>
  <c r="M701" i="10"/>
  <c r="M679" i="10"/>
  <c r="M698" i="10"/>
  <c r="M689" i="10"/>
  <c r="M693" i="10"/>
  <c r="M670" i="10"/>
  <c r="M695" i="10"/>
  <c r="M674" i="10"/>
  <c r="M707" i="10"/>
  <c r="M702" i="10"/>
  <c r="M710" i="10"/>
  <c r="M680" i="10"/>
  <c r="M694" i="10"/>
  <c r="M683" i="10"/>
  <c r="M671" i="10"/>
  <c r="M677" i="10"/>
  <c r="M705" i="10"/>
  <c r="M696" i="10"/>
  <c r="M673" i="10"/>
  <c r="M692" i="10"/>
  <c r="M678" i="10"/>
  <c r="M687" i="10"/>
  <c r="M691" i="10"/>
  <c r="M669" i="10"/>
  <c r="M684" i="10"/>
  <c r="M685" i="10"/>
  <c r="M690" i="10"/>
  <c r="M672" i="10"/>
  <c r="M686" i="10"/>
  <c r="M703" i="10"/>
  <c r="M676" i="10"/>
  <c r="M697" i="10"/>
  <c r="L715" i="10"/>
  <c r="M712" i="10"/>
  <c r="M713" i="10"/>
  <c r="M682" i="10"/>
  <c r="M709" i="10"/>
  <c r="K715" i="10"/>
  <c r="M668" i="10"/>
  <c r="M715" i="10" l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CE65" i="1"/>
  <c r="CE63" i="1"/>
  <c r="CE66" i="1"/>
  <c r="C383" i="1" s="1"/>
  <c r="CE68" i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N748" i="1" s="1"/>
  <c r="P75" i="1"/>
  <c r="I58" i="9" s="1"/>
  <c r="O75" i="1"/>
  <c r="N746" i="1" s="1"/>
  <c r="N75" i="1"/>
  <c r="G58" i="9" s="1"/>
  <c r="M75" i="1"/>
  <c r="F58" i="9" s="1"/>
  <c r="L75" i="1"/>
  <c r="N743" i="1" s="1"/>
  <c r="I75" i="1"/>
  <c r="N740" i="1" s="1"/>
  <c r="H75" i="1"/>
  <c r="G75" i="1"/>
  <c r="F75" i="1"/>
  <c r="N737" i="1" s="1"/>
  <c r="AV75" i="1"/>
  <c r="AP75" i="1"/>
  <c r="G186" i="9" s="1"/>
  <c r="AJ75" i="1"/>
  <c r="AL75" i="1"/>
  <c r="N769" i="1" s="1"/>
  <c r="AK75" i="1"/>
  <c r="I154" i="9" s="1"/>
  <c r="AG75" i="1"/>
  <c r="AE75" i="1"/>
  <c r="C154" i="9" s="1"/>
  <c r="AC75" i="1"/>
  <c r="N760" i="1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CE74" i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C365" i="1" s="1"/>
  <c r="BM730" i="1" s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E198" i="1"/>
  <c r="E199" i="1"/>
  <c r="C472" i="1" s="1"/>
  <c r="E200" i="1"/>
  <c r="E201" i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C27" i="5" s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I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V730" i="1"/>
  <c r="BP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K726" i="1"/>
  <c r="AJ726" i="1"/>
  <c r="AI726" i="1"/>
  <c r="AH726" i="1"/>
  <c r="AF726" i="1"/>
  <c r="AE726" i="1"/>
  <c r="AD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C459" i="1"/>
  <c r="B459" i="1"/>
  <c r="B455" i="1"/>
  <c r="B454" i="1"/>
  <c r="B453" i="1"/>
  <c r="B439" i="1"/>
  <c r="C439" i="1"/>
  <c r="C438" i="1"/>
  <c r="B437" i="1"/>
  <c r="B432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4" i="8"/>
  <c r="C124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F12" i="6"/>
  <c r="I377" i="9"/>
  <c r="G122" i="9"/>
  <c r="I26" i="9"/>
  <c r="F90" i="9"/>
  <c r="C218" i="9"/>
  <c r="D366" i="9"/>
  <c r="G812" i="1"/>
  <c r="CE64" i="1"/>
  <c r="D368" i="9"/>
  <c r="I812" i="1"/>
  <c r="C276" i="9"/>
  <c r="CE70" i="1"/>
  <c r="CE76" i="1"/>
  <c r="P816" i="1" s="1"/>
  <c r="P812" i="1"/>
  <c r="CE77" i="1"/>
  <c r="CF77" i="1" s="1"/>
  <c r="I29" i="9"/>
  <c r="C95" i="9"/>
  <c r="CE79" i="1"/>
  <c r="J612" i="1" s="1"/>
  <c r="S748" i="1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CC73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1" i="1"/>
  <c r="C615" i="1"/>
  <c r="E372" i="9"/>
  <c r="C446" i="1" l="1"/>
  <c r="E58" i="9"/>
  <c r="C117" i="8"/>
  <c r="F26" i="9"/>
  <c r="F612" i="1"/>
  <c r="C381" i="1"/>
  <c r="C186" i="9"/>
  <c r="C429" i="1"/>
  <c r="C380" i="1"/>
  <c r="C431" i="1"/>
  <c r="C382" i="1"/>
  <c r="C434" i="1"/>
  <c r="C385" i="1"/>
  <c r="C458" i="1"/>
  <c r="C370" i="1"/>
  <c r="B447" i="1"/>
  <c r="C366" i="1"/>
  <c r="D48" i="1"/>
  <c r="D62" i="1" s="1"/>
  <c r="E735" i="1" s="1"/>
  <c r="C378" i="1"/>
  <c r="D435" i="1"/>
  <c r="C386" i="1"/>
  <c r="C464" i="1"/>
  <c r="C360" i="1"/>
  <c r="CD722" i="1"/>
  <c r="C363" i="1"/>
  <c r="H58" i="9"/>
  <c r="C34" i="5"/>
  <c r="C387" i="1"/>
  <c r="B445" i="1"/>
  <c r="C364" i="1"/>
  <c r="O816" i="1"/>
  <c r="C359" i="1"/>
  <c r="D186" i="9"/>
  <c r="C33" i="8"/>
  <c r="F8" i="6"/>
  <c r="B10" i="4"/>
  <c r="AN48" i="1"/>
  <c r="AN62" i="1" s="1"/>
  <c r="E172" i="9" s="1"/>
  <c r="AA48" i="1"/>
  <c r="AA62" i="1" s="1"/>
  <c r="F108" i="9" s="1"/>
  <c r="I381" i="9"/>
  <c r="I380" i="9"/>
  <c r="C417" i="1"/>
  <c r="N745" i="1"/>
  <c r="G90" i="9"/>
  <c r="I122" i="9"/>
  <c r="H122" i="9"/>
  <c r="C90" i="9"/>
  <c r="I372" i="9"/>
  <c r="I370" i="9"/>
  <c r="I366" i="9"/>
  <c r="BT48" i="1"/>
  <c r="BT62" i="1" s="1"/>
  <c r="E803" i="1" s="1"/>
  <c r="F48" i="1"/>
  <c r="F62" i="1" s="1"/>
  <c r="AD48" i="1"/>
  <c r="AD62" i="1" s="1"/>
  <c r="AX48" i="1"/>
  <c r="AX62" i="1" s="1"/>
  <c r="E781" i="1" s="1"/>
  <c r="AO48" i="1"/>
  <c r="AO62" i="1" s="1"/>
  <c r="BJ48" i="1"/>
  <c r="BJ62" i="1" s="1"/>
  <c r="E793" i="1" s="1"/>
  <c r="AL48" i="1"/>
  <c r="AL62" i="1" s="1"/>
  <c r="BF48" i="1"/>
  <c r="BF62" i="1" s="1"/>
  <c r="E789" i="1" s="1"/>
  <c r="CA48" i="1"/>
  <c r="CA62" i="1" s="1"/>
  <c r="I48" i="1"/>
  <c r="I62" i="1" s="1"/>
  <c r="E740" i="1" s="1"/>
  <c r="N48" i="1"/>
  <c r="N62" i="1" s="1"/>
  <c r="E745" i="1" s="1"/>
  <c r="BL48" i="1"/>
  <c r="BL62" i="1" s="1"/>
  <c r="H268" i="9" s="1"/>
  <c r="AW48" i="1"/>
  <c r="AW62" i="1" s="1"/>
  <c r="E780" i="1" s="1"/>
  <c r="AP48" i="1"/>
  <c r="AP62" i="1" s="1"/>
  <c r="E773" i="1" s="1"/>
  <c r="R48" i="1"/>
  <c r="R62" i="1" s="1"/>
  <c r="D76" i="9" s="1"/>
  <c r="AT48" i="1"/>
  <c r="AT62" i="1" s="1"/>
  <c r="BN48" i="1"/>
  <c r="BN62" i="1" s="1"/>
  <c r="E797" i="1" s="1"/>
  <c r="E48" i="1"/>
  <c r="E62" i="1" s="1"/>
  <c r="E736" i="1" s="1"/>
  <c r="V48" i="1"/>
  <c r="V62" i="1" s="1"/>
  <c r="E753" i="1" s="1"/>
  <c r="AV48" i="1"/>
  <c r="AV62" i="1" s="1"/>
  <c r="E779" i="1" s="1"/>
  <c r="BR48" i="1"/>
  <c r="BR62" i="1" s="1"/>
  <c r="E801" i="1" s="1"/>
  <c r="BQ48" i="1"/>
  <c r="BQ62" i="1" s="1"/>
  <c r="F300" i="9" s="1"/>
  <c r="AF48" i="1"/>
  <c r="AF62" i="1" s="1"/>
  <c r="E763" i="1" s="1"/>
  <c r="BV48" i="1"/>
  <c r="BV62" i="1" s="1"/>
  <c r="E805" i="1" s="1"/>
  <c r="AI48" i="1"/>
  <c r="AI62" i="1" s="1"/>
  <c r="E766" i="1" s="1"/>
  <c r="AE48" i="1"/>
  <c r="AE62" i="1" s="1"/>
  <c r="L48" i="1"/>
  <c r="L62" i="1" s="1"/>
  <c r="BB48" i="1"/>
  <c r="BB62" i="1" s="1"/>
  <c r="E236" i="9" s="1"/>
  <c r="AH48" i="1"/>
  <c r="AH62" i="1" s="1"/>
  <c r="E765" i="1" s="1"/>
  <c r="BD48" i="1"/>
  <c r="BD62" i="1" s="1"/>
  <c r="G236" i="9" s="1"/>
  <c r="BY48" i="1"/>
  <c r="BY62" i="1" s="1"/>
  <c r="AY48" i="1"/>
  <c r="AY62" i="1" s="1"/>
  <c r="E782" i="1" s="1"/>
  <c r="BW48" i="1"/>
  <c r="BW62" i="1" s="1"/>
  <c r="E806" i="1" s="1"/>
  <c r="BM48" i="1"/>
  <c r="BM62" i="1" s="1"/>
  <c r="BI48" i="1"/>
  <c r="BI62" i="1" s="1"/>
  <c r="E268" i="9" s="1"/>
  <c r="C48" i="1"/>
  <c r="C62" i="1" s="1"/>
  <c r="E734" i="1" s="1"/>
  <c r="CC48" i="1"/>
  <c r="CC62" i="1" s="1"/>
  <c r="E812" i="1" s="1"/>
  <c r="BU48" i="1"/>
  <c r="BU62" i="1" s="1"/>
  <c r="O48" i="1"/>
  <c r="O62" i="1" s="1"/>
  <c r="Z48" i="1"/>
  <c r="Z62" i="1" s="1"/>
  <c r="E108" i="9" s="1"/>
  <c r="AR48" i="1"/>
  <c r="AR62" i="1" s="1"/>
  <c r="BH48" i="1"/>
  <c r="BH62" i="1" s="1"/>
  <c r="D268" i="9" s="1"/>
  <c r="BX48" i="1"/>
  <c r="BX62" i="1" s="1"/>
  <c r="F332" i="9" s="1"/>
  <c r="K48" i="1"/>
  <c r="K62" i="1" s="1"/>
  <c r="Q48" i="1"/>
  <c r="Q62" i="1" s="1"/>
  <c r="U48" i="1"/>
  <c r="U62" i="1" s="1"/>
  <c r="G76" i="9" s="1"/>
  <c r="AU48" i="1"/>
  <c r="AU62" i="1" s="1"/>
  <c r="AG48" i="1"/>
  <c r="AG62" i="1" s="1"/>
  <c r="E140" i="9" s="1"/>
  <c r="AK48" i="1"/>
  <c r="AK62" i="1" s="1"/>
  <c r="E768" i="1" s="1"/>
  <c r="G48" i="1"/>
  <c r="G62" i="1" s="1"/>
  <c r="G12" i="9" s="1"/>
  <c r="N766" i="1"/>
  <c r="X48" i="1"/>
  <c r="X62" i="1" s="1"/>
  <c r="J48" i="1"/>
  <c r="J62" i="1" s="1"/>
  <c r="AJ48" i="1"/>
  <c r="AJ62" i="1" s="1"/>
  <c r="E767" i="1" s="1"/>
  <c r="AZ48" i="1"/>
  <c r="AZ62" i="1" s="1"/>
  <c r="E783" i="1" s="1"/>
  <c r="BP48" i="1"/>
  <c r="BP62" i="1" s="1"/>
  <c r="E799" i="1" s="1"/>
  <c r="BG48" i="1"/>
  <c r="BG62" i="1" s="1"/>
  <c r="C268" i="9" s="1"/>
  <c r="BE48" i="1"/>
  <c r="BE62" i="1" s="1"/>
  <c r="N755" i="1"/>
  <c r="BO48" i="1"/>
  <c r="BO62" i="1" s="1"/>
  <c r="BA48" i="1"/>
  <c r="BA62" i="1" s="1"/>
  <c r="BS48" i="1"/>
  <c r="BS62" i="1" s="1"/>
  <c r="AB48" i="1"/>
  <c r="AB62" i="1" s="1"/>
  <c r="G108" i="9" s="1"/>
  <c r="N762" i="1"/>
  <c r="AS48" i="1"/>
  <c r="AS62" i="1" s="1"/>
  <c r="D816" i="1"/>
  <c r="W48" i="1"/>
  <c r="W62" i="1" s="1"/>
  <c r="E754" i="1" s="1"/>
  <c r="N758" i="1"/>
  <c r="B476" i="1"/>
  <c r="N765" i="1"/>
  <c r="N736" i="1"/>
  <c r="N773" i="1"/>
  <c r="N777" i="1"/>
  <c r="N753" i="1"/>
  <c r="K816" i="1"/>
  <c r="C430" i="1"/>
  <c r="M816" i="1"/>
  <c r="H814" i="10"/>
  <c r="T814" i="10"/>
  <c r="R814" i="10"/>
  <c r="K814" i="10"/>
  <c r="D330" i="1"/>
  <c r="C86" i="8" s="1"/>
  <c r="G816" i="1"/>
  <c r="D815" i="1"/>
  <c r="F815" i="1"/>
  <c r="N747" i="1"/>
  <c r="N757" i="1"/>
  <c r="G612" i="1"/>
  <c r="Q816" i="1"/>
  <c r="C473" i="1"/>
  <c r="N768" i="1"/>
  <c r="P814" i="10"/>
  <c r="F814" i="10"/>
  <c r="E373" i="9"/>
  <c r="C575" i="1"/>
  <c r="E752" i="10"/>
  <c r="C14" i="5"/>
  <c r="D428" i="1"/>
  <c r="D612" i="1"/>
  <c r="CF76" i="1"/>
  <c r="V52" i="1" s="1"/>
  <c r="V67" i="1" s="1"/>
  <c r="J753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H204" i="9"/>
  <c r="B446" i="1"/>
  <c r="D242" i="1"/>
  <c r="E779" i="10"/>
  <c r="E795" i="10"/>
  <c r="C418" i="1"/>
  <c r="D438" i="1"/>
  <c r="F14" i="6"/>
  <c r="O815" i="1"/>
  <c r="T815" i="1"/>
  <c r="C471" i="1"/>
  <c r="F10" i="6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G204" i="9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12" i="9" l="1"/>
  <c r="B427" i="1"/>
  <c r="D817" i="1"/>
  <c r="BQ730" i="1"/>
  <c r="C129" i="8"/>
  <c r="C133" i="8"/>
  <c r="BU730" i="1"/>
  <c r="B431" i="1"/>
  <c r="H817" i="1"/>
  <c r="C115" i="8"/>
  <c r="CB730" i="1"/>
  <c r="C444" i="1"/>
  <c r="D367" i="1"/>
  <c r="C447" i="1"/>
  <c r="C118" i="8"/>
  <c r="BN730" i="1"/>
  <c r="F817" i="1"/>
  <c r="BS730" i="1"/>
  <c r="B429" i="1"/>
  <c r="C131" i="8"/>
  <c r="O817" i="1"/>
  <c r="BJ730" i="1"/>
  <c r="D361" i="1"/>
  <c r="C110" i="8"/>
  <c r="B463" i="1"/>
  <c r="BK730" i="1"/>
  <c r="B464" i="1"/>
  <c r="C111" i="8"/>
  <c r="C123" i="8"/>
  <c r="M817" i="1"/>
  <c r="B458" i="1"/>
  <c r="BO730" i="1"/>
  <c r="D372" i="1"/>
  <c r="C125" i="8" s="1"/>
  <c r="C445" i="1"/>
  <c r="C116" i="8"/>
  <c r="BL730" i="1"/>
  <c r="C132" i="8"/>
  <c r="G817" i="1"/>
  <c r="BT730" i="1"/>
  <c r="B430" i="1"/>
  <c r="BY730" i="1"/>
  <c r="B435" i="1"/>
  <c r="B438" i="1"/>
  <c r="B440" i="1" s="1"/>
  <c r="L817" i="1"/>
  <c r="C137" i="8"/>
  <c r="K817" i="1"/>
  <c r="BX730" i="1"/>
  <c r="B434" i="1"/>
  <c r="C136" i="8"/>
  <c r="BZ730" i="1"/>
  <c r="B436" i="1"/>
  <c r="C138" i="8"/>
  <c r="I12" i="9"/>
  <c r="F204" i="9"/>
  <c r="G44" i="9"/>
  <c r="E771" i="1"/>
  <c r="E758" i="1"/>
  <c r="E332" i="9"/>
  <c r="D364" i="9"/>
  <c r="G300" i="9"/>
  <c r="F12" i="9"/>
  <c r="F268" i="9"/>
  <c r="F172" i="9"/>
  <c r="C140" i="9"/>
  <c r="C108" i="9"/>
  <c r="C300" i="9"/>
  <c r="I332" i="9"/>
  <c r="G140" i="9"/>
  <c r="H44" i="9"/>
  <c r="F140" i="9"/>
  <c r="I172" i="9"/>
  <c r="I140" i="9"/>
  <c r="I268" i="9"/>
  <c r="E12" i="9"/>
  <c r="G172" i="9"/>
  <c r="C332" i="9"/>
  <c r="C12" i="9"/>
  <c r="I300" i="9"/>
  <c r="C44" i="9"/>
  <c r="H140" i="9"/>
  <c r="D204" i="9"/>
  <c r="D44" i="9"/>
  <c r="I236" i="9"/>
  <c r="I204" i="9"/>
  <c r="H76" i="9"/>
  <c r="E300" i="9"/>
  <c r="I108" i="9"/>
  <c r="D332" i="9"/>
  <c r="C236" i="9"/>
  <c r="D140" i="9"/>
  <c r="E204" i="9"/>
  <c r="H236" i="9"/>
  <c r="E743" i="1"/>
  <c r="E44" i="9"/>
  <c r="G332" i="9"/>
  <c r="C76" i="9"/>
  <c r="C172" i="9"/>
  <c r="E737" i="1"/>
  <c r="E761" i="1"/>
  <c r="E772" i="1"/>
  <c r="E762" i="1"/>
  <c r="E810" i="1"/>
  <c r="E795" i="1"/>
  <c r="E785" i="1"/>
  <c r="E769" i="1"/>
  <c r="E808" i="1"/>
  <c r="E800" i="1"/>
  <c r="E787" i="1"/>
  <c r="E777" i="1"/>
  <c r="V71" i="1"/>
  <c r="C515" i="1" s="1"/>
  <c r="G515" i="1" s="1"/>
  <c r="E749" i="1"/>
  <c r="E746" i="1"/>
  <c r="E748" i="1"/>
  <c r="E742" i="1"/>
  <c r="CE62" i="1"/>
  <c r="E755" i="1"/>
  <c r="CE48" i="1"/>
  <c r="E778" i="1"/>
  <c r="E738" i="1"/>
  <c r="E788" i="1"/>
  <c r="E791" i="1"/>
  <c r="E775" i="1"/>
  <c r="E804" i="1"/>
  <c r="E757" i="1"/>
  <c r="E796" i="1"/>
  <c r="E741" i="1"/>
  <c r="E792" i="1"/>
  <c r="E807" i="1"/>
  <c r="E790" i="1"/>
  <c r="E752" i="1"/>
  <c r="E764" i="1"/>
  <c r="D108" i="9"/>
  <c r="I76" i="9"/>
  <c r="D300" i="9"/>
  <c r="D236" i="9"/>
  <c r="H172" i="9"/>
  <c r="C204" i="9"/>
  <c r="F44" i="9"/>
  <c r="E802" i="1"/>
  <c r="H300" i="9"/>
  <c r="E784" i="1"/>
  <c r="E759" i="1"/>
  <c r="E776" i="1"/>
  <c r="E798" i="1"/>
  <c r="AA52" i="1"/>
  <c r="AA67" i="1" s="1"/>
  <c r="CB52" i="1"/>
  <c r="CB67" i="1" s="1"/>
  <c r="J811" i="1" s="1"/>
  <c r="BD52" i="1"/>
  <c r="BD67" i="1" s="1"/>
  <c r="J787" i="1" s="1"/>
  <c r="E811" i="1"/>
  <c r="D339" i="1"/>
  <c r="C482" i="1" s="1"/>
  <c r="BE52" i="1"/>
  <c r="BE67" i="1" s="1"/>
  <c r="J788" i="1" s="1"/>
  <c r="AW52" i="1"/>
  <c r="AW67" i="1" s="1"/>
  <c r="J780" i="1" s="1"/>
  <c r="AM52" i="1"/>
  <c r="AM67" i="1" s="1"/>
  <c r="J770" i="1" s="1"/>
  <c r="AG52" i="1"/>
  <c r="AG67" i="1" s="1"/>
  <c r="AG71" i="1" s="1"/>
  <c r="C698" i="1" s="1"/>
  <c r="BO52" i="1"/>
  <c r="BO67" i="1" s="1"/>
  <c r="J798" i="1" s="1"/>
  <c r="AY52" i="1"/>
  <c r="AY67" i="1" s="1"/>
  <c r="J782" i="1" s="1"/>
  <c r="D52" i="1"/>
  <c r="D67" i="1" s="1"/>
  <c r="BV52" i="1"/>
  <c r="BV67" i="1" s="1"/>
  <c r="J805" i="1" s="1"/>
  <c r="AK52" i="1"/>
  <c r="AK67" i="1" s="1"/>
  <c r="J768" i="1" s="1"/>
  <c r="BY52" i="1"/>
  <c r="BY67" i="1" s="1"/>
  <c r="J808" i="1" s="1"/>
  <c r="E756" i="1"/>
  <c r="BM52" i="1"/>
  <c r="BM67" i="1" s="1"/>
  <c r="J796" i="1" s="1"/>
  <c r="BR52" i="1"/>
  <c r="BR67" i="1" s="1"/>
  <c r="J801" i="1" s="1"/>
  <c r="M52" i="1"/>
  <c r="M67" i="1" s="1"/>
  <c r="J744" i="1" s="1"/>
  <c r="F52" i="1"/>
  <c r="F67" i="1" s="1"/>
  <c r="J737" i="1" s="1"/>
  <c r="G52" i="1"/>
  <c r="G67" i="1" s="1"/>
  <c r="J738" i="1" s="1"/>
  <c r="BQ52" i="1"/>
  <c r="BQ67" i="1" s="1"/>
  <c r="J800" i="1" s="1"/>
  <c r="BN52" i="1"/>
  <c r="BN67" i="1" s="1"/>
  <c r="J797" i="1" s="1"/>
  <c r="AX52" i="1"/>
  <c r="AX67" i="1" s="1"/>
  <c r="T52" i="1"/>
  <c r="T67" i="1" s="1"/>
  <c r="J751" i="1" s="1"/>
  <c r="BF52" i="1"/>
  <c r="BF67" i="1" s="1"/>
  <c r="J789" i="1" s="1"/>
  <c r="BP52" i="1"/>
  <c r="BP67" i="1" s="1"/>
  <c r="BP71" i="1" s="1"/>
  <c r="C561" i="1" s="1"/>
  <c r="AN52" i="1"/>
  <c r="AN67" i="1" s="1"/>
  <c r="BX52" i="1"/>
  <c r="BX67" i="1" s="1"/>
  <c r="J807" i="1" s="1"/>
  <c r="BT52" i="1"/>
  <c r="BT67" i="1" s="1"/>
  <c r="BT71" i="1" s="1"/>
  <c r="C640" i="1" s="1"/>
  <c r="AB52" i="1"/>
  <c r="AB67" i="1" s="1"/>
  <c r="G113" i="9" s="1"/>
  <c r="H52" i="1"/>
  <c r="H67" i="1" s="1"/>
  <c r="J739" i="1" s="1"/>
  <c r="J52" i="1"/>
  <c r="J67" i="1" s="1"/>
  <c r="J71" i="1" s="1"/>
  <c r="C53" i="9" s="1"/>
  <c r="AH52" i="1"/>
  <c r="AH67" i="1" s="1"/>
  <c r="F145" i="9" s="1"/>
  <c r="AF52" i="1"/>
  <c r="AF67" i="1" s="1"/>
  <c r="J763" i="1" s="1"/>
  <c r="P52" i="1"/>
  <c r="P67" i="1" s="1"/>
  <c r="J747" i="1" s="1"/>
  <c r="AJ52" i="1"/>
  <c r="AJ67" i="1" s="1"/>
  <c r="J767" i="1" s="1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707" i="1" s="1"/>
  <c r="AU52" i="1"/>
  <c r="AU67" i="1" s="1"/>
  <c r="AU71" i="1" s="1"/>
  <c r="E213" i="9" s="1"/>
  <c r="U52" i="1"/>
  <c r="U67" i="1" s="1"/>
  <c r="U71" i="1" s="1"/>
  <c r="C514" i="1" s="1"/>
  <c r="G514" i="1" s="1"/>
  <c r="Y52" i="1"/>
  <c r="Y67" i="1" s="1"/>
  <c r="Y71" i="1" s="1"/>
  <c r="D117" i="9" s="1"/>
  <c r="S52" i="1"/>
  <c r="S67" i="1" s="1"/>
  <c r="S71" i="1" s="1"/>
  <c r="R52" i="1"/>
  <c r="R67" i="1" s="1"/>
  <c r="R71" i="1" s="1"/>
  <c r="D85" i="9" s="1"/>
  <c r="Z52" i="1"/>
  <c r="Z67" i="1" s="1"/>
  <c r="Z71" i="1" s="1"/>
  <c r="C691" i="1" s="1"/>
  <c r="BB52" i="1"/>
  <c r="BB67" i="1" s="1"/>
  <c r="BB71" i="1" s="1"/>
  <c r="E245" i="9" s="1"/>
  <c r="L52" i="1"/>
  <c r="L67" i="1" s="1"/>
  <c r="L71" i="1" s="1"/>
  <c r="C677" i="1" s="1"/>
  <c r="BA52" i="1"/>
  <c r="BA67" i="1" s="1"/>
  <c r="BA71" i="1" s="1"/>
  <c r="D245" i="9" s="1"/>
  <c r="AV52" i="1"/>
  <c r="AV67" i="1" s="1"/>
  <c r="AV71" i="1" s="1"/>
  <c r="C541" i="1" s="1"/>
  <c r="AL52" i="1"/>
  <c r="AL67" i="1" s="1"/>
  <c r="AL71" i="1" s="1"/>
  <c r="C181" i="9" s="1"/>
  <c r="CC52" i="1"/>
  <c r="CC67" i="1" s="1"/>
  <c r="CC71" i="1" s="1"/>
  <c r="C620" i="1" s="1"/>
  <c r="AC52" i="1"/>
  <c r="AC67" i="1" s="1"/>
  <c r="AC71" i="1" s="1"/>
  <c r="C522" i="1" s="1"/>
  <c r="G522" i="1" s="1"/>
  <c r="BS52" i="1"/>
  <c r="BS67" i="1" s="1"/>
  <c r="BS71" i="1" s="1"/>
  <c r="AO52" i="1"/>
  <c r="AO67" i="1" s="1"/>
  <c r="AO71" i="1" s="1"/>
  <c r="AI52" i="1"/>
  <c r="AI67" i="1" s="1"/>
  <c r="AI71" i="1" s="1"/>
  <c r="C528" i="1" s="1"/>
  <c r="G528" i="1" s="1"/>
  <c r="W52" i="1"/>
  <c r="W67" i="1" s="1"/>
  <c r="W71" i="1" s="1"/>
  <c r="C516" i="1" s="1"/>
  <c r="G516" i="1" s="1"/>
  <c r="AS52" i="1"/>
  <c r="AS67" i="1" s="1"/>
  <c r="AS71" i="1" s="1"/>
  <c r="C538" i="1" s="1"/>
  <c r="G538" i="1" s="1"/>
  <c r="AQ52" i="1"/>
  <c r="AQ67" i="1" s="1"/>
  <c r="AQ71" i="1" s="1"/>
  <c r="C708" i="1" s="1"/>
  <c r="AR52" i="1"/>
  <c r="AR67" i="1" s="1"/>
  <c r="AR71" i="1" s="1"/>
  <c r="AZ52" i="1"/>
  <c r="AZ67" i="1" s="1"/>
  <c r="AZ71" i="1" s="1"/>
  <c r="C628" i="1" s="1"/>
  <c r="N52" i="1"/>
  <c r="N67" i="1" s="1"/>
  <c r="N71" i="1" s="1"/>
  <c r="C507" i="1" s="1"/>
  <c r="G507" i="1" s="1"/>
  <c r="CA52" i="1"/>
  <c r="CA67" i="1" s="1"/>
  <c r="CA71" i="1" s="1"/>
  <c r="I341" i="9" s="1"/>
  <c r="BU52" i="1"/>
  <c r="BU67" i="1" s="1"/>
  <c r="BU71" i="1" s="1"/>
  <c r="C341" i="9" s="1"/>
  <c r="AD52" i="1"/>
  <c r="AD67" i="1" s="1"/>
  <c r="AD71" i="1" s="1"/>
  <c r="I117" i="9" s="1"/>
  <c r="AT52" i="1"/>
  <c r="AT67" i="1" s="1"/>
  <c r="AT71" i="1" s="1"/>
  <c r="D213" i="9" s="1"/>
  <c r="E760" i="1"/>
  <c r="F236" i="9"/>
  <c r="E786" i="1"/>
  <c r="I44" i="9"/>
  <c r="E747" i="1"/>
  <c r="G268" i="9"/>
  <c r="E794" i="1"/>
  <c r="BG52" i="1"/>
  <c r="BG67" i="1" s="1"/>
  <c r="BG71" i="1" s="1"/>
  <c r="C618" i="1" s="1"/>
  <c r="Q52" i="1"/>
  <c r="Q67" i="1" s="1"/>
  <c r="Q71" i="1" s="1"/>
  <c r="C85" i="9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E277" i="9" s="1"/>
  <c r="K52" i="1"/>
  <c r="K67" i="1" s="1"/>
  <c r="K71" i="1" s="1"/>
  <c r="D53" i="9" s="1"/>
  <c r="H81" i="9"/>
  <c r="F505" i="1"/>
  <c r="H505" i="1"/>
  <c r="F499" i="1"/>
  <c r="H499" i="1"/>
  <c r="E739" i="1"/>
  <c r="H12" i="9"/>
  <c r="E52" i="1"/>
  <c r="E67" i="1" s="1"/>
  <c r="E71" i="1" s="1"/>
  <c r="C670" i="1" s="1"/>
  <c r="X52" i="1"/>
  <c r="X67" i="1" s="1"/>
  <c r="X71" i="1" s="1"/>
  <c r="C117" i="9" s="1"/>
  <c r="BH52" i="1"/>
  <c r="BH67" i="1" s="1"/>
  <c r="BH71" i="1" s="1"/>
  <c r="C636" i="1" s="1"/>
  <c r="I52" i="1"/>
  <c r="I67" i="1" s="1"/>
  <c r="I71" i="1" s="1"/>
  <c r="C674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C149" i="9" s="1"/>
  <c r="BL52" i="1"/>
  <c r="BL67" i="1" s="1"/>
  <c r="BL71" i="1" s="1"/>
  <c r="E758" i="10"/>
  <c r="E774" i="10"/>
  <c r="E798" i="10"/>
  <c r="G17" i="9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F32" i="6"/>
  <c r="C478" i="1"/>
  <c r="J748" i="10"/>
  <c r="J763" i="10"/>
  <c r="J795" i="10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D17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F49" i="9"/>
  <c r="F17" i="9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N817" i="1" l="1"/>
  <c r="C112" i="8"/>
  <c r="D368" i="1"/>
  <c r="B465" i="1"/>
  <c r="F8" i="4"/>
  <c r="G8" i="4"/>
  <c r="AG726" i="1"/>
  <c r="C448" i="1"/>
  <c r="C119" i="8"/>
  <c r="F7" i="4"/>
  <c r="E142" i="1"/>
  <c r="AB726" i="1"/>
  <c r="G7" i="4"/>
  <c r="C428" i="1"/>
  <c r="C379" i="1"/>
  <c r="C102" i="8"/>
  <c r="F81" i="9"/>
  <c r="I209" i="9"/>
  <c r="H241" i="9"/>
  <c r="C637" i="1"/>
  <c r="H277" i="9"/>
  <c r="AM71" i="1"/>
  <c r="C532" i="1" s="1"/>
  <c r="G532" i="1" s="1"/>
  <c r="P71" i="1"/>
  <c r="C681" i="1" s="1"/>
  <c r="CB71" i="1"/>
  <c r="C573" i="1" s="1"/>
  <c r="C503" i="1"/>
  <c r="G503" i="1" s="1"/>
  <c r="C675" i="1"/>
  <c r="BF71" i="1"/>
  <c r="C629" i="1" s="1"/>
  <c r="T71" i="1"/>
  <c r="C513" i="1" s="1"/>
  <c r="G513" i="1" s="1"/>
  <c r="AW71" i="1"/>
  <c r="G213" i="9" s="1"/>
  <c r="BR71" i="1"/>
  <c r="C626" i="1" s="1"/>
  <c r="BD71" i="1"/>
  <c r="C624" i="1" s="1"/>
  <c r="BO71" i="1"/>
  <c r="D309" i="9" s="1"/>
  <c r="C703" i="1"/>
  <c r="C531" i="1"/>
  <c r="G531" i="1" s="1"/>
  <c r="C524" i="1"/>
  <c r="C696" i="1"/>
  <c r="I181" i="9"/>
  <c r="C537" i="1"/>
  <c r="G537" i="1" s="1"/>
  <c r="C709" i="1"/>
  <c r="C518" i="1"/>
  <c r="G518" i="1" s="1"/>
  <c r="C690" i="1"/>
  <c r="C676" i="1"/>
  <c r="C504" i="1"/>
  <c r="G504" i="1" s="1"/>
  <c r="C711" i="1"/>
  <c r="C539" i="1"/>
  <c r="G539" i="1" s="1"/>
  <c r="C510" i="1"/>
  <c r="G510" i="1" s="1"/>
  <c r="C682" i="1"/>
  <c r="C554" i="1"/>
  <c r="C634" i="1"/>
  <c r="C523" i="1"/>
  <c r="G523" i="1" s="1"/>
  <c r="C695" i="1"/>
  <c r="C546" i="1"/>
  <c r="G546" i="1" s="1"/>
  <c r="C630" i="1"/>
  <c r="C540" i="1"/>
  <c r="G540" i="1" s="1"/>
  <c r="C712" i="1"/>
  <c r="C641" i="1"/>
  <c r="C566" i="1"/>
  <c r="C517" i="1"/>
  <c r="G517" i="1" s="1"/>
  <c r="C689" i="1"/>
  <c r="C680" i="1"/>
  <c r="C508" i="1"/>
  <c r="G508" i="1" s="1"/>
  <c r="C572" i="1"/>
  <c r="C647" i="1"/>
  <c r="F181" i="9"/>
  <c r="C534" i="1"/>
  <c r="G534" i="1" s="1"/>
  <c r="C706" i="1"/>
  <c r="C547" i="1"/>
  <c r="C632" i="1"/>
  <c r="J735" i="1"/>
  <c r="D71" i="1"/>
  <c r="D21" i="9" s="1"/>
  <c r="M71" i="1"/>
  <c r="C506" i="1" s="1"/>
  <c r="G506" i="1" s="1"/>
  <c r="AY71" i="1"/>
  <c r="C625" i="1" s="1"/>
  <c r="H71" i="1"/>
  <c r="H21" i="9" s="1"/>
  <c r="BX71" i="1"/>
  <c r="C644" i="1" s="1"/>
  <c r="AJ71" i="1"/>
  <c r="C701" i="1" s="1"/>
  <c r="BV71" i="1"/>
  <c r="C642" i="1" s="1"/>
  <c r="F71" i="1"/>
  <c r="J771" i="1"/>
  <c r="AN71" i="1"/>
  <c r="E181" i="9" s="1"/>
  <c r="C557" i="1"/>
  <c r="J781" i="1"/>
  <c r="AX71" i="1"/>
  <c r="H213" i="9" s="1"/>
  <c r="G71" i="1"/>
  <c r="BM71" i="1"/>
  <c r="I277" i="9" s="1"/>
  <c r="AK71" i="1"/>
  <c r="C530" i="1" s="1"/>
  <c r="G530" i="1" s="1"/>
  <c r="BE71" i="1"/>
  <c r="H245" i="9" s="1"/>
  <c r="BY71" i="1"/>
  <c r="G341" i="9" s="1"/>
  <c r="J758" i="1"/>
  <c r="AA71" i="1"/>
  <c r="F117" i="9" s="1"/>
  <c r="AB71" i="1"/>
  <c r="G117" i="9" s="1"/>
  <c r="AF71" i="1"/>
  <c r="C525" i="1" s="1"/>
  <c r="G525" i="1" s="1"/>
  <c r="BQ71" i="1"/>
  <c r="C623" i="1" s="1"/>
  <c r="AH71" i="1"/>
  <c r="C527" i="1" s="1"/>
  <c r="G527" i="1" s="1"/>
  <c r="BN71" i="1"/>
  <c r="C619" i="1" s="1"/>
  <c r="H85" i="9"/>
  <c r="G149" i="9"/>
  <c r="F277" i="9"/>
  <c r="C617" i="1"/>
  <c r="E21" i="9"/>
  <c r="G53" i="9"/>
  <c r="I364" i="9"/>
  <c r="D277" i="9"/>
  <c r="E149" i="9"/>
  <c r="I309" i="9"/>
  <c r="E815" i="1"/>
  <c r="E53" i="9"/>
  <c r="G181" i="9"/>
  <c r="C498" i="1"/>
  <c r="G498" i="1" s="1"/>
  <c r="C502" i="1"/>
  <c r="G502" i="1" s="1"/>
  <c r="G85" i="9"/>
  <c r="F213" i="9"/>
  <c r="I21" i="9"/>
  <c r="E117" i="9"/>
  <c r="C679" i="1"/>
  <c r="C565" i="1"/>
  <c r="C535" i="1"/>
  <c r="G535" i="1" s="1"/>
  <c r="C700" i="1"/>
  <c r="C687" i="1"/>
  <c r="D373" i="9"/>
  <c r="E341" i="9"/>
  <c r="G305" i="9"/>
  <c r="E309" i="9"/>
  <c r="C245" i="9"/>
  <c r="I241" i="9"/>
  <c r="C277" i="9"/>
  <c r="C713" i="1"/>
  <c r="C511" i="1"/>
  <c r="G511" i="1" s="1"/>
  <c r="C683" i="1"/>
  <c r="C505" i="1"/>
  <c r="G505" i="1" s="1"/>
  <c r="C643" i="1"/>
  <c r="C574" i="1"/>
  <c r="E816" i="1"/>
  <c r="C686" i="1"/>
  <c r="C526" i="1"/>
  <c r="G526" i="1" s="1"/>
  <c r="C552" i="1"/>
  <c r="C545" i="1"/>
  <c r="G545" i="1" s="1"/>
  <c r="C621" i="1"/>
  <c r="C519" i="1"/>
  <c r="G519" i="1" s="1"/>
  <c r="C553" i="1"/>
  <c r="E177" i="9"/>
  <c r="F305" i="9"/>
  <c r="D337" i="9"/>
  <c r="F113" i="9"/>
  <c r="D177" i="9"/>
  <c r="I145" i="9"/>
  <c r="C305" i="9"/>
  <c r="G337" i="9"/>
  <c r="D145" i="9"/>
  <c r="G209" i="9"/>
  <c r="D305" i="9"/>
  <c r="I273" i="9"/>
  <c r="I49" i="9"/>
  <c r="F337" i="9"/>
  <c r="H17" i="9"/>
  <c r="J764" i="1"/>
  <c r="E145" i="9"/>
  <c r="C369" i="9"/>
  <c r="J803" i="1"/>
  <c r="I305" i="9"/>
  <c r="H209" i="9"/>
  <c r="H145" i="9"/>
  <c r="J799" i="1"/>
  <c r="E305" i="9"/>
  <c r="I85" i="9"/>
  <c r="H181" i="9"/>
  <c r="H117" i="9"/>
  <c r="C639" i="1"/>
  <c r="H309" i="9"/>
  <c r="C710" i="1"/>
  <c r="C213" i="9"/>
  <c r="C564" i="1"/>
  <c r="C688" i="1"/>
  <c r="C536" i="1"/>
  <c r="G536" i="1" s="1"/>
  <c r="C694" i="1"/>
  <c r="E814" i="10"/>
  <c r="J765" i="1"/>
  <c r="C49" i="9"/>
  <c r="J741" i="1"/>
  <c r="H516" i="1"/>
  <c r="J759" i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496" i="1" s="1"/>
  <c r="G496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 s="1"/>
  <c r="F510" i="1"/>
  <c r="F51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F504" i="1"/>
  <c r="H530" i="1"/>
  <c r="F530" i="1"/>
  <c r="F512" i="1"/>
  <c r="F526" i="1"/>
  <c r="F503" i="1"/>
  <c r="H503" i="1"/>
  <c r="H508" i="1"/>
  <c r="F508" i="1"/>
  <c r="F514" i="1"/>
  <c r="H514" i="1" s="1"/>
  <c r="H507" i="1"/>
  <c r="F507" i="1"/>
  <c r="F518" i="1"/>
  <c r="F546" i="1"/>
  <c r="F506" i="1"/>
  <c r="H506" i="1"/>
  <c r="H500" i="1"/>
  <c r="F500" i="1"/>
  <c r="F509" i="1"/>
  <c r="E817" i="1" l="1"/>
  <c r="BR730" i="1"/>
  <c r="B428" i="1"/>
  <c r="C130" i="8"/>
  <c r="F10" i="4"/>
  <c r="G10" i="4"/>
  <c r="D464" i="1"/>
  <c r="D465" i="1" s="1"/>
  <c r="D373" i="1"/>
  <c r="C120" i="8"/>
  <c r="F9" i="4"/>
  <c r="AL726" i="1"/>
  <c r="G9" i="4"/>
  <c r="D181" i="9"/>
  <c r="F149" i="9"/>
  <c r="F309" i="9"/>
  <c r="C373" i="9"/>
  <c r="F53" i="9"/>
  <c r="I53" i="9"/>
  <c r="I149" i="9"/>
  <c r="C672" i="1"/>
  <c r="G21" i="9"/>
  <c r="G245" i="9"/>
  <c r="D341" i="9"/>
  <c r="C309" i="9"/>
  <c r="I245" i="9"/>
  <c r="H149" i="9"/>
  <c r="I213" i="9"/>
  <c r="D149" i="9"/>
  <c r="F85" i="9"/>
  <c r="C21" i="9"/>
  <c r="C544" i="1"/>
  <c r="G544" i="1" s="1"/>
  <c r="F341" i="9"/>
  <c r="G309" i="9"/>
  <c r="C704" i="1"/>
  <c r="C622" i="1"/>
  <c r="H517" i="1"/>
  <c r="H518" i="1"/>
  <c r="C551" i="1"/>
  <c r="C693" i="1"/>
  <c r="C569" i="1"/>
  <c r="C509" i="1"/>
  <c r="G509" i="1" s="1"/>
  <c r="H509" i="1" s="1"/>
  <c r="C697" i="1"/>
  <c r="C685" i="1"/>
  <c r="H504" i="1"/>
  <c r="C521" i="1"/>
  <c r="G521" i="1" s="1"/>
  <c r="C542" i="1"/>
  <c r="C631" i="1"/>
  <c r="H496" i="1"/>
  <c r="H546" i="1"/>
  <c r="H510" i="1"/>
  <c r="C563" i="1"/>
  <c r="C500" i="1"/>
  <c r="G500" i="1" s="1"/>
  <c r="C529" i="1"/>
  <c r="G529" i="1" s="1"/>
  <c r="C567" i="1"/>
  <c r="C627" i="1"/>
  <c r="C560" i="1"/>
  <c r="C562" i="1"/>
  <c r="C549" i="1"/>
  <c r="C614" i="1"/>
  <c r="D615" i="1" s="1"/>
  <c r="C550" i="1"/>
  <c r="C668" i="1"/>
  <c r="C570" i="1"/>
  <c r="C645" i="1"/>
  <c r="C705" i="1"/>
  <c r="C533" i="1"/>
  <c r="G533" i="1" s="1"/>
  <c r="F21" i="9"/>
  <c r="C499" i="1"/>
  <c r="G499" i="1" s="1"/>
  <c r="C671" i="1"/>
  <c r="C497" i="1"/>
  <c r="G497" i="1" s="1"/>
  <c r="C669" i="1"/>
  <c r="C559" i="1"/>
  <c r="C638" i="1"/>
  <c r="C558" i="1"/>
  <c r="C678" i="1"/>
  <c r="C702" i="1"/>
  <c r="C699" i="1"/>
  <c r="C616" i="1"/>
  <c r="C543" i="1"/>
  <c r="G524" i="1"/>
  <c r="H524" i="1" s="1"/>
  <c r="C520" i="1"/>
  <c r="C692" i="1"/>
  <c r="C501" i="1"/>
  <c r="G501" i="1" s="1"/>
  <c r="C673" i="1"/>
  <c r="H498" i="1"/>
  <c r="H511" i="1"/>
  <c r="H526" i="1"/>
  <c r="H512" i="1"/>
  <c r="H513" i="1"/>
  <c r="J734" i="1"/>
  <c r="J815" i="1" s="1"/>
  <c r="CE67" i="1"/>
  <c r="C17" i="9"/>
  <c r="J733" i="10"/>
  <c r="J814" i="10" s="1"/>
  <c r="F545" i="1"/>
  <c r="H545" i="1" s="1"/>
  <c r="F525" i="1"/>
  <c r="H525" i="1" s="1"/>
  <c r="F529" i="1"/>
  <c r="F521" i="1"/>
  <c r="F535" i="1"/>
  <c r="H535" i="1" s="1"/>
  <c r="H533" i="1"/>
  <c r="F533" i="1"/>
  <c r="Z733" i="10"/>
  <c r="Z814" i="10" s="1"/>
  <c r="H527" i="1"/>
  <c r="F527" i="1"/>
  <c r="F539" i="1"/>
  <c r="H539" i="1" s="1"/>
  <c r="F519" i="1"/>
  <c r="H519" i="1" s="1"/>
  <c r="F523" i="1"/>
  <c r="H523" i="1" s="1"/>
  <c r="F537" i="1"/>
  <c r="H537" i="1"/>
  <c r="F531" i="1"/>
  <c r="H531" i="1"/>
  <c r="CE71" i="1" l="1"/>
  <c r="C716" i="1" s="1"/>
  <c r="C384" i="1"/>
  <c r="C126" i="8"/>
  <c r="H544" i="1"/>
  <c r="H521" i="1"/>
  <c r="I373" i="9"/>
  <c r="H529" i="1"/>
  <c r="C648" i="1"/>
  <c r="M716" i="1" s="1"/>
  <c r="Y816" i="1" s="1"/>
  <c r="G520" i="1"/>
  <c r="H520" i="1" s="1"/>
  <c r="C715" i="1"/>
  <c r="G550" i="1"/>
  <c r="H550" i="1" s="1"/>
  <c r="D710" i="1"/>
  <c r="D668" i="1"/>
  <c r="D680" i="1"/>
  <c r="D643" i="1"/>
  <c r="D619" i="1"/>
  <c r="D695" i="1"/>
  <c r="D683" i="1"/>
  <c r="D624" i="1"/>
  <c r="D625" i="1"/>
  <c r="D681" i="1"/>
  <c r="D684" i="1"/>
  <c r="D636" i="1"/>
  <c r="D698" i="1"/>
  <c r="D644" i="1"/>
  <c r="D645" i="1"/>
  <c r="D704" i="1"/>
  <c r="D639" i="1"/>
  <c r="D628" i="1"/>
  <c r="D705" i="1"/>
  <c r="D711" i="1"/>
  <c r="D631" i="1"/>
  <c r="D706" i="1"/>
  <c r="D676" i="1"/>
  <c r="D713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638" i="1"/>
  <c r="D703" i="1"/>
  <c r="D670" i="1"/>
  <c r="D627" i="1"/>
  <c r="D621" i="1"/>
  <c r="D712" i="1"/>
  <c r="D678" i="1"/>
  <c r="D642" i="1"/>
  <c r="D709" i="1"/>
  <c r="D616" i="1"/>
  <c r="D672" i="1"/>
  <c r="D626" i="1"/>
  <c r="D641" i="1"/>
  <c r="D633" i="1"/>
  <c r="D646" i="1"/>
  <c r="D708" i="1"/>
  <c r="D688" i="1"/>
  <c r="D679" i="1"/>
  <c r="D693" i="1"/>
  <c r="D618" i="1"/>
  <c r="D716" i="1"/>
  <c r="D687" i="1"/>
  <c r="D692" i="1"/>
  <c r="D622" i="1"/>
  <c r="D700" i="1"/>
  <c r="D623" i="1"/>
  <c r="D686" i="1"/>
  <c r="D699" i="1"/>
  <c r="D675" i="1"/>
  <c r="D630" i="1"/>
  <c r="D682" i="1"/>
  <c r="D674" i="1"/>
  <c r="D702" i="1"/>
  <c r="D629" i="1"/>
  <c r="D620" i="1"/>
  <c r="D669" i="1"/>
  <c r="D691" i="1"/>
  <c r="D673" i="1"/>
  <c r="D677" i="1"/>
  <c r="D640" i="1"/>
  <c r="D689" i="1"/>
  <c r="D701" i="1"/>
  <c r="D696" i="1"/>
  <c r="C433" i="1"/>
  <c r="C441" i="1" s="1"/>
  <c r="J816" i="1"/>
  <c r="I369" i="9"/>
  <c r="J815" i="10"/>
  <c r="C135" i="8" l="1"/>
  <c r="J817" i="1"/>
  <c r="BW730" i="1"/>
  <c r="B433" i="1"/>
  <c r="D390" i="1"/>
  <c r="D715" i="1"/>
  <c r="E612" i="1"/>
  <c r="E623" i="1"/>
  <c r="B441" i="1" l="1"/>
  <c r="C141" i="8"/>
  <c r="D391" i="1"/>
  <c r="E708" i="1"/>
  <c r="E716" i="1"/>
  <c r="E698" i="1"/>
  <c r="E645" i="1"/>
  <c r="E637" i="1"/>
  <c r="E701" i="1"/>
  <c r="E638" i="1"/>
  <c r="E679" i="1"/>
  <c r="E643" i="1"/>
  <c r="E710" i="1"/>
  <c r="E676" i="1"/>
  <c r="E642" i="1"/>
  <c r="E696" i="1"/>
  <c r="E673" i="1"/>
  <c r="E702" i="1"/>
  <c r="E675" i="1"/>
  <c r="E699" i="1"/>
  <c r="E632" i="1"/>
  <c r="E681" i="1"/>
  <c r="E628" i="1"/>
  <c r="E671" i="1"/>
  <c r="E706" i="1"/>
  <c r="E686" i="1"/>
  <c r="E703" i="1"/>
  <c r="E682" i="1"/>
  <c r="E639" i="1"/>
  <c r="E629" i="1"/>
  <c r="E683" i="1"/>
  <c r="E672" i="1"/>
  <c r="E712" i="1"/>
  <c r="E626" i="1"/>
  <c r="E700" i="1"/>
  <c r="E694" i="1"/>
  <c r="E709" i="1"/>
  <c r="E646" i="1"/>
  <c r="E689" i="1"/>
  <c r="E625" i="1"/>
  <c r="E695" i="1"/>
  <c r="E680" i="1"/>
  <c r="E634" i="1"/>
  <c r="E624" i="1"/>
  <c r="F624" i="1" s="1"/>
  <c r="F700" i="1" s="1"/>
  <c r="E711" i="1"/>
  <c r="E668" i="1"/>
  <c r="E704" i="1"/>
  <c r="E690" i="1"/>
  <c r="E635" i="1"/>
  <c r="E713" i="1"/>
  <c r="E630" i="1"/>
  <c r="E644" i="1"/>
  <c r="E688" i="1"/>
  <c r="E691" i="1"/>
  <c r="E641" i="1"/>
  <c r="E636" i="1"/>
  <c r="E640" i="1"/>
  <c r="E685" i="1"/>
  <c r="E707" i="1"/>
  <c r="E693" i="1"/>
  <c r="E627" i="1"/>
  <c r="E674" i="1"/>
  <c r="E684" i="1"/>
  <c r="E678" i="1"/>
  <c r="E647" i="1"/>
  <c r="E631" i="1"/>
  <c r="E692" i="1"/>
  <c r="E677" i="1"/>
  <c r="E705" i="1"/>
  <c r="E633" i="1"/>
  <c r="E687" i="1"/>
  <c r="E697" i="1"/>
  <c r="E669" i="1"/>
  <c r="E670" i="1"/>
  <c r="D393" i="1" l="1"/>
  <c r="C142" i="8"/>
  <c r="F711" i="1"/>
  <c r="F705" i="1"/>
  <c r="F633" i="1"/>
  <c r="F689" i="1"/>
  <c r="F698" i="1"/>
  <c r="F697" i="1"/>
  <c r="F642" i="1"/>
  <c r="F641" i="1"/>
  <c r="F693" i="1"/>
  <c r="F696" i="1"/>
  <c r="F710" i="1"/>
  <c r="F682" i="1"/>
  <c r="F703" i="1"/>
  <c r="F691" i="1"/>
  <c r="F704" i="1"/>
  <c r="F626" i="1"/>
  <c r="F670" i="1"/>
  <c r="F695" i="1"/>
  <c r="F681" i="1"/>
  <c r="F669" i="1"/>
  <c r="F634" i="1"/>
  <c r="F716" i="1"/>
  <c r="F676" i="1"/>
  <c r="F647" i="1"/>
  <c r="F701" i="1"/>
  <c r="F638" i="1"/>
  <c r="F644" i="1"/>
  <c r="F668" i="1"/>
  <c r="F675" i="1"/>
  <c r="F671" i="1"/>
  <c r="F631" i="1"/>
  <c r="F672" i="1"/>
  <c r="F684" i="1"/>
  <c r="F636" i="1"/>
  <c r="F680" i="1"/>
  <c r="F637" i="1"/>
  <c r="F702" i="1"/>
  <c r="F625" i="1"/>
  <c r="F685" i="1"/>
  <c r="F632" i="1"/>
  <c r="F712" i="1"/>
  <c r="F706" i="1"/>
  <c r="F643" i="1"/>
  <c r="F686" i="1"/>
  <c r="F708" i="1"/>
  <c r="F677" i="1"/>
  <c r="F709" i="1"/>
  <c r="F673" i="1"/>
  <c r="F646" i="1"/>
  <c r="F679" i="1"/>
  <c r="F645" i="1"/>
  <c r="F683" i="1"/>
  <c r="F678" i="1"/>
  <c r="F692" i="1"/>
  <c r="F629" i="1"/>
  <c r="F674" i="1"/>
  <c r="F639" i="1"/>
  <c r="F690" i="1"/>
  <c r="F688" i="1"/>
  <c r="F640" i="1"/>
  <c r="F713" i="1"/>
  <c r="F699" i="1"/>
  <c r="F635" i="1"/>
  <c r="F628" i="1"/>
  <c r="F627" i="1"/>
  <c r="F694" i="1"/>
  <c r="F630" i="1"/>
  <c r="F707" i="1"/>
  <c r="F687" i="1"/>
  <c r="E715" i="1"/>
  <c r="C146" i="8" l="1"/>
  <c r="D396" i="1"/>
  <c r="C151" i="8" s="1"/>
  <c r="F715" i="1"/>
  <c r="G625" i="1"/>
  <c r="G698" i="1" l="1"/>
  <c r="G675" i="1"/>
  <c r="G713" i="1"/>
  <c r="G685" i="1"/>
  <c r="G678" i="1"/>
  <c r="G711" i="1"/>
  <c r="G682" i="1"/>
  <c r="G669" i="1"/>
  <c r="G697" i="1"/>
  <c r="G687" i="1"/>
  <c r="G670" i="1"/>
  <c r="G699" i="1"/>
  <c r="G673" i="1"/>
  <c r="G691" i="1"/>
  <c r="G637" i="1"/>
  <c r="G647" i="1"/>
  <c r="G703" i="1"/>
  <c r="G636" i="1"/>
  <c r="G681" i="1"/>
  <c r="G706" i="1"/>
  <c r="G646" i="1"/>
  <c r="G639" i="1"/>
  <c r="G642" i="1"/>
  <c r="G671" i="1"/>
  <c r="G686" i="1"/>
  <c r="G630" i="1"/>
  <c r="G696" i="1"/>
  <c r="G712" i="1"/>
  <c r="G683" i="1"/>
  <c r="G694" i="1"/>
  <c r="G633" i="1"/>
  <c r="G710" i="1"/>
  <c r="G702" i="1"/>
  <c r="G626" i="1"/>
  <c r="G640" i="1"/>
  <c r="G705" i="1"/>
  <c r="G643" i="1"/>
  <c r="G674" i="1"/>
  <c r="G677" i="1"/>
  <c r="G716" i="1"/>
  <c r="G668" i="1"/>
  <c r="G708" i="1"/>
  <c r="G641" i="1"/>
  <c r="G645" i="1"/>
  <c r="G701" i="1"/>
  <c r="G631" i="1"/>
  <c r="G692" i="1"/>
  <c r="G635" i="1"/>
  <c r="G680" i="1"/>
  <c r="G679" i="1"/>
  <c r="G627" i="1"/>
  <c r="G704" i="1"/>
  <c r="G634" i="1"/>
  <c r="G689" i="1"/>
  <c r="G695" i="1"/>
  <c r="G690" i="1"/>
  <c r="G707" i="1"/>
  <c r="G632" i="1"/>
  <c r="G693" i="1"/>
  <c r="G700" i="1"/>
  <c r="G684" i="1"/>
  <c r="G644" i="1"/>
  <c r="G638" i="1"/>
  <c r="G628" i="1"/>
  <c r="G688" i="1"/>
  <c r="G629" i="1"/>
  <c r="G709" i="1"/>
  <c r="G676" i="1"/>
  <c r="G672" i="1"/>
  <c r="G715" i="1" l="1"/>
  <c r="H628" i="1"/>
  <c r="H692" i="1" l="1"/>
  <c r="H647" i="1"/>
  <c r="H712" i="1"/>
  <c r="H694" i="1"/>
  <c r="H713" i="1"/>
  <c r="H683" i="1"/>
  <c r="H640" i="1"/>
  <c r="H716" i="1"/>
  <c r="H629" i="1"/>
  <c r="I629" i="1" s="1"/>
  <c r="H645" i="1"/>
  <c r="H708" i="1"/>
  <c r="H710" i="1"/>
  <c r="H668" i="1"/>
  <c r="H633" i="1"/>
  <c r="H690" i="1"/>
  <c r="H634" i="1"/>
  <c r="H684" i="1"/>
  <c r="H669" i="1"/>
  <c r="H685" i="1"/>
  <c r="H691" i="1"/>
  <c r="H709" i="1"/>
  <c r="H701" i="1"/>
  <c r="H680" i="1"/>
  <c r="H677" i="1"/>
  <c r="H687" i="1"/>
  <c r="H673" i="1"/>
  <c r="H630" i="1"/>
  <c r="H642" i="1"/>
  <c r="H699" i="1"/>
  <c r="H707" i="1"/>
  <c r="H696" i="1"/>
  <c r="H700" i="1"/>
  <c r="H695" i="1"/>
  <c r="H637" i="1"/>
  <c r="H686" i="1"/>
  <c r="H702" i="1"/>
  <c r="H679" i="1"/>
  <c r="H631" i="1"/>
  <c r="H639" i="1"/>
  <c r="H688" i="1"/>
  <c r="H646" i="1"/>
  <c r="H636" i="1"/>
  <c r="H705" i="1"/>
  <c r="H706" i="1"/>
  <c r="H689" i="1"/>
  <c r="H693" i="1"/>
  <c r="H704" i="1"/>
  <c r="H698" i="1"/>
  <c r="H674" i="1"/>
  <c r="H672" i="1"/>
  <c r="H682" i="1"/>
  <c r="H641" i="1"/>
  <c r="H644" i="1"/>
  <c r="H681" i="1"/>
  <c r="H697" i="1"/>
  <c r="H643" i="1"/>
  <c r="H671" i="1"/>
  <c r="H678" i="1"/>
  <c r="H632" i="1"/>
  <c r="H635" i="1"/>
  <c r="H638" i="1"/>
  <c r="H711" i="1"/>
  <c r="H676" i="1"/>
  <c r="H670" i="1"/>
  <c r="H675" i="1"/>
  <c r="H703" i="1"/>
  <c r="I668" i="1" l="1"/>
  <c r="I710" i="1"/>
  <c r="I703" i="1"/>
  <c r="I636" i="1"/>
  <c r="I700" i="1"/>
  <c r="I713" i="1"/>
  <c r="I690" i="1"/>
  <c r="I706" i="1"/>
  <c r="I699" i="1"/>
  <c r="I674" i="1"/>
  <c r="I689" i="1"/>
  <c r="I702" i="1"/>
  <c r="I709" i="1"/>
  <c r="I707" i="1"/>
  <c r="I677" i="1"/>
  <c r="I686" i="1"/>
  <c r="I687" i="1"/>
  <c r="I631" i="1"/>
  <c r="I708" i="1"/>
  <c r="I641" i="1"/>
  <c r="I646" i="1"/>
  <c r="I679" i="1"/>
  <c r="I639" i="1"/>
  <c r="I712" i="1"/>
  <c r="I698" i="1"/>
  <c r="I645" i="1"/>
  <c r="I682" i="1"/>
  <c r="I696" i="1"/>
  <c r="I640" i="1"/>
  <c r="I705" i="1"/>
  <c r="I695" i="1"/>
  <c r="I716" i="1"/>
  <c r="I704" i="1"/>
  <c r="I711" i="1"/>
  <c r="I647" i="1"/>
  <c r="I680" i="1"/>
  <c r="I669" i="1"/>
  <c r="I643" i="1"/>
  <c r="I633" i="1"/>
  <c r="I675" i="1"/>
  <c r="I673" i="1"/>
  <c r="I644" i="1"/>
  <c r="I670" i="1"/>
  <c r="I685" i="1"/>
  <c r="I642" i="1"/>
  <c r="I688" i="1"/>
  <c r="I684" i="1"/>
  <c r="I638" i="1"/>
  <c r="I691" i="1"/>
  <c r="I634" i="1"/>
  <c r="I697" i="1"/>
  <c r="I683" i="1"/>
  <c r="I681" i="1"/>
  <c r="I678" i="1"/>
  <c r="I701" i="1"/>
  <c r="I672" i="1"/>
  <c r="I692" i="1"/>
  <c r="I630" i="1"/>
  <c r="I637" i="1"/>
  <c r="I676" i="1"/>
  <c r="I632" i="1"/>
  <c r="I693" i="1"/>
  <c r="I635" i="1"/>
  <c r="I671" i="1"/>
  <c r="I694" i="1"/>
  <c r="H715" i="1"/>
  <c r="I715" i="1" l="1"/>
  <c r="J630" i="1"/>
  <c r="J645" i="1" l="1"/>
  <c r="J634" i="1"/>
  <c r="J712" i="1"/>
  <c r="J708" i="1"/>
  <c r="J693" i="1"/>
  <c r="J647" i="1"/>
  <c r="J671" i="1"/>
  <c r="J694" i="1"/>
  <c r="J709" i="1"/>
  <c r="J700" i="1"/>
  <c r="J716" i="1"/>
  <c r="J678" i="1"/>
  <c r="J673" i="1"/>
  <c r="J706" i="1"/>
  <c r="J707" i="1"/>
  <c r="J638" i="1"/>
  <c r="J711" i="1"/>
  <c r="J685" i="1"/>
  <c r="J713" i="1"/>
  <c r="J632" i="1"/>
  <c r="J705" i="1"/>
  <c r="J636" i="1"/>
  <c r="J702" i="1"/>
  <c r="J710" i="1"/>
  <c r="J689" i="1"/>
  <c r="J631" i="1"/>
  <c r="J699" i="1"/>
  <c r="J672" i="1"/>
  <c r="J670" i="1"/>
  <c r="J682" i="1"/>
  <c r="J681" i="1"/>
  <c r="J701" i="1"/>
  <c r="J640" i="1"/>
  <c r="J695" i="1"/>
  <c r="J639" i="1"/>
  <c r="J676" i="1"/>
  <c r="J679" i="1"/>
  <c r="J642" i="1"/>
  <c r="J674" i="1"/>
  <c r="J683" i="1"/>
  <c r="J668" i="1"/>
  <c r="J696" i="1"/>
  <c r="J646" i="1"/>
  <c r="J633" i="1"/>
  <c r="J637" i="1"/>
  <c r="J698" i="1"/>
  <c r="J692" i="1"/>
  <c r="J687" i="1"/>
  <c r="J697" i="1"/>
  <c r="J635" i="1"/>
  <c r="J704" i="1"/>
  <c r="J644" i="1"/>
  <c r="J684" i="1"/>
  <c r="J677" i="1"/>
  <c r="J690" i="1"/>
  <c r="J643" i="1"/>
  <c r="J688" i="1"/>
  <c r="J703" i="1"/>
  <c r="J669" i="1"/>
  <c r="J680" i="1"/>
  <c r="J686" i="1"/>
  <c r="J691" i="1"/>
  <c r="J641" i="1"/>
  <c r="J675" i="1"/>
  <c r="L647" i="1" l="1"/>
  <c r="L705" i="1" s="1"/>
  <c r="K644" i="1"/>
  <c r="K702" i="1" s="1"/>
  <c r="J715" i="1"/>
  <c r="L691" i="1" l="1"/>
  <c r="L698" i="1"/>
  <c r="L708" i="1"/>
  <c r="L688" i="1"/>
  <c r="L696" i="1"/>
  <c r="L716" i="1"/>
  <c r="L695" i="1"/>
  <c r="L710" i="1"/>
  <c r="L680" i="1"/>
  <c r="L670" i="1"/>
  <c r="L703" i="1"/>
  <c r="L707" i="1"/>
  <c r="L701" i="1"/>
  <c r="L699" i="1"/>
  <c r="L682" i="1"/>
  <c r="L668" i="1"/>
  <c r="L712" i="1"/>
  <c r="L686" i="1"/>
  <c r="L709" i="1"/>
  <c r="L677" i="1"/>
  <c r="L706" i="1"/>
  <c r="L675" i="1"/>
  <c r="L669" i="1"/>
  <c r="L671" i="1"/>
  <c r="L694" i="1"/>
  <c r="L673" i="1"/>
  <c r="L697" i="1"/>
  <c r="L689" i="1"/>
  <c r="L713" i="1"/>
  <c r="L690" i="1"/>
  <c r="L704" i="1"/>
  <c r="L711" i="1"/>
  <c r="L681" i="1"/>
  <c r="L702" i="1"/>
  <c r="M702" i="1" s="1"/>
  <c r="I151" i="9" s="1"/>
  <c r="L685" i="1"/>
  <c r="L672" i="1"/>
  <c r="L700" i="1"/>
  <c r="L693" i="1"/>
  <c r="L674" i="1"/>
  <c r="L678" i="1"/>
  <c r="L692" i="1"/>
  <c r="L683" i="1"/>
  <c r="L679" i="1"/>
  <c r="L684" i="1"/>
  <c r="L687" i="1"/>
  <c r="L676" i="1"/>
  <c r="K689" i="1"/>
  <c r="M689" i="1" s="1"/>
  <c r="K691" i="1"/>
  <c r="K675" i="1"/>
  <c r="K682" i="1"/>
  <c r="K695" i="1"/>
  <c r="K698" i="1"/>
  <c r="M698" i="1" s="1"/>
  <c r="K709" i="1"/>
  <c r="K683" i="1"/>
  <c r="K684" i="1"/>
  <c r="M684" i="1" s="1"/>
  <c r="K672" i="1"/>
  <c r="K680" i="1"/>
  <c r="K708" i="1"/>
  <c r="K697" i="1"/>
  <c r="K694" i="1"/>
  <c r="K685" i="1"/>
  <c r="M685" i="1" s="1"/>
  <c r="K706" i="1"/>
  <c r="K688" i="1"/>
  <c r="M688" i="1" s="1"/>
  <c r="K716" i="1"/>
  <c r="K673" i="1"/>
  <c r="K692" i="1"/>
  <c r="K693" i="1"/>
  <c r="K681" i="1"/>
  <c r="K696" i="1"/>
  <c r="K707" i="1"/>
  <c r="M707" i="1" s="1"/>
  <c r="K679" i="1"/>
  <c r="K711" i="1"/>
  <c r="K700" i="1"/>
  <c r="K676" i="1"/>
  <c r="K704" i="1"/>
  <c r="K690" i="1"/>
  <c r="K703" i="1"/>
  <c r="M703" i="1" s="1"/>
  <c r="K668" i="1"/>
  <c r="K669" i="1"/>
  <c r="K671" i="1"/>
  <c r="K677" i="1"/>
  <c r="K687" i="1"/>
  <c r="K712" i="1"/>
  <c r="K713" i="1"/>
  <c r="K701" i="1"/>
  <c r="K699" i="1"/>
  <c r="M699" i="1" s="1"/>
  <c r="K674" i="1"/>
  <c r="M674" i="1" s="1"/>
  <c r="K686" i="1"/>
  <c r="K670" i="1"/>
  <c r="K705" i="1"/>
  <c r="M705" i="1" s="1"/>
  <c r="K678" i="1"/>
  <c r="K710" i="1"/>
  <c r="M701" i="1" l="1"/>
  <c r="M679" i="1"/>
  <c r="Y745" i="1" s="1"/>
  <c r="M697" i="1"/>
  <c r="Y763" i="1" s="1"/>
  <c r="M696" i="1"/>
  <c r="Y762" i="1" s="1"/>
  <c r="M709" i="1"/>
  <c r="Y775" i="1" s="1"/>
  <c r="M706" i="1"/>
  <c r="Y772" i="1" s="1"/>
  <c r="M669" i="1"/>
  <c r="Y735" i="1" s="1"/>
  <c r="M670" i="1"/>
  <c r="Y736" i="1" s="1"/>
  <c r="M673" i="1"/>
  <c r="Y739" i="1" s="1"/>
  <c r="M708" i="1"/>
  <c r="Y774" i="1" s="1"/>
  <c r="M713" i="1"/>
  <c r="Y779" i="1" s="1"/>
  <c r="M691" i="1"/>
  <c r="Y757" i="1" s="1"/>
  <c r="M683" i="1"/>
  <c r="Y749" i="1" s="1"/>
  <c r="M686" i="1"/>
  <c r="Y752" i="1" s="1"/>
  <c r="M671" i="1"/>
  <c r="Y737" i="1" s="1"/>
  <c r="M711" i="1"/>
  <c r="Y777" i="1" s="1"/>
  <c r="M672" i="1"/>
  <c r="Y738" i="1" s="1"/>
  <c r="L715" i="1"/>
  <c r="M695" i="1"/>
  <c r="Y761" i="1" s="1"/>
  <c r="M681" i="1"/>
  <c r="Y747" i="1" s="1"/>
  <c r="M712" i="1"/>
  <c r="Y778" i="1" s="1"/>
  <c r="M682" i="1"/>
  <c r="Y748" i="1" s="1"/>
  <c r="M710" i="1"/>
  <c r="Y776" i="1" s="1"/>
  <c r="M690" i="1"/>
  <c r="Y756" i="1" s="1"/>
  <c r="M694" i="1"/>
  <c r="Y760" i="1" s="1"/>
  <c r="M678" i="1"/>
  <c r="Y744" i="1" s="1"/>
  <c r="M704" i="1"/>
  <c r="Y770" i="1" s="1"/>
  <c r="M693" i="1"/>
  <c r="Y759" i="1" s="1"/>
  <c r="M687" i="1"/>
  <c r="Y753" i="1" s="1"/>
  <c r="M676" i="1"/>
  <c r="Y742" i="1" s="1"/>
  <c r="M692" i="1"/>
  <c r="Y758" i="1" s="1"/>
  <c r="M677" i="1"/>
  <c r="Y743" i="1" s="1"/>
  <c r="M700" i="1"/>
  <c r="Y766" i="1" s="1"/>
  <c r="M680" i="1"/>
  <c r="Y746" i="1" s="1"/>
  <c r="M675" i="1"/>
  <c r="Y741" i="1" s="1"/>
  <c r="Y768" i="1"/>
  <c r="H183" i="9"/>
  <c r="I183" i="9"/>
  <c r="G55" i="9"/>
  <c r="F87" i="9"/>
  <c r="Y751" i="1"/>
  <c r="Y769" i="1"/>
  <c r="C183" i="9"/>
  <c r="E87" i="9"/>
  <c r="Y750" i="1"/>
  <c r="Y754" i="1"/>
  <c r="I87" i="9"/>
  <c r="Y755" i="1"/>
  <c r="C119" i="9"/>
  <c r="Y771" i="1"/>
  <c r="E183" i="9"/>
  <c r="G183" i="9"/>
  <c r="Y773" i="1"/>
  <c r="K715" i="1"/>
  <c r="M668" i="1"/>
  <c r="C151" i="9"/>
  <c r="E151" i="9"/>
  <c r="Y764" i="1"/>
  <c r="Y740" i="1"/>
  <c r="I23" i="9"/>
  <c r="F151" i="9"/>
  <c r="Y765" i="1"/>
  <c r="D151" i="9"/>
  <c r="H151" i="9"/>
  <c r="Y767" i="1"/>
  <c r="E119" i="9" l="1"/>
  <c r="F183" i="9"/>
  <c r="C215" i="9"/>
  <c r="F215" i="9"/>
  <c r="E55" i="9"/>
  <c r="F23" i="9"/>
  <c r="D119" i="9"/>
  <c r="H23" i="9"/>
  <c r="D23" i="9"/>
  <c r="F119" i="9"/>
  <c r="D215" i="9"/>
  <c r="E23" i="9"/>
  <c r="D87" i="9"/>
  <c r="G151" i="9"/>
  <c r="G87" i="9"/>
  <c r="G23" i="9"/>
  <c r="H55" i="9"/>
  <c r="H119" i="9"/>
  <c r="C87" i="9"/>
  <c r="G119" i="9"/>
  <c r="D55" i="9"/>
  <c r="I55" i="9"/>
  <c r="C55" i="9"/>
  <c r="H87" i="9"/>
  <c r="E215" i="9"/>
  <c r="I119" i="9"/>
  <c r="F55" i="9"/>
  <c r="D183" i="9"/>
  <c r="M715" i="1"/>
  <c r="C23" i="9"/>
  <c r="Y734" i="1"/>
  <c r="Y815" i="1" s="1"/>
</calcChain>
</file>

<file path=xl/sharedStrings.xml><?xml version="1.0" encoding="utf-8"?>
<sst xmlns="http://schemas.openxmlformats.org/spreadsheetml/2006/main" count="4952" uniqueCount="1294">
  <si>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</si>
  <si>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</si>
  <si>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</si>
  <si>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</si>
  <si>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</si>
  <si>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</si>
  <si>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</si>
  <si>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</si>
  <si>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</si>
  <si>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</si>
  <si>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</si>
  <si>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</si>
  <si>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</si>
  <si>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</si>
  <si>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</si>
  <si>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</si>
  <si>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</si>
  <si>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</si>
  <si>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</si>
  <si>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</si>
  <si>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</si>
  <si>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</si>
  <si>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</si>
  <si>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</si>
  <si>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</si>
  <si>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</si>
  <si>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</si>
  <si>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</si>
  <si>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</si>
  <si>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</si>
  <si>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</si>
  <si>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</si>
  <si>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</si>
  <si>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</si>
  <si>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</si>
  <si>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</si>
  <si>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</si>
  <si>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</si>
  <si>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</si>
  <si>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</si>
  <si>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</si>
  <si>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</si>
  <si>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</si>
  <si>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</si>
  <si>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</si>
  <si>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</si>
  <si>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</si>
  <si>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</si>
  <si>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</si>
  <si>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</si>
  <si>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</si>
  <si>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</si>
  <si>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</si>
  <si>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</si>
  <si>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</si>
  <si>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</si>
  <si>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</si>
  <si>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</si>
  <si>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</si>
  <si>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</si>
  <si>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</si>
  <si>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</si>
  <si>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</si>
  <si>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</si>
  <si>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</si>
  <si>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</si>
  <si>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</si>
  <si>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</si>
  <si>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</si>
  <si>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</si>
  <si>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</si>
  <si>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</si>
  <si>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</si>
  <si>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</si>
  <si>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</si>
  <si>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</si>
  <si>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</si>
  <si>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</si>
  <si>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</si>
  <si>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</si>
  <si>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</si>
  <si>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</si>
  <si>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</si>
  <si>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</si>
  <si>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</si>
  <si>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</si>
  <si>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</si>
  <si>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</si>
  <si>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</si>
  <si>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</si>
  <si>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</si>
  <si>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</si>
  <si>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</si>
  <si>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</si>
  <si>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</si>
  <si>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</si>
  <si>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</si>
  <si>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</si>
  <si>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</si>
  <si>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</si>
  <si>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</si>
  <si>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</si>
  <si>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</si>
  <si>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</si>
  <si>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</si>
  <si>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</si>
  <si>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</si>
  <si>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</si>
  <si>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</si>
  <si>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</si>
  <si>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</si>
  <si>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</si>
  <si>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</si>
  <si>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</si>
  <si>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</si>
  <si>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</si>
  <si>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</si>
  <si>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</si>
  <si>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</si>
  <si>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</si>
  <si>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</si>
  <si>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</si>
  <si>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</si>
  <si>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</si>
  <si>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</si>
  <si>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</si>
  <si>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</si>
  <si>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</si>
  <si>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</si>
  <si>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</si>
  <si>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</si>
  <si>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</si>
  <si>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</si>
  <si>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</si>
  <si>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</si>
  <si>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</si>
  <si>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</si>
  <si>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</si>
  <si>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</si>
  <si>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</si>
  <si>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</si>
  <si>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</si>
  <si>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</si>
  <si>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</si>
  <si>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</si>
  <si>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</si>
  <si>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</si>
  <si>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</si>
  <si>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</si>
  <si>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</si>
  <si>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</si>
  <si>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</si>
  <si>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</si>
  <si>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</si>
  <si>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</si>
  <si>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</si>
  <si>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</si>
  <si>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</si>
  <si>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</si>
  <si>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</si>
  <si>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</si>
  <si>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</si>
  <si>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</si>
  <si>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</si>
  <si>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</si>
  <si>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</si>
  <si>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</si>
  <si>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</si>
  <si>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</si>
  <si>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</si>
  <si>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</si>
  <si>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</si>
  <si>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</si>
  <si>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</si>
  <si>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</si>
  <si>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</si>
  <si>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</si>
  <si>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</si>
  <si>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</si>
  <si>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</si>
  <si>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</si>
  <si>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</si>
  <si>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</si>
  <si>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</si>
  <si>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</si>
  <si>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</si>
  <si>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</si>
  <si>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</si>
  <si>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</si>
  <si>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</si>
  <si>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</si>
  <si>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</si>
  <si>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</si>
  <si>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</si>
  <si>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</si>
  <si>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</si>
  <si>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</si>
  <si>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</si>
  <si>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</si>
  <si>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</si>
  <si>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</si>
  <si>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</si>
  <si>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</si>
  <si>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</si>
  <si>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</si>
  <si>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</si>
  <si>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</si>
  <si>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</si>
  <si>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</si>
  <si>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</si>
  <si>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</si>
  <si>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</si>
  <si>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</si>
  <si>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</si>
  <si>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</si>
  <si>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</si>
  <si>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</si>
  <si>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</si>
  <si>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</si>
  <si>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</si>
  <si>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</si>
  <si>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</si>
  <si>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</si>
  <si>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</si>
  <si>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</si>
  <si>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</si>
  <si>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</si>
  <si>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</si>
  <si>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</si>
  <si>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</si>
  <si>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</si>
  <si>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</si>
  <si>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</si>
  <si>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</si>
  <si>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</si>
  <si>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</si>
  <si>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</si>
  <si>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</si>
  <si>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</si>
  <si>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</si>
  <si>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</si>
  <si>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</si>
  <si>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</si>
  <si>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</si>
  <si>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</si>
  <si>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</si>
  <si>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</si>
  <si>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</si>
  <si>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</si>
  <si>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</si>
  <si>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</si>
  <si>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</si>
  <si>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</si>
  <si>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</si>
  <si>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</si>
  <si>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</si>
  <si>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</si>
  <si>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</si>
  <si>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</si>
  <si>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</si>
  <si>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</si>
  <si>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</si>
  <si>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</si>
  <si>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</si>
  <si>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</si>
  <si>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</si>
  <si>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</si>
  <si>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</si>
  <si>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</si>
  <si>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</si>
  <si>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</si>
  <si>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</si>
  <si>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</si>
  <si>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</si>
  <si>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</si>
  <si>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</si>
  <si>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</si>
  <si>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</si>
  <si>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</si>
  <si>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</si>
  <si>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</si>
  <si>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</si>
  <si>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</si>
  <si>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</si>
  <si>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</si>
  <si>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</si>
  <si>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</si>
  <si>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</si>
  <si>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</si>
  <si>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</si>
  <si>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</si>
  <si>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</si>
  <si>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</si>
  <si>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</si>
  <si>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</si>
  <si>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</si>
  <si>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</si>
  <si>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</si>
  <si>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</si>
  <si>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</si>
  <si>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</si>
  <si>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</si>
  <si>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</si>
  <si>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</si>
  <si>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</si>
  <si>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</si>
  <si>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</si>
  <si>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</si>
  <si>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</si>
  <si>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</si>
  <si>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</si>
  <si>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</si>
  <si>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</si>
  <si>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</si>
  <si>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</si>
  <si>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</si>
  <si>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</si>
  <si>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</si>
  <si>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</si>
  <si>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</si>
  <si>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</si>
  <si>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</si>
  <si>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</si>
  <si>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</si>
  <si>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</si>
  <si>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</si>
  <si>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</si>
  <si>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</si>
  <si>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</si>
  <si>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</si>
  <si>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</si>
  <si>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</si>
  <si>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</si>
  <si>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</si>
  <si>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</si>
  <si>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</si>
  <si>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</si>
  <si>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</si>
  <si>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</si>
  <si>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</si>
  <si>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</si>
  <si>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</si>
  <si>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</si>
  <si>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</si>
  <si>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</si>
  <si>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</si>
  <si>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</si>
  <si>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</si>
  <si>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</si>
  <si>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</si>
  <si>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</si>
  <si>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</si>
  <si>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</si>
  <si>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</si>
  <si>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</si>
  <si>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</si>
  <si>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</si>
  <si>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</si>
  <si>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</si>
  <si>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</si>
  <si>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</si>
  <si>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</si>
  <si>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</si>
  <si>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</si>
  <si>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</si>
  <si>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</si>
  <si>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</si>
  <si>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</si>
  <si>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</si>
  <si>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</si>
  <si>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</si>
  <si>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</si>
  <si>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</si>
  <si>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</si>
  <si>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</si>
  <si>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</si>
  <si>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</si>
  <si>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</si>
  <si>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</si>
  <si>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</si>
  <si>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</si>
  <si>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</si>
  <si>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</si>
  <si>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</si>
  <si>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</si>
  <si>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</si>
  <si>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</si>
  <si>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</si>
  <si>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</si>
  <si>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</si>
  <si>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</si>
  <si>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</si>
  <si>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</si>
  <si>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</si>
  <si>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</si>
  <si>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</si>
  <si>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</si>
  <si>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</si>
  <si>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</si>
  <si>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</si>
  <si>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</si>
  <si>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</si>
  <si>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</si>
  <si>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</si>
  <si>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</si>
  <si>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</si>
  <si>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</si>
  <si>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</si>
  <si>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</si>
  <si>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</si>
  <si>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</si>
  <si>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</si>
  <si>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</si>
  <si>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</si>
  <si>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</si>
  <si>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</si>
  <si>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</si>
  <si>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</si>
  <si>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</si>
  <si>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</si>
  <si>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</si>
  <si>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</si>
  <si>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</si>
  <si>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</si>
  <si>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</si>
  <si>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</si>
  <si>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</si>
  <si>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</si>
  <si>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</si>
  <si>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</si>
  <si>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</si>
  <si>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</si>
  <si>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</si>
  <si>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</si>
  <si>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</si>
  <si>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</si>
  <si>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</si>
  <si>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</si>
  <si>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</si>
  <si>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</si>
  <si>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</si>
  <si>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</si>
  <si>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</si>
  <si>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</si>
  <si>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</si>
  <si>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</si>
  <si>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</si>
  <si>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</si>
  <si>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</si>
  <si>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</si>
  <si>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</si>
  <si>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</si>
  <si>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</si>
  <si>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</si>
  <si>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</si>
  <si>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</si>
  <si>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</si>
  <si>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</si>
  <si>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</si>
  <si>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</si>
  <si>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</si>
  <si>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</si>
  <si>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</si>
  <si>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</si>
  <si>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</si>
  <si>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</si>
  <si>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</si>
  <si>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</si>
  <si>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</si>
  <si>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</si>
  <si>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</si>
  <si>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</si>
  <si>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</si>
  <si>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</si>
  <si>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</si>
  <si>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</si>
  <si>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</si>
  <si>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</si>
  <si>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</si>
  <si>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</si>
  <si>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</si>
  <si>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</si>
  <si>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</si>
  <si>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</si>
  <si>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</si>
  <si>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</si>
  <si>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</si>
  <si>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</si>
  <si>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</si>
  <si>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</si>
  <si>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</si>
  <si>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</si>
  <si>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</si>
  <si>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</si>
  <si>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</si>
  <si>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</si>
  <si>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</si>
  <si>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</si>
  <si>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</si>
  <si>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</si>
  <si>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</si>
  <si>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</si>
  <si>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</si>
  <si>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</si>
  <si>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</si>
  <si>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</si>
  <si>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</si>
  <si>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</si>
  <si>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</si>
  <si>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</si>
  <si>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</si>
  <si>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</si>
  <si>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</si>
  <si>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</si>
  <si>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</si>
  <si>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</si>
  <si>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</si>
  <si>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</si>
  <si>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</si>
  <si>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</si>
  <si>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</si>
  <si>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</si>
  <si>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</si>
  <si>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</si>
  <si>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</si>
  <si>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</si>
  <si>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</si>
  <si>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</si>
  <si>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</si>
  <si>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</si>
  <si>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</si>
  <si>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</si>
  <si>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</si>
  <si>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</si>
  <si>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</si>
  <si>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</si>
  <si>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</si>
  <si>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</si>
  <si>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</si>
  <si>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</si>
  <si>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</si>
  <si>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</si>
  <si>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</si>
  <si>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</si>
  <si>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</si>
  <si>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</si>
  <si>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</si>
  <si>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</si>
  <si>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</si>
  <si>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</si>
  <si>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</si>
  <si>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</si>
  <si>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</si>
  <si>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</si>
  <si>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</si>
  <si>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</si>
  <si>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</si>
  <si>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</si>
  <si>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</si>
  <si>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</si>
  <si>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</si>
  <si>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</si>
  <si>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</si>
  <si>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</si>
  <si>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</si>
  <si>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</si>
  <si>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</si>
  <si>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</si>
  <si>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</si>
  <si>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</si>
  <si>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</si>
  <si>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</si>
  <si>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</si>
  <si>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</si>
  <si>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</si>
  <si>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</si>
  <si>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</si>
  <si>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</si>
  <si>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</si>
  <si>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</si>
  <si>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</si>
  <si>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</si>
  <si>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</si>
  <si>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</si>
  <si>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</si>
  <si>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</si>
  <si>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</si>
  <si>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</si>
  <si>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</si>
  <si>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</si>
  <si>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</si>
  <si>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</si>
  <si>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</si>
  <si>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</si>
  <si>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</si>
  <si>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</si>
  <si>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</si>
  <si>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</si>
  <si>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</si>
  <si>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</si>
  <si>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</si>
  <si>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</si>
  <si>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</si>
  <si>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</si>
  <si>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</si>
  <si>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</si>
  <si>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</si>
  <si>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</si>
  <si>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</si>
  <si>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</si>
  <si>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</si>
  <si>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</si>
  <si>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</si>
  <si>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</si>
  <si>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</si>
  <si>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</si>
  <si>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</si>
  <si>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</si>
  <si>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</si>
  <si>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</si>
  <si>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</si>
  <si>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</si>
  <si>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</si>
  <si>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</si>
  <si>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</si>
  <si>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</si>
  <si>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</si>
  <si>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</si>
  <si>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</si>
  <si>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</si>
  <si>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</si>
  <si>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</si>
  <si>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</si>
  <si>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</si>
  <si>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</si>
  <si>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</si>
  <si>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</si>
  <si>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</si>
  <si>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</si>
  <si>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</si>
  <si>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</si>
  <si>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</si>
  <si>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</si>
  <si>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</si>
  <si>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</si>
  <si>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</si>
  <si>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</si>
  <si>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</si>
  <si>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</si>
  <si>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</si>
  <si>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</si>
  <si>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</si>
  <si>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</si>
  <si>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</si>
  <si>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</si>
  <si>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</si>
  <si>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</si>
  <si>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</si>
  <si>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</si>
  <si>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</si>
  <si>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</si>
  <si>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</si>
  <si>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</si>
  <si>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</si>
  <si>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</si>
  <si>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</si>
  <si>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</si>
  <si>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</si>
  <si>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</si>
  <si>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</si>
  <si>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</si>
  <si>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</si>
  <si>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</si>
  <si>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</si>
  <si>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</si>
  <si>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</si>
  <si>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</si>
  <si>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</si>
  <si>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</si>
  <si>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</si>
  <si>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</si>
  <si>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</si>
  <si>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</si>
  <si>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</si>
  <si>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</si>
  <si>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</si>
  <si>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</si>
  <si>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</si>
  <si>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</si>
  <si>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</si>
  <si>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</si>
  <si>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</si>
  <si>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</si>
  <si>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</si>
  <si>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</si>
  <si>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</si>
  <si>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</si>
  <si>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</si>
  <si>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</si>
  <si>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</si>
  <si>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</si>
  <si>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</si>
  <si>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</si>
  <si>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</si>
  <si>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</si>
  <si>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</si>
  <si>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</si>
  <si>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</si>
  <si>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</si>
  <si>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</si>
  <si>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</si>
  <si>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</si>
  <si>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</si>
  <si>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</si>
  <si>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</si>
  <si>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</si>
  <si>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</si>
  <si>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</si>
  <si>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</si>
  <si>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</si>
  <si>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</si>
  <si>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</si>
  <si>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</si>
  <si>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</si>
  <si>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</si>
  <si>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</si>
  <si>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</si>
  <si>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</si>
  <si>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</si>
  <si>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</si>
  <si>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</si>
  <si>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</si>
  <si>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</si>
  <si>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</si>
  <si>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</si>
  <si>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</si>
  <si>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</si>
  <si>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</si>
  <si>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</si>
  <si>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</si>
  <si>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</si>
  <si>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</si>
  <si>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</si>
  <si>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</si>
  <si>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</si>
  <si>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</si>
  <si>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</si>
  <si>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</si>
  <si>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</si>
  <si>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</si>
  <si>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</si>
  <si>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</si>
  <si>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</si>
  <si>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</si>
  <si>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</si>
  <si>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</si>
  <si>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</si>
  <si>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</si>
  <si>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</si>
  <si>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</si>
  <si>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</si>
  <si>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</si>
  <si>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</si>
  <si>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</si>
  <si>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</si>
  <si>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</si>
  <si>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</si>
  <si>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</si>
  <si>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</si>
  <si>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</si>
  <si>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</si>
  <si>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</si>
  <si>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</si>
  <si>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</si>
  <si>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</si>
  <si>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</si>
  <si>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</si>
  <si>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</si>
  <si>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</si>
  <si>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</si>
  <si>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</si>
  <si>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</si>
  <si>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</si>
  <si>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</si>
  <si>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</si>
  <si>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</si>
  <si>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</si>
  <si>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</si>
  <si>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</si>
  <si>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</si>
  <si>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</si>
  <si>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</si>
  <si>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</si>
  <si>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</si>
  <si>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</si>
  <si>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</si>
  <si>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</si>
  <si>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</si>
  <si>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</si>
  <si>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</si>
  <si>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</si>
  <si>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</si>
  <si>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</si>
  <si>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</si>
  <si>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</si>
  <si>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</si>
  <si>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</si>
  <si>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</si>
  <si>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</si>
  <si>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</si>
  <si>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</si>
  <si>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</si>
  <si>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</si>
  <si>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</si>
  <si>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</si>
  <si>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</si>
  <si>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</si>
  <si>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</si>
  <si>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</si>
  <si>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</si>
  <si>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</si>
  <si>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</si>
  <si>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</si>
  <si>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</si>
  <si>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</si>
  <si>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</si>
  <si>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</si>
  <si>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</si>
  <si>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</si>
  <si>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</si>
  <si>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</si>
  <si>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</si>
  <si>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</si>
  <si>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</si>
  <si>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</si>
  <si>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</si>
  <si>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</si>
  <si>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</si>
  <si>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</si>
  <si>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</si>
  <si>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</si>
  <si>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</si>
  <si>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</si>
  <si>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</si>
  <si>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</si>
  <si>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</si>
  <si>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</si>
  <si>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</si>
  <si>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</si>
  <si>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</si>
  <si>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</si>
  <si>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</si>
  <si>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</si>
  <si>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</si>
  <si>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</si>
  <si>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</si>
  <si>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</si>
  <si>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</si>
  <si>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</si>
  <si>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</si>
  <si>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</si>
  <si>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</si>
  <si>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</si>
  <si>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</si>
  <si>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</si>
  <si>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</si>
  <si>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</si>
  <si>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</si>
  <si>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</si>
  <si>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</si>
  <si>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</si>
  <si>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</si>
  <si>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</si>
  <si>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</si>
  <si>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</si>
  <si>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</si>
  <si>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</si>
  <si>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</si>
  <si>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</si>
  <si>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</si>
  <si>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</si>
  <si>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</si>
  <si>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</si>
  <si>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</si>
  <si>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</si>
  <si>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</si>
  <si>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</si>
  <si>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</si>
  <si>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</si>
  <si>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</si>
  <si>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</si>
  <si>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</si>
  <si>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</si>
  <si>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</si>
  <si>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</si>
  <si>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</si>
  <si>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</si>
  <si>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</si>
  <si>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</si>
  <si>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</si>
  <si>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</si>
  <si>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</si>
  <si>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</si>
  <si>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</si>
  <si>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</si>
  <si>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</si>
  <si>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</si>
  <si>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</si>
  <si>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</si>
  <si>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</si>
  <si>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</si>
  <si>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</si>
  <si>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</si>
  <si>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</si>
  <si>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</si>
  <si>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</si>
  <si>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</si>
  <si>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</si>
  <si>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</si>
  <si>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</si>
  <si>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</si>
  <si>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</si>
  <si>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</si>
  <si>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</si>
  <si>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</si>
  <si>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</si>
  <si>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</si>
  <si>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</si>
  <si>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</si>
  <si>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</si>
  <si>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</si>
  <si>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</si>
  <si>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</si>
  <si>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</si>
  <si>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</si>
  <si>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</si>
  <si>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</si>
  <si>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</si>
  <si>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</si>
  <si>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</si>
  <si>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</si>
  <si>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</si>
  <si>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</si>
  <si>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</si>
  <si>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</si>
  <si>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</si>
  <si>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</si>
  <si>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</si>
  <si>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</si>
  <si>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</si>
  <si>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</si>
  <si>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</si>
  <si>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</si>
  <si>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</si>
  <si>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</si>
  <si>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</si>
  <si>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</si>
  <si>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</si>
  <si>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</si>
  <si>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</si>
  <si>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</si>
  <si>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</si>
  <si>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</si>
  <si>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</si>
  <si>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</si>
  <si>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</si>
  <si>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</si>
  <si>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</si>
  <si>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</si>
  <si>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</si>
  <si>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</si>
  <si>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</si>
  <si>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</si>
  <si>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</si>
  <si>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</si>
  <si>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</si>
  <si>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</si>
  <si>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</si>
  <si>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</si>
  <si>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</si>
  <si>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</si>
  <si>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</si>
  <si>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</si>
  <si>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</si>
  <si>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</si>
  <si>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</si>
  <si>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</si>
  <si>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</si>
  <si>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</si>
  <si>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</si>
  <si>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</si>
  <si>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</si>
  <si>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</si>
  <si>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</si>
  <si>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</si>
  <si>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</si>
  <si>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</si>
  <si>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</si>
  <si>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</si>
  <si>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</si>
  <si>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</si>
  <si>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</si>
  <si>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</si>
  <si>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</si>
  <si>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</si>
  <si>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</si>
  <si>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</si>
  <si>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</si>
  <si>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</si>
  <si>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</si>
  <si>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</si>
  <si>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</si>
  <si>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</si>
  <si>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</si>
  <si>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</si>
  <si>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</si>
  <si>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</si>
  <si>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</si>
  <si>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</si>
  <si>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</si>
  <si>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</si>
  <si>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</si>
  <si>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</si>
  <si>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</si>
  <si>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</si>
  <si>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</si>
  <si>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</si>
  <si>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</si>
  <si>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</si>
  <si>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</si>
  <si>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</si>
  <si>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</si>
  <si>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</si>
  <si>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</si>
  <si>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</si>
  <si>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</si>
  <si>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</si>
  <si>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</si>
  <si>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</si>
  <si>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</si>
  <si>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</si>
  <si>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</si>
  <si>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</si>
  <si>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</si>
  <si>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</si>
  <si>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</si>
  <si>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</si>
  <si>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</si>
  <si>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</si>
  <si>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</si>
  <si>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</si>
  <si>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</si>
  <si>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</si>
  <si>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</si>
  <si>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</si>
  <si>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</si>
  <si>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</si>
  <si>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</si>
  <si>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</si>
  <si>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</si>
  <si>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</si>
  <si>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</si>
  <si>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</si>
  <si>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</si>
  <si>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</si>
  <si>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</si>
  <si>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</si>
  <si>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</si>
  <si>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</si>
  <si>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</si>
  <si>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</si>
  <si>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</si>
  <si>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</si>
  <si>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</si>
  <si>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</si>
  <si>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</si>
  <si>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</si>
  <si>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</si>
  <si>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</si>
  <si>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</si>
  <si>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</si>
  <si>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</si>
  <si>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</si>
  <si>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</si>
  <si>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</si>
  <si>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</si>
  <si>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</si>
  <si>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</si>
  <si>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</si>
  <si>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</si>
  <si>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</si>
  <si>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</si>
  <si>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</si>
  <si>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</si>
  <si>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</si>
  <si>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</si>
  <si>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</si>
  <si>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</si>
  <si>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</si>
  <si>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</si>
  <si>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</si>
  <si>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</si>
  <si>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</si>
  <si>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</si>
  <si>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</si>
  <si>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</si>
  <si>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</si>
  <si>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</si>
  <si>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</si>
  <si>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</si>
  <si>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</si>
  <si>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</si>
  <si>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</si>
  <si>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</si>
  <si>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</si>
  <si>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</si>
  <si>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</si>
  <si>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</si>
  <si>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</si>
  <si>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</si>
  <si>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</si>
  <si>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</si>
  <si>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</si>
  <si>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</si>
  <si>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</si>
  <si>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</si>
  <si>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</si>
  <si>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</si>
  <si>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</si>
  <si>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</si>
  <si>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</si>
  <si>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</si>
  <si>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</si>
  <si>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</si>
  <si>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</si>
  <si>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</si>
  <si>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</si>
  <si>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</si>
  <si>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</si>
  <si>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</si>
  <si>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</si>
  <si>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</si>
  <si>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</si>
  <si>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</si>
  <si>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</si>
  <si>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</si>
  <si>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</si>
  <si>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</si>
  <si>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</si>
  <si>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</si>
  <si>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</si>
  <si>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</si>
  <si>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</si>
  <si>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</si>
  <si>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</si>
  <si>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</si>
  <si>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</si>
  <si>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</si>
  <si>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</si>
  <si>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</si>
  <si>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</si>
  <si>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</si>
  <si>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</si>
  <si>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</si>
  <si>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</si>
  <si>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</si>
  <si>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</si>
  <si>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</si>
  <si>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</si>
  <si>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</si>
  <si>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</si>
  <si>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</si>
  <si>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</si>
  <si>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</si>
  <si>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</si>
  <si>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</si>
  <si>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</si>
  <si>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</si>
  <si>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</si>
  <si>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</si>
  <si>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</si>
  <si>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</si>
  <si>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</si>
  <si>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</si>
  <si>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</si>
  <si>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</si>
  <si>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</si>
  <si>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</si>
  <si>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</si>
  <si>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</si>
  <si>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</si>
  <si>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</si>
  <si>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</si>
  <si>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</si>
  <si>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</si>
  <si>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</si>
  <si>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</si>
  <si>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</si>
  <si>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</si>
  <si>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</si>
  <si>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</si>
  <si>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</si>
  <si>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</si>
  <si>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</si>
  <si>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</si>
  <si>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</si>
  <si>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</si>
  <si>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</si>
  <si>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</si>
  <si>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</si>
  <si>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</si>
  <si>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</si>
  <si>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</si>
  <si>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</si>
  <si>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</si>
  <si>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</si>
  <si>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</si>
  <si>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</si>
  <si>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</si>
  <si>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</si>
  <si>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</si>
  <si>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</si>
  <si>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</si>
  <si>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</si>
  <si>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</si>
  <si>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</si>
  <si>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</si>
  <si>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</si>
  <si>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</si>
  <si>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</si>
  <si>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</si>
  <si>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</si>
  <si>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</si>
  <si>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</si>
  <si>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</si>
  <si>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</si>
  <si>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</si>
  <si>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</si>
  <si>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</si>
  <si>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</si>
  <si>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</si>
  <si>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</si>
  <si>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</si>
  <si>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</si>
  <si>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</si>
  <si>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</si>
  <si>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</si>
  <si>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</si>
  <si>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</si>
  <si>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</si>
  <si>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</si>
  <si>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</si>
  <si>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</si>
  <si>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</si>
  <si>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</si>
  <si>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</si>
  <si>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</si>
  <si>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</si>
  <si>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</si>
  <si>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</si>
  <si>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</si>
  <si>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</si>
  <si>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</si>
  <si>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</si>
  <si>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</si>
  <si>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</si>
  <si>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</si>
  <si>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</si>
  <si>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010</t>
  </si>
  <si>
    <t>Virginia Mason Medical Center</t>
  </si>
  <si>
    <t>'1100 Ninth Avenue</t>
  </si>
  <si>
    <t>'P.O Box 900</t>
  </si>
  <si>
    <t>Setttle, WA 98111</t>
  </si>
  <si>
    <t>King</t>
  </si>
  <si>
    <t>Gary Kaplan, MD</t>
  </si>
  <si>
    <t>Craig Goodrich</t>
  </si>
  <si>
    <t>Tod Hamachek</t>
  </si>
  <si>
    <t>'(206) 625-7371</t>
  </si>
  <si>
    <t>(206) 625-7333</t>
  </si>
  <si>
    <t>Increase Covid-19 expenses</t>
  </si>
  <si>
    <t>Change in vendor providing the services</t>
  </si>
  <si>
    <t>Less revenue due to Covid-19</t>
  </si>
  <si>
    <t>06/30/2021</t>
  </si>
  <si>
    <t>Ketul Patel</t>
  </si>
  <si>
    <t>David Nosacka</t>
  </si>
  <si>
    <t>Uli Chi</t>
  </si>
  <si>
    <t xml:space="preserve">Oracle acct # 71712 </t>
  </si>
  <si>
    <t>Oracle acct # 71701</t>
  </si>
  <si>
    <t>Oracle acct # 71711</t>
  </si>
  <si>
    <t>Oracle acct # 71102-71115 + 71121</t>
  </si>
  <si>
    <t>Oracle acct # 71021</t>
  </si>
  <si>
    <t>Oracle acct # 71011, 71022, 71029-71099 +71723</t>
  </si>
  <si>
    <t>Oracle acct # 74011-74051,74061,74071</t>
  </si>
  <si>
    <t>NOTE: Virginia Mason Medical Center transitioned to a July - June fiscal year in 2021; therefore, this report details January 1 - June 30,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</si>
</sst>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1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2"/>
      <color rgb="FF0000D0"/>
      <name val="Arial"/>
      <family val="2"/>
    </font>
    <font>
      <sz val="11"/>
      <color rgb="FF0000D0"/>
      <name val="Arial"/>
      <family val="2"/>
    </font>
    <font>
      <sz val="12"/>
      <color rgb="FF0000D0"/>
      <name val="Calibri"/>
      <family val="2"/>
    </font>
    <font>
      <sz val="12"/>
      <color rgb="FF0000FF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16" fillId="0" borderId="0" xfId="0" applyFont="1"/>
    <xf numFmtId="37" fontId="17" fillId="0" borderId="0" xfId="0" applyFont="1"/>
    <xf numFmtId="37" fontId="18" fillId="0" borderId="0" xfId="0" applyFont="1"/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37" fontId="3" fillId="0" borderId="12" xfId="0" applyFont="1" applyBorder="1"/>
    <xf numFmtId="10" fontId="3" fillId="0" borderId="0" xfId="3" applyNumberFormat="1" applyFont="1"/>
    <xf numFmtId="165" fontId="3" fillId="0" borderId="0" xfId="1" applyNumberFormat="1" applyFont="1"/>
    <xf numFmtId="37" fontId="3" fillId="0" borderId="0" xfId="0" applyFont="1" applyAlignment="1">
      <alignment horizontal="right"/>
    </xf>
    <xf numFmtId="37" fontId="19" fillId="0" borderId="0" xfId="0" applyFont="1"/>
    <xf numFmtId="37" fontId="3" fillId="0" borderId="0" xfId="0" applyFont="1" applyBorder="1" applyAlignment="1">
      <alignment horizontal="center"/>
    </xf>
    <xf numFmtId="10" fontId="3" fillId="0" borderId="0" xfId="3" applyNumberFormat="1" applyFont="1" applyBorder="1"/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  <xf numFmtId="37" fontId="20" fillId="8" borderId="0" xfId="0" applyFont="1" applyFill="1" applyProtection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10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  <sheetName val="data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6191</v>
          </cell>
          <cell r="D59">
            <v>0</v>
          </cell>
          <cell r="E59">
            <v>58280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12159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2066830</v>
          </cell>
          <cell r="Q59">
            <v>2027302</v>
          </cell>
          <cell r="R59">
            <v>2347015</v>
          </cell>
          <cell r="U59">
            <v>2519092</v>
          </cell>
          <cell r="V59">
            <v>0</v>
          </cell>
          <cell r="W59">
            <v>105837</v>
          </cell>
          <cell r="X59">
            <v>165057</v>
          </cell>
          <cell r="Y59">
            <v>171978</v>
          </cell>
          <cell r="Z59">
            <v>185863</v>
          </cell>
          <cell r="AA59">
            <v>23016</v>
          </cell>
          <cell r="AC59">
            <v>147963</v>
          </cell>
          <cell r="AD59">
            <v>15947</v>
          </cell>
          <cell r="AE59">
            <v>222607</v>
          </cell>
          <cell r="AF59">
            <v>3322</v>
          </cell>
          <cell r="AG59">
            <v>24985</v>
          </cell>
          <cell r="AH59">
            <v>0</v>
          </cell>
          <cell r="AI59">
            <v>0</v>
          </cell>
          <cell r="AJ59">
            <v>357634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574796</v>
          </cell>
          <cell r="AQ59">
            <v>0</v>
          </cell>
          <cell r="AR59">
            <v>0</v>
          </cell>
          <cell r="AS59">
            <v>0</v>
          </cell>
          <cell r="AT59">
            <v>123</v>
          </cell>
          <cell r="AU59">
            <v>0</v>
          </cell>
          <cell r="AY59">
            <v>376953</v>
          </cell>
          <cell r="AZ59">
            <v>876750</v>
          </cell>
          <cell r="BA59"/>
          <cell r="BE59">
            <v>1533878</v>
          </cell>
        </row>
        <row r="72">
          <cell r="C72">
            <v>14647030</v>
          </cell>
          <cell r="D72">
            <v>0</v>
          </cell>
          <cell r="E72">
            <v>62380697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9860051</v>
          </cell>
          <cell r="L72">
            <v>0</v>
          </cell>
          <cell r="M72">
            <v>0</v>
          </cell>
          <cell r="N72">
            <v>-174</v>
          </cell>
          <cell r="O72">
            <v>0</v>
          </cell>
          <cell r="P72">
            <v>74346830</v>
          </cell>
          <cell r="Q72">
            <v>11695506</v>
          </cell>
          <cell r="R72">
            <v>28920442</v>
          </cell>
          <cell r="S72">
            <v>10124017</v>
          </cell>
          <cell r="T72">
            <v>3385732</v>
          </cell>
          <cell r="U72">
            <v>39484513</v>
          </cell>
          <cell r="V72">
            <v>0</v>
          </cell>
          <cell r="W72">
            <v>4398730</v>
          </cell>
          <cell r="X72">
            <v>6870631</v>
          </cell>
          <cell r="Y72">
            <v>28339198</v>
          </cell>
          <cell r="Z72">
            <v>9351788</v>
          </cell>
          <cell r="AA72">
            <v>10802099</v>
          </cell>
          <cell r="AB72">
            <v>45808038</v>
          </cell>
          <cell r="AC72">
            <v>2633837</v>
          </cell>
          <cell r="AD72">
            <v>1721752</v>
          </cell>
          <cell r="AE72">
            <v>10937107</v>
          </cell>
          <cell r="AF72">
            <v>846137</v>
          </cell>
          <cell r="AG72">
            <v>14858194</v>
          </cell>
          <cell r="AH72">
            <v>0</v>
          </cell>
          <cell r="AI72">
            <v>0</v>
          </cell>
          <cell r="AJ72">
            <v>281932878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181785873</v>
          </cell>
          <cell r="AQ72">
            <v>0</v>
          </cell>
          <cell r="AR72">
            <v>0</v>
          </cell>
          <cell r="AS72">
            <v>0</v>
          </cell>
          <cell r="AT72">
            <v>8226695</v>
          </cell>
          <cell r="AU72">
            <v>0</v>
          </cell>
          <cell r="AV72">
            <v>26164441</v>
          </cell>
          <cell r="AW72">
            <v>18180181</v>
          </cell>
          <cell r="AX72">
            <v>1299206</v>
          </cell>
          <cell r="AY72">
            <v>4918720</v>
          </cell>
          <cell r="AZ72">
            <v>829671</v>
          </cell>
          <cell r="BA72">
            <v>1853006</v>
          </cell>
          <cell r="BB72">
            <v>931977</v>
          </cell>
          <cell r="BC72">
            <v>3500350</v>
          </cell>
          <cell r="BD72">
            <v>-814616</v>
          </cell>
          <cell r="BE72">
            <v>24746279</v>
          </cell>
          <cell r="BF72">
            <v>9660379</v>
          </cell>
          <cell r="BG72">
            <v>6154843</v>
          </cell>
          <cell r="BH72">
            <v>44375065</v>
          </cell>
          <cell r="BI72">
            <v>3275251</v>
          </cell>
          <cell r="BJ72">
            <v>3117734</v>
          </cell>
          <cell r="BK72">
            <v>22840595</v>
          </cell>
          <cell r="BL72">
            <v>7103412</v>
          </cell>
          <cell r="BM72">
            <v>4143053</v>
          </cell>
          <cell r="BN72">
            <v>82211</v>
          </cell>
          <cell r="BO72">
            <v>3169320</v>
          </cell>
          <cell r="BP72">
            <v>3153379</v>
          </cell>
          <cell r="BQ72">
            <v>0</v>
          </cell>
          <cell r="BR72">
            <v>2689397</v>
          </cell>
          <cell r="BS72">
            <v>0</v>
          </cell>
          <cell r="BT72">
            <v>180027.5</v>
          </cell>
          <cell r="BU72">
            <v>1265840.5</v>
          </cell>
          <cell r="BV72">
            <v>5242669.5</v>
          </cell>
          <cell r="BW72">
            <v>-8028085.5999999996</v>
          </cell>
          <cell r="BX72">
            <v>14798456.399999999</v>
          </cell>
          <cell r="BY72">
            <v>7372585.4000000004</v>
          </cell>
          <cell r="BZ72">
            <v>0</v>
          </cell>
          <cell r="CA72">
            <v>5414391.2000000002</v>
          </cell>
          <cell r="CB72">
            <v>0</v>
          </cell>
          <cell r="CC72">
            <v>5879272</v>
          </cell>
          <cell r="CD72">
            <v>42483335</v>
          </cell>
        </row>
        <row r="83">
          <cell r="C83" t="str">
            <v>12/31/2019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85" zoomScaleNormal="85" workbookViewId="0">
      <selection activeCell="B6" sqref="B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8" ht="23.15" customHeight="1" x14ac:dyDescent="0.35">
      <c r="A1" s="356" t="s">
        <v>1293</v>
      </c>
      <c r="B1" s="274"/>
      <c r="C1" s="274"/>
      <c r="D1" s="274"/>
      <c r="E1" s="274"/>
      <c r="F1" s="274"/>
      <c r="G1" s="274"/>
      <c r="H1" s="274"/>
    </row>
    <row r="2" spans="1:8" ht="12.75" customHeight="1" x14ac:dyDescent="0.35">
      <c r="B2" s="234"/>
      <c r="C2" s="235"/>
      <c r="D2" s="234"/>
      <c r="E2" s="234"/>
      <c r="F2" s="234"/>
    </row>
    <row r="3" spans="1:8" ht="12.75" customHeight="1" x14ac:dyDescent="0.35">
      <c r="C3" s="236"/>
    </row>
    <row r="4" spans="1:8" ht="12.75" customHeight="1" x14ac:dyDescent="0.35">
      <c r="A4" s="233" t="s">
        <v>1231</v>
      </c>
      <c r="C4" s="236"/>
    </row>
    <row r="5" spans="1:8" ht="12.75" customHeight="1" x14ac:dyDescent="0.35">
      <c r="A5" s="234" t="s">
        <v>1232</v>
      </c>
      <c r="C5" s="236"/>
    </row>
    <row r="6" spans="1:8" ht="12.75" customHeight="1" x14ac:dyDescent="0.35">
      <c r="C6" s="236"/>
    </row>
    <row r="7" spans="1:8" ht="12.75" customHeight="1" x14ac:dyDescent="0.35">
      <c r="A7" s="199" t="s">
        <v>1257</v>
      </c>
      <c r="C7" s="236"/>
    </row>
    <row r="8" spans="1:8" ht="12.75" customHeight="1" x14ac:dyDescent="0.35">
      <c r="A8" s="199" t="s">
        <v>0</v>
      </c>
      <c r="C8" s="236"/>
    </row>
    <row r="9" spans="1:8" ht="12.75" customHeight="1" x14ac:dyDescent="0.35">
      <c r="A9" s="199" t="s">
        <v>1</v>
      </c>
      <c r="C9" s="236"/>
    </row>
    <row r="10" spans="1:8" ht="12.75" customHeight="1" x14ac:dyDescent="0.35">
      <c r="C10" s="236"/>
    </row>
    <row r="11" spans="1:8" ht="12.75" customHeight="1" x14ac:dyDescent="0.35">
      <c r="A11" s="198" t="s">
        <v>1228</v>
      </c>
      <c r="C11" s="236"/>
    </row>
    <row r="12" spans="1:8" ht="12.75" customHeight="1" x14ac:dyDescent="0.35">
      <c r="A12" s="198" t="s">
        <v>1230</v>
      </c>
      <c r="C12" s="236"/>
    </row>
    <row r="13" spans="1:8" ht="12.75" customHeight="1" x14ac:dyDescent="0.35">
      <c r="C13" s="236"/>
    </row>
    <row r="14" spans="1:8" ht="12.75" customHeight="1" x14ac:dyDescent="0.35">
      <c r="A14" s="199" t="s">
        <v>2</v>
      </c>
      <c r="C14" s="236"/>
    </row>
    <row r="15" spans="1:8" ht="12.75" customHeight="1" x14ac:dyDescent="0.35">
      <c r="A15" s="295"/>
      <c r="C15" s="236"/>
    </row>
    <row r="16" spans="1:8" ht="12.75" customHeight="1" x14ac:dyDescent="0.35">
      <c r="A16" s="296" t="s">
        <v>1266</v>
      </c>
      <c r="C16" s="236"/>
      <c r="F16" s="289"/>
    </row>
    <row r="17" spans="1:6" ht="12.75" customHeight="1" x14ac:dyDescent="0.35">
      <c r="A17" s="296" t="s">
        <v>1264</v>
      </c>
      <c r="C17" s="289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f>SUM(C47:CC47)</f>
        <v>9579233</v>
      </c>
      <c r="C47" s="184">
        <v>527</v>
      </c>
      <c r="D47" s="184"/>
      <c r="E47" s="184">
        <v>10090</v>
      </c>
      <c r="F47" s="184"/>
      <c r="G47" s="184"/>
      <c r="H47" s="184"/>
      <c r="I47" s="184"/>
      <c r="J47" s="184"/>
      <c r="K47" s="184">
        <v>117760</v>
      </c>
      <c r="L47" s="184"/>
      <c r="M47" s="184"/>
      <c r="N47" s="184"/>
      <c r="O47" s="184"/>
      <c r="P47" s="184"/>
      <c r="Q47" s="184">
        <v>3730</v>
      </c>
      <c r="R47" s="184">
        <v>1043236</v>
      </c>
      <c r="S47" s="184">
        <v>454</v>
      </c>
      <c r="T47" s="184"/>
      <c r="U47" s="184">
        <v>508665</v>
      </c>
      <c r="V47" s="184"/>
      <c r="W47" s="184">
        <v>95808</v>
      </c>
      <c r="X47" s="184">
        <v>200535</v>
      </c>
      <c r="Y47" s="184">
        <v>315837</v>
      </c>
      <c r="Z47" s="184">
        <v>310388</v>
      </c>
      <c r="AA47" s="184">
        <v>33584</v>
      </c>
      <c r="AB47" s="184">
        <v>11915</v>
      </c>
      <c r="AC47" s="184">
        <v>200</v>
      </c>
      <c r="AD47" s="184">
        <v>759</v>
      </c>
      <c r="AE47" s="184">
        <v>157267</v>
      </c>
      <c r="AF47" s="184">
        <v>36946</v>
      </c>
      <c r="AG47" s="184">
        <v>405267</v>
      </c>
      <c r="AH47" s="184"/>
      <c r="AI47" s="184"/>
      <c r="AJ47" s="184">
        <v>7816311</v>
      </c>
      <c r="AK47" s="184"/>
      <c r="AL47" s="184"/>
      <c r="AM47" s="184"/>
      <c r="AN47" s="184"/>
      <c r="AO47" s="184"/>
      <c r="AP47" s="184">
        <v>4840281</v>
      </c>
      <c r="AQ47" s="184"/>
      <c r="AR47" s="184"/>
      <c r="AS47" s="184"/>
      <c r="AT47" s="184">
        <v>35442</v>
      </c>
      <c r="AU47" s="184"/>
      <c r="AV47" s="184">
        <v>150273</v>
      </c>
      <c r="AW47" s="184">
        <v>351860</v>
      </c>
      <c r="AX47" s="184"/>
      <c r="AY47" s="184">
        <v>135</v>
      </c>
      <c r="AZ47" s="184">
        <v>10198</v>
      </c>
      <c r="BA47" s="184"/>
      <c r="BB47" s="184">
        <v>373</v>
      </c>
      <c r="BC47" s="184"/>
      <c r="BD47" s="184">
        <v>54178</v>
      </c>
      <c r="BE47" s="184">
        <v>-4615</v>
      </c>
      <c r="BF47" s="184"/>
      <c r="BG47" s="184">
        <v>2299</v>
      </c>
      <c r="BH47" s="184">
        <v>-165906</v>
      </c>
      <c r="BI47" s="184">
        <v>10485</v>
      </c>
      <c r="BJ47" s="184">
        <v>-6554</v>
      </c>
      <c r="BK47" s="184">
        <v>50376</v>
      </c>
      <c r="BL47" s="184">
        <v>6792</v>
      </c>
      <c r="BM47" s="184">
        <v>15541</v>
      </c>
      <c r="BN47" s="184">
        <v>338817</v>
      </c>
      <c r="BO47" s="184">
        <v>5244</v>
      </c>
      <c r="BP47" s="184">
        <v>10</v>
      </c>
      <c r="BQ47" s="184"/>
      <c r="BR47" s="184">
        <v>91637</v>
      </c>
      <c r="BS47" s="184"/>
      <c r="BT47" s="184"/>
      <c r="BU47" s="184">
        <v>-999</v>
      </c>
      <c r="BV47" s="184">
        <v>2234</v>
      </c>
      <c r="BW47" s="184">
        <v>-7249246</v>
      </c>
      <c r="BX47" s="184">
        <v>46149</v>
      </c>
      <c r="BY47" s="184">
        <v>1953</v>
      </c>
      <c r="BZ47" s="184"/>
      <c r="CA47" s="184">
        <v>27959</v>
      </c>
      <c r="CB47" s="184"/>
      <c r="CC47" s="184">
        <f>-104964+2</f>
        <v>-104962</v>
      </c>
      <c r="CD47" s="195"/>
      <c r="CE47" s="195">
        <f>SUM(C47:CC47)</f>
        <v>9579233</v>
      </c>
    </row>
    <row r="48" spans="1:83" ht="12.65" customHeight="1" x14ac:dyDescent="0.35">
      <c r="A48" s="175" t="s">
        <v>205</v>
      </c>
      <c r="B48" s="183">
        <f>58852016-B47</f>
        <v>49272783</v>
      </c>
      <c r="C48" s="246">
        <f>ROUND(((B48/CE61)*C61),0)</f>
        <v>852339</v>
      </c>
      <c r="D48" s="246">
        <f>ROUND(((B48/CE61)*D61),0)</f>
        <v>0</v>
      </c>
      <c r="E48" s="195">
        <f>ROUND(((B48/CE61)*E61),0)</f>
        <v>3992890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823014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1249374</v>
      </c>
      <c r="Q48" s="195">
        <f>ROUND(((B48/CE61)*Q61),0)</f>
        <v>660755</v>
      </c>
      <c r="R48" s="195">
        <f>ROUND(((B48/CE61)*R61),0)</f>
        <v>1771107</v>
      </c>
      <c r="S48" s="195">
        <f>ROUND(((B48/CE61)*S61),0)</f>
        <v>615086</v>
      </c>
      <c r="T48" s="195">
        <f>ROUND(((B48/CE61)*T61),0)</f>
        <v>177896</v>
      </c>
      <c r="U48" s="195">
        <f>ROUND(((B48/CE61)*U61),0)</f>
        <v>1682059</v>
      </c>
      <c r="V48" s="195">
        <f>ROUND(((B48/CE61)*V61),0)</f>
        <v>0</v>
      </c>
      <c r="W48" s="195">
        <f>ROUND(((B48/CE61)*W61),0)</f>
        <v>170574</v>
      </c>
      <c r="X48" s="195">
        <f>ROUND(((B48/CE61)*X61),0)</f>
        <v>320014</v>
      </c>
      <c r="Y48" s="195">
        <f>ROUND(((B48/CE61)*Y61),0)</f>
        <v>1188708</v>
      </c>
      <c r="Z48" s="195">
        <f>ROUND(((B48/CE61)*Z61),0)</f>
        <v>573672</v>
      </c>
      <c r="AA48" s="195">
        <f>ROUND(((B48/CE61)*AA61),0)</f>
        <v>97861</v>
      </c>
      <c r="AB48" s="195">
        <f>ROUND(((B48/CE61)*AB61),0)</f>
        <v>851173</v>
      </c>
      <c r="AC48" s="195">
        <f>ROUND(((B48/CE61)*AC61),0)</f>
        <v>156859</v>
      </c>
      <c r="AD48" s="195">
        <f>ROUND(((B48/CE61)*AD61),0)</f>
        <v>1346</v>
      </c>
      <c r="AE48" s="195">
        <f>ROUND(((B48/CE61)*AE61),0)</f>
        <v>644718</v>
      </c>
      <c r="AF48" s="195">
        <f>ROUND(((B48/CE61)*AF61),0)</f>
        <v>59689</v>
      </c>
      <c r="AG48" s="195">
        <f>ROUND(((B48/CE61)*AG61),0)</f>
        <v>863438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12546121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9180452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190648</v>
      </c>
      <c r="AU48" s="195">
        <f>ROUND(((B48/CE61)*AU61),0)</f>
        <v>0</v>
      </c>
      <c r="AV48" s="195">
        <f>ROUND(((B48/CE61)*AV61),0)</f>
        <v>603062</v>
      </c>
      <c r="AW48" s="195">
        <f>ROUND(((B48/CE61)*AW61),0)</f>
        <v>1218076</v>
      </c>
      <c r="AX48" s="195">
        <f>ROUND(((B48/CE61)*AX61),0)</f>
        <v>33840</v>
      </c>
      <c r="AY48" s="195">
        <f>ROUND(((B48/CE61)*AY61),0)</f>
        <v>204865</v>
      </c>
      <c r="AZ48" s="195">
        <f>ROUND(((B48/CE61)*AZ61),0)</f>
        <v>97550</v>
      </c>
      <c r="BA48" s="195">
        <f>ROUND(((B48/CE61)*BA61),0)</f>
        <v>0</v>
      </c>
      <c r="BB48" s="195">
        <f>ROUND(((B48/CE61)*BB61),0)</f>
        <v>66494</v>
      </c>
      <c r="BC48" s="195">
        <f>ROUND(((B48/CE61)*BC61),0)</f>
        <v>0</v>
      </c>
      <c r="BD48" s="195">
        <f>ROUND(((B48/CE61)*BD61),0)</f>
        <v>484357</v>
      </c>
      <c r="BE48" s="195">
        <f>ROUND(((B48/CE61)*BE61),0)</f>
        <v>227569</v>
      </c>
      <c r="BF48" s="195">
        <f>ROUND(((B48/CE61)*BF61),0)</f>
        <v>0</v>
      </c>
      <c r="BG48" s="195">
        <f>ROUND(((B48/CE61)*BG61),0)</f>
        <v>415545</v>
      </c>
      <c r="BH48" s="195">
        <f>ROUND(((B48/CE61)*BH61),0)</f>
        <v>1572876</v>
      </c>
      <c r="BI48" s="195">
        <f>ROUND(((B48/CE61)*BI61),0)</f>
        <v>82136</v>
      </c>
      <c r="BJ48" s="195">
        <f>ROUND(((B48/CE61)*BJ61),0)</f>
        <v>170741</v>
      </c>
      <c r="BK48" s="195">
        <f>ROUND(((B48/CE61)*BK61),0)</f>
        <v>1223430</v>
      </c>
      <c r="BL48" s="195">
        <f>ROUND(((B48/CE61)*BL61),0)</f>
        <v>468713</v>
      </c>
      <c r="BM48" s="195">
        <f>ROUND(((B48/CE61)*BM61),0)</f>
        <v>200110</v>
      </c>
      <c r="BN48" s="195">
        <f>ROUND(((B48/CE61)*BN61),0)</f>
        <v>760143</v>
      </c>
      <c r="BO48" s="195">
        <f>ROUND(((B48/CE61)*BO61),0)</f>
        <v>87903</v>
      </c>
      <c r="BP48" s="195">
        <f>ROUND(((B48/CE61)*BP61),0)</f>
        <v>134666</v>
      </c>
      <c r="BQ48" s="195">
        <f>ROUND(((B48/CE61)*BQ61),0)</f>
        <v>0</v>
      </c>
      <c r="BR48" s="195">
        <f>ROUND(((B48/CE61)*BR61),0)</f>
        <v>51127</v>
      </c>
      <c r="BS48" s="195">
        <f>ROUND(((B48/CE61)*BS61),0)</f>
        <v>0</v>
      </c>
      <c r="BT48" s="195">
        <f>ROUND(((B48/CE61)*BT61),0)</f>
        <v>11391</v>
      </c>
      <c r="BU48" s="195">
        <f>ROUND(((B48/CE61)*BU61),0)</f>
        <v>61934</v>
      </c>
      <c r="BV48" s="195">
        <f>ROUND(((B48/CE61)*BV61),0)</f>
        <v>221791</v>
      </c>
      <c r="BW48" s="195">
        <f>ROUND(((B48/CE61)*BW61),0)</f>
        <v>448484</v>
      </c>
      <c r="BX48" s="195">
        <f>ROUND(((B48/CE61)*BX61),0)</f>
        <v>591998</v>
      </c>
      <c r="BY48" s="195">
        <f>ROUND(((B48/CE61)*BY61),0)</f>
        <v>465009</v>
      </c>
      <c r="BZ48" s="195">
        <f>ROUND(((B48/CE61)*BZ61),0)</f>
        <v>0</v>
      </c>
      <c r="CA48" s="195">
        <f>ROUND(((B48/CE61)*CA61),0)</f>
        <v>458435</v>
      </c>
      <c r="CB48" s="195">
        <f>ROUND(((B48/CE61)*CB61),0)</f>
        <v>0</v>
      </c>
      <c r="CC48" s="195">
        <f>ROUND(((B48/CE61)*CC61),0)</f>
        <v>240743</v>
      </c>
      <c r="CD48" s="195"/>
      <c r="CE48" s="195">
        <f>SUM(C48:CD48)</f>
        <v>49272781</v>
      </c>
    </row>
    <row r="49" spans="1:84" ht="12.65" customHeight="1" x14ac:dyDescent="0.35">
      <c r="A49" s="175" t="s">
        <v>206</v>
      </c>
      <c r="B49" s="195">
        <f>B47+B48</f>
        <v>58852016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f>SUM(C51:CC51)</f>
        <v>19211307</v>
      </c>
      <c r="C51" s="184">
        <v>812371</v>
      </c>
      <c r="D51" s="184"/>
      <c r="E51" s="184">
        <v>1122615</v>
      </c>
      <c r="F51" s="184"/>
      <c r="G51" s="184"/>
      <c r="H51" s="184"/>
      <c r="I51" s="184"/>
      <c r="J51" s="184"/>
      <c r="K51" s="184">
        <v>132968</v>
      </c>
      <c r="L51" s="184"/>
      <c r="M51" s="184"/>
      <c r="N51" s="184"/>
      <c r="O51" s="184"/>
      <c r="P51" s="184">
        <v>1950091</v>
      </c>
      <c r="Q51" s="184">
        <v>359098</v>
      </c>
      <c r="R51" s="184">
        <v>196159</v>
      </c>
      <c r="S51" s="184">
        <v>155256</v>
      </c>
      <c r="T51" s="184">
        <v>14247</v>
      </c>
      <c r="U51" s="184">
        <v>257872</v>
      </c>
      <c r="V51" s="184"/>
      <c r="W51" s="184">
        <v>329359</v>
      </c>
      <c r="X51" s="184">
        <v>272589</v>
      </c>
      <c r="Y51" s="184">
        <v>1830296</v>
      </c>
      <c r="Z51" s="184">
        <v>234769</v>
      </c>
      <c r="AA51" s="184">
        <v>53917</v>
      </c>
      <c r="AB51" s="184">
        <v>186079</v>
      </c>
      <c r="AC51" s="184">
        <v>48009</v>
      </c>
      <c r="AD51" s="184">
        <v>164</v>
      </c>
      <c r="AE51" s="184">
        <v>17816</v>
      </c>
      <c r="AF51" s="184">
        <v>5818</v>
      </c>
      <c r="AG51" s="184">
        <v>281561</v>
      </c>
      <c r="AH51" s="184"/>
      <c r="AI51" s="184"/>
      <c r="AJ51" s="184">
        <v>1055169</v>
      </c>
      <c r="AK51" s="184"/>
      <c r="AL51" s="184"/>
      <c r="AM51" s="184"/>
      <c r="AN51" s="184"/>
      <c r="AO51" s="184"/>
      <c r="AP51" s="184">
        <v>2491304</v>
      </c>
      <c r="AQ51" s="184"/>
      <c r="AR51" s="184"/>
      <c r="AS51" s="184"/>
      <c r="AT51" s="184">
        <v>427</v>
      </c>
      <c r="AU51" s="184"/>
      <c r="AV51" s="184">
        <v>311244</v>
      </c>
      <c r="AW51" s="184">
        <v>45593</v>
      </c>
      <c r="AX51" s="184">
        <v>514</v>
      </c>
      <c r="AY51" s="184">
        <v>4678</v>
      </c>
      <c r="AZ51" s="184">
        <v>32299</v>
      </c>
      <c r="BA51" s="184">
        <v>2846</v>
      </c>
      <c r="BB51" s="184">
        <v>615</v>
      </c>
      <c r="BC51" s="184">
        <v>72855</v>
      </c>
      <c r="BD51" s="184">
        <v>23311</v>
      </c>
      <c r="BE51" s="184">
        <v>2716487</v>
      </c>
      <c r="BF51" s="184">
        <v>32570</v>
      </c>
      <c r="BG51" s="184">
        <v>14876</v>
      </c>
      <c r="BH51" s="184">
        <f>2582554+40888</f>
        <v>2623442</v>
      </c>
      <c r="BI51" s="184">
        <v>10379</v>
      </c>
      <c r="BJ51" s="184">
        <v>36279</v>
      </c>
      <c r="BK51" s="184">
        <v>105801</v>
      </c>
      <c r="BL51" s="184">
        <v>3032</v>
      </c>
      <c r="BM51" s="184">
        <v>16796</v>
      </c>
      <c r="BN51" s="184">
        <v>9767</v>
      </c>
      <c r="BO51" s="184">
        <v>1133</v>
      </c>
      <c r="BP51" s="184">
        <v>804701</v>
      </c>
      <c r="BQ51" s="184"/>
      <c r="BR51" s="184">
        <v>1853</v>
      </c>
      <c r="BS51" s="184"/>
      <c r="BT51" s="184">
        <v>192</v>
      </c>
      <c r="BU51" s="184">
        <v>36687</v>
      </c>
      <c r="BV51" s="184">
        <v>78488</v>
      </c>
      <c r="BW51" s="184">
        <v>41</v>
      </c>
      <c r="BX51" s="184">
        <v>58479</v>
      </c>
      <c r="BY51" s="184">
        <v>94934</v>
      </c>
      <c r="BZ51" s="184"/>
      <c r="CA51" s="184">
        <v>3738</v>
      </c>
      <c r="CB51" s="184"/>
      <c r="CC51" s="184">
        <f>259728-5</f>
        <v>259723</v>
      </c>
      <c r="CD51" s="195"/>
      <c r="CE51" s="195">
        <f>SUM(C51:CD51)</f>
        <v>19211307</v>
      </c>
    </row>
    <row r="52" spans="1:84" ht="12.65" customHeight="1" x14ac:dyDescent="0.35">
      <c r="A52" s="171" t="s">
        <v>208</v>
      </c>
      <c r="B52" s="184">
        <f>19211307-B51</f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19211307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>
        <v>3033</v>
      </c>
      <c r="D59" s="184"/>
      <c r="E59" s="184">
        <f>28944+513</f>
        <v>29457</v>
      </c>
      <c r="F59" s="184"/>
      <c r="G59" s="184"/>
      <c r="H59" s="184"/>
      <c r="I59" s="184"/>
      <c r="J59" s="184"/>
      <c r="K59" s="184">
        <v>5624</v>
      </c>
      <c r="L59" s="184"/>
      <c r="M59" s="184"/>
      <c r="N59" s="184"/>
      <c r="O59" s="184"/>
      <c r="P59" s="185">
        <v>1030651</v>
      </c>
      <c r="Q59" s="185">
        <v>1006817</v>
      </c>
      <c r="R59" s="185">
        <v>1139388</v>
      </c>
      <c r="S59" s="249"/>
      <c r="T59" s="249"/>
      <c r="U59" s="224">
        <v>1240268</v>
      </c>
      <c r="V59" s="185"/>
      <c r="W59" s="185">
        <v>47352</v>
      </c>
      <c r="X59" s="185">
        <v>83033</v>
      </c>
      <c r="Y59" s="185">
        <v>82589</v>
      </c>
      <c r="Z59" s="185">
        <v>193797</v>
      </c>
      <c r="AA59" s="185">
        <v>11808</v>
      </c>
      <c r="AB59" s="249"/>
      <c r="AC59" s="185">
        <v>124551</v>
      </c>
      <c r="AD59" s="185">
        <v>8556</v>
      </c>
      <c r="AE59" s="185">
        <v>113199</v>
      </c>
      <c r="AF59" s="185">
        <v>1185</v>
      </c>
      <c r="AG59" s="185">
        <v>9844</v>
      </c>
      <c r="AH59" s="185"/>
      <c r="AI59" s="185"/>
      <c r="AJ59" s="185">
        <v>164612</v>
      </c>
      <c r="AK59" s="185"/>
      <c r="AL59" s="185"/>
      <c r="AM59" s="185"/>
      <c r="AN59" s="185"/>
      <c r="AO59" s="185"/>
      <c r="AP59" s="185">
        <v>283523</v>
      </c>
      <c r="AQ59" s="185"/>
      <c r="AR59" s="185"/>
      <c r="AS59" s="185"/>
      <c r="AT59" s="185">
        <v>52</v>
      </c>
      <c r="AU59" s="185"/>
      <c r="AV59" s="249"/>
      <c r="AW59" s="249"/>
      <c r="AX59" s="249"/>
      <c r="AY59" s="185">
        <v>157651</v>
      </c>
      <c r="AZ59" s="185">
        <v>333064</v>
      </c>
      <c r="BA59" s="249"/>
      <c r="BB59" s="249"/>
      <c r="BC59" s="249"/>
      <c r="BD59" s="249"/>
      <c r="BE59" s="185">
        <v>1557316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>
        <v>85.44</v>
      </c>
      <c r="D60" s="187"/>
      <c r="E60" s="187">
        <v>513.75</v>
      </c>
      <c r="F60" s="223"/>
      <c r="G60" s="187"/>
      <c r="H60" s="187"/>
      <c r="I60" s="187"/>
      <c r="J60" s="223"/>
      <c r="K60" s="187">
        <v>120.93</v>
      </c>
      <c r="L60" s="187"/>
      <c r="M60" s="187"/>
      <c r="N60" s="187"/>
      <c r="O60" s="187"/>
      <c r="P60" s="221">
        <v>143.72999999999999</v>
      </c>
      <c r="Q60" s="221">
        <v>74.180000000000007</v>
      </c>
      <c r="R60" s="221">
        <v>80.36</v>
      </c>
      <c r="S60" s="221">
        <v>122.75</v>
      </c>
      <c r="T60" s="221">
        <v>16.75</v>
      </c>
      <c r="U60" s="221">
        <v>192.13</v>
      </c>
      <c r="V60" s="221"/>
      <c r="W60" s="221">
        <v>10.3</v>
      </c>
      <c r="X60" s="221">
        <v>18.149999999999999</v>
      </c>
      <c r="Y60" s="221">
        <v>108.38</v>
      </c>
      <c r="Z60" s="221">
        <v>37.119999999999997</v>
      </c>
      <c r="AA60" s="221">
        <v>7.41</v>
      </c>
      <c r="AB60" s="221">
        <v>82.82</v>
      </c>
      <c r="AC60" s="221">
        <v>19.77</v>
      </c>
      <c r="AD60" s="221"/>
      <c r="AE60" s="221">
        <v>64.77</v>
      </c>
      <c r="AF60" s="221">
        <v>5.38</v>
      </c>
      <c r="AG60" s="221">
        <v>67.88</v>
      </c>
      <c r="AH60" s="221"/>
      <c r="AI60" s="221"/>
      <c r="AJ60" s="221">
        <v>872.12</v>
      </c>
      <c r="AK60" s="221"/>
      <c r="AL60" s="221"/>
      <c r="AM60" s="221"/>
      <c r="AN60" s="221"/>
      <c r="AO60" s="221"/>
      <c r="AP60" s="221">
        <v>823.31</v>
      </c>
      <c r="AQ60" s="221"/>
      <c r="AR60" s="221"/>
      <c r="AS60" s="221"/>
      <c r="AT60" s="221">
        <v>21.53</v>
      </c>
      <c r="AU60" s="221"/>
      <c r="AV60" s="221">
        <v>52.85</v>
      </c>
      <c r="AW60" s="221">
        <v>154.94999999999999</v>
      </c>
      <c r="AX60" s="221">
        <v>4.03</v>
      </c>
      <c r="AY60" s="221">
        <v>44.58</v>
      </c>
      <c r="AZ60" s="221">
        <v>23.71</v>
      </c>
      <c r="BA60" s="221"/>
      <c r="BB60" s="221">
        <v>8.69</v>
      </c>
      <c r="BC60" s="221"/>
      <c r="BD60" s="221">
        <v>43.38</v>
      </c>
      <c r="BE60" s="221">
        <v>32.659999999999997</v>
      </c>
      <c r="BF60" s="221"/>
      <c r="BG60" s="221">
        <v>97.35</v>
      </c>
      <c r="BH60" s="221">
        <v>150.01</v>
      </c>
      <c r="BI60" s="221">
        <v>5.57</v>
      </c>
      <c r="BJ60" s="221">
        <v>20.440000000000001</v>
      </c>
      <c r="BK60" s="221">
        <v>195.15</v>
      </c>
      <c r="BL60" s="221">
        <v>77.08</v>
      </c>
      <c r="BM60" s="221">
        <v>19.440000000000001</v>
      </c>
      <c r="BN60" s="221">
        <v>50.29</v>
      </c>
      <c r="BO60" s="221">
        <v>10.220000000000001</v>
      </c>
      <c r="BP60" s="221">
        <v>12.41</v>
      </c>
      <c r="BQ60" s="221"/>
      <c r="BR60" s="221">
        <v>5.84</v>
      </c>
      <c r="BS60" s="221"/>
      <c r="BT60" s="221">
        <v>1.62</v>
      </c>
      <c r="BU60" s="221">
        <v>8.59</v>
      </c>
      <c r="BV60" s="221">
        <v>40.520000000000003</v>
      </c>
      <c r="BW60" s="221">
        <v>7.19</v>
      </c>
      <c r="BX60" s="221">
        <v>59.54</v>
      </c>
      <c r="BY60" s="221">
        <v>50.31</v>
      </c>
      <c r="BZ60" s="221"/>
      <c r="CA60" s="221">
        <v>54.89</v>
      </c>
      <c r="CB60" s="221"/>
      <c r="CC60" s="221">
        <v>32.049999999999997</v>
      </c>
      <c r="CD60" s="250" t="s">
        <v>221</v>
      </c>
      <c r="CE60" s="252">
        <f t="shared" ref="CE60:CE70" si="0">SUM(C60:CD60)</f>
        <v>4752.32</v>
      </c>
    </row>
    <row r="61" spans="1:84" ht="12.65" customHeight="1" x14ac:dyDescent="0.35">
      <c r="A61" s="171" t="s">
        <v>235</v>
      </c>
      <c r="B61" s="175"/>
      <c r="C61" s="184">
        <v>4854236</v>
      </c>
      <c r="D61" s="184"/>
      <c r="E61" s="184">
        <v>22740283</v>
      </c>
      <c r="F61" s="185"/>
      <c r="G61" s="184"/>
      <c r="H61" s="184"/>
      <c r="I61" s="185"/>
      <c r="J61" s="185"/>
      <c r="K61" s="185">
        <v>4687226</v>
      </c>
      <c r="L61" s="185"/>
      <c r="M61" s="184"/>
      <c r="N61" s="184"/>
      <c r="O61" s="184"/>
      <c r="P61" s="185">
        <v>7115428</v>
      </c>
      <c r="Q61" s="185">
        <v>3763127</v>
      </c>
      <c r="R61" s="185">
        <v>10086798</v>
      </c>
      <c r="S61" s="185">
        <v>3503035</v>
      </c>
      <c r="T61" s="185">
        <v>1013155</v>
      </c>
      <c r="U61" s="185">
        <v>9579650</v>
      </c>
      <c r="V61" s="185"/>
      <c r="W61" s="185">
        <v>971454</v>
      </c>
      <c r="X61" s="185">
        <v>1822542</v>
      </c>
      <c r="Y61" s="185">
        <v>6769925</v>
      </c>
      <c r="Z61" s="185">
        <v>3267171</v>
      </c>
      <c r="AA61" s="185">
        <v>557335</v>
      </c>
      <c r="AB61" s="185">
        <v>4847594</v>
      </c>
      <c r="AC61" s="185">
        <v>893344</v>
      </c>
      <c r="AD61" s="185">
        <v>7665</v>
      </c>
      <c r="AE61" s="185">
        <v>3671795</v>
      </c>
      <c r="AF61" s="185">
        <v>339940</v>
      </c>
      <c r="AG61" s="185">
        <v>4917445</v>
      </c>
      <c r="AH61" s="185"/>
      <c r="AI61" s="185"/>
      <c r="AJ61" s="185">
        <v>71452595</v>
      </c>
      <c r="AK61" s="185"/>
      <c r="AL61" s="185"/>
      <c r="AM61" s="185"/>
      <c r="AN61" s="185"/>
      <c r="AO61" s="185"/>
      <c r="AP61" s="185">
        <v>52284455</v>
      </c>
      <c r="AQ61" s="185"/>
      <c r="AR61" s="185"/>
      <c r="AS61" s="185"/>
      <c r="AT61" s="185">
        <v>1085776</v>
      </c>
      <c r="AU61" s="185"/>
      <c r="AV61" s="185">
        <v>3434554</v>
      </c>
      <c r="AW61" s="185">
        <v>6937182</v>
      </c>
      <c r="AX61" s="185">
        <v>192728</v>
      </c>
      <c r="AY61" s="185">
        <v>1166746</v>
      </c>
      <c r="AZ61" s="185">
        <v>555566</v>
      </c>
      <c r="BA61" s="185"/>
      <c r="BB61" s="185">
        <v>378698</v>
      </c>
      <c r="BC61" s="185"/>
      <c r="BD61" s="185">
        <v>2758508</v>
      </c>
      <c r="BE61" s="185">
        <v>1296051</v>
      </c>
      <c r="BF61" s="185"/>
      <c r="BG61" s="185">
        <v>2366609</v>
      </c>
      <c r="BH61" s="185">
        <v>8957832</v>
      </c>
      <c r="BI61" s="185">
        <v>467781</v>
      </c>
      <c r="BJ61" s="185">
        <v>972401</v>
      </c>
      <c r="BK61" s="185">
        <v>6967671</v>
      </c>
      <c r="BL61" s="185">
        <v>2669413</v>
      </c>
      <c r="BM61" s="185">
        <v>1139667</v>
      </c>
      <c r="BN61" s="185">
        <v>4329162</v>
      </c>
      <c r="BO61" s="185">
        <v>500625</v>
      </c>
      <c r="BP61" s="185">
        <v>766950</v>
      </c>
      <c r="BQ61" s="185"/>
      <c r="BR61" s="185">
        <v>291179</v>
      </c>
      <c r="BS61" s="185"/>
      <c r="BT61" s="185">
        <v>64875</v>
      </c>
      <c r="BU61" s="185">
        <v>352728</v>
      </c>
      <c r="BV61" s="185">
        <v>1263143</v>
      </c>
      <c r="BW61" s="185">
        <v>2554203</v>
      </c>
      <c r="BX61" s="185">
        <v>3371545</v>
      </c>
      <c r="BY61" s="185">
        <v>2648319</v>
      </c>
      <c r="BZ61" s="185"/>
      <c r="CA61" s="185">
        <v>2610874</v>
      </c>
      <c r="CB61" s="185"/>
      <c r="CC61" s="185">
        <f>1371079-1</f>
        <v>1371078</v>
      </c>
      <c r="CD61" s="250" t="s">
        <v>221</v>
      </c>
      <c r="CE61" s="195">
        <f t="shared" si="0"/>
        <v>280618062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852866</v>
      </c>
      <c r="D62" s="195">
        <f t="shared" si="1"/>
        <v>0</v>
      </c>
      <c r="E62" s="195">
        <f t="shared" si="1"/>
        <v>4002980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940774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1249374</v>
      </c>
      <c r="Q62" s="195">
        <f t="shared" si="1"/>
        <v>664485</v>
      </c>
      <c r="R62" s="195">
        <f t="shared" si="1"/>
        <v>2814343</v>
      </c>
      <c r="S62" s="195">
        <f t="shared" si="1"/>
        <v>615540</v>
      </c>
      <c r="T62" s="195">
        <f t="shared" si="1"/>
        <v>177896</v>
      </c>
      <c r="U62" s="195">
        <f t="shared" si="1"/>
        <v>2190724</v>
      </c>
      <c r="V62" s="195">
        <f t="shared" si="1"/>
        <v>0</v>
      </c>
      <c r="W62" s="195">
        <f t="shared" si="1"/>
        <v>266382</v>
      </c>
      <c r="X62" s="195">
        <f t="shared" si="1"/>
        <v>520549</v>
      </c>
      <c r="Y62" s="195">
        <f t="shared" si="1"/>
        <v>1504545</v>
      </c>
      <c r="Z62" s="195">
        <f t="shared" si="1"/>
        <v>884060</v>
      </c>
      <c r="AA62" s="195">
        <f t="shared" si="1"/>
        <v>131445</v>
      </c>
      <c r="AB62" s="195">
        <f t="shared" si="1"/>
        <v>863088</v>
      </c>
      <c r="AC62" s="195">
        <f t="shared" si="1"/>
        <v>157059</v>
      </c>
      <c r="AD62" s="195">
        <f t="shared" si="1"/>
        <v>2105</v>
      </c>
      <c r="AE62" s="195">
        <f t="shared" si="1"/>
        <v>801985</v>
      </c>
      <c r="AF62" s="195">
        <f t="shared" si="1"/>
        <v>96635</v>
      </c>
      <c r="AG62" s="195">
        <f t="shared" si="1"/>
        <v>1268705</v>
      </c>
      <c r="AH62" s="195">
        <f t="shared" si="1"/>
        <v>0</v>
      </c>
      <c r="AI62" s="195">
        <f t="shared" si="1"/>
        <v>0</v>
      </c>
      <c r="AJ62" s="195">
        <f t="shared" si="1"/>
        <v>20362432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14020733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226090</v>
      </c>
      <c r="AU62" s="195">
        <f t="shared" si="1"/>
        <v>0</v>
      </c>
      <c r="AV62" s="195">
        <f t="shared" si="1"/>
        <v>753335</v>
      </c>
      <c r="AW62" s="195">
        <f t="shared" si="1"/>
        <v>1569936</v>
      </c>
      <c r="AX62" s="195">
        <f t="shared" si="1"/>
        <v>33840</v>
      </c>
      <c r="AY62" s="195">
        <f>ROUND(AY47+AY48,0)</f>
        <v>205000</v>
      </c>
      <c r="AZ62" s="195">
        <f>ROUND(AZ47+AZ48,0)</f>
        <v>107748</v>
      </c>
      <c r="BA62" s="195">
        <f>ROUND(BA47+BA48,0)</f>
        <v>0</v>
      </c>
      <c r="BB62" s="195">
        <f t="shared" si="1"/>
        <v>66867</v>
      </c>
      <c r="BC62" s="195">
        <f t="shared" si="1"/>
        <v>0</v>
      </c>
      <c r="BD62" s="195">
        <f t="shared" si="1"/>
        <v>538535</v>
      </c>
      <c r="BE62" s="195">
        <f t="shared" si="1"/>
        <v>222954</v>
      </c>
      <c r="BF62" s="195">
        <f t="shared" si="1"/>
        <v>0</v>
      </c>
      <c r="BG62" s="195">
        <f t="shared" si="1"/>
        <v>417844</v>
      </c>
      <c r="BH62" s="195">
        <f t="shared" si="1"/>
        <v>1406970</v>
      </c>
      <c r="BI62" s="195">
        <f t="shared" si="1"/>
        <v>92621</v>
      </c>
      <c r="BJ62" s="195">
        <f t="shared" si="1"/>
        <v>164187</v>
      </c>
      <c r="BK62" s="195">
        <f t="shared" si="1"/>
        <v>1273806</v>
      </c>
      <c r="BL62" s="195">
        <f t="shared" si="1"/>
        <v>475505</v>
      </c>
      <c r="BM62" s="195">
        <f t="shared" si="1"/>
        <v>215651</v>
      </c>
      <c r="BN62" s="195">
        <f t="shared" si="1"/>
        <v>1098960</v>
      </c>
      <c r="BO62" s="195">
        <f t="shared" ref="BO62:CC62" si="2">ROUND(BO47+BO48,0)</f>
        <v>93147</v>
      </c>
      <c r="BP62" s="195">
        <f t="shared" si="2"/>
        <v>134676</v>
      </c>
      <c r="BQ62" s="195">
        <f t="shared" si="2"/>
        <v>0</v>
      </c>
      <c r="BR62" s="195">
        <f t="shared" si="2"/>
        <v>142764</v>
      </c>
      <c r="BS62" s="195">
        <f t="shared" si="2"/>
        <v>0</v>
      </c>
      <c r="BT62" s="195">
        <f t="shared" si="2"/>
        <v>11391</v>
      </c>
      <c r="BU62" s="195">
        <f t="shared" si="2"/>
        <v>60935</v>
      </c>
      <c r="BV62" s="195">
        <f t="shared" si="2"/>
        <v>224025</v>
      </c>
      <c r="BW62" s="195">
        <f t="shared" si="2"/>
        <v>-6800762</v>
      </c>
      <c r="BX62" s="195">
        <f t="shared" si="2"/>
        <v>638147</v>
      </c>
      <c r="BY62" s="195">
        <f t="shared" si="2"/>
        <v>466962</v>
      </c>
      <c r="BZ62" s="195">
        <f t="shared" si="2"/>
        <v>0</v>
      </c>
      <c r="CA62" s="195">
        <f t="shared" si="2"/>
        <v>486394</v>
      </c>
      <c r="CB62" s="195">
        <f t="shared" si="2"/>
        <v>0</v>
      </c>
      <c r="CC62" s="195">
        <f t="shared" si="2"/>
        <v>135781</v>
      </c>
      <c r="CD62" s="250" t="s">
        <v>221</v>
      </c>
      <c r="CE62" s="195">
        <f t="shared" si="0"/>
        <v>58852014</v>
      </c>
      <c r="CF62" s="253"/>
    </row>
    <row r="63" spans="1:84" ht="12.65" customHeight="1" x14ac:dyDescent="0.35">
      <c r="A63" s="171" t="s">
        <v>236</v>
      </c>
      <c r="B63" s="175"/>
      <c r="C63" s="184"/>
      <c r="D63" s="184"/>
      <c r="E63" s="184">
        <v>1275</v>
      </c>
      <c r="F63" s="185"/>
      <c r="G63" s="184"/>
      <c r="H63" s="184"/>
      <c r="I63" s="185"/>
      <c r="J63" s="185"/>
      <c r="K63" s="185">
        <v>183</v>
      </c>
      <c r="L63" s="185"/>
      <c r="M63" s="184"/>
      <c r="N63" s="184"/>
      <c r="O63" s="184"/>
      <c r="P63" s="185">
        <v>1177809</v>
      </c>
      <c r="Q63" s="185"/>
      <c r="R63" s="185"/>
      <c r="S63" s="185"/>
      <c r="T63" s="185"/>
      <c r="U63" s="185">
        <v>11453</v>
      </c>
      <c r="V63" s="185"/>
      <c r="W63" s="185"/>
      <c r="X63" s="185"/>
      <c r="Y63" s="185">
        <v>21162</v>
      </c>
      <c r="Z63" s="185">
        <v>92833</v>
      </c>
      <c r="AA63" s="185"/>
      <c r="AB63" s="185">
        <v>2776</v>
      </c>
      <c r="AC63" s="185"/>
      <c r="AD63" s="185"/>
      <c r="AE63" s="185"/>
      <c r="AF63" s="185"/>
      <c r="AG63" s="185">
        <v>257247</v>
      </c>
      <c r="AH63" s="185"/>
      <c r="AI63" s="185"/>
      <c r="AJ63" s="185">
        <v>362626</v>
      </c>
      <c r="AK63" s="185"/>
      <c r="AL63" s="185"/>
      <c r="AM63" s="185"/>
      <c r="AN63" s="185"/>
      <c r="AO63" s="185"/>
      <c r="AP63" s="185">
        <v>29732</v>
      </c>
      <c r="AQ63" s="185"/>
      <c r="AR63" s="185"/>
      <c r="AS63" s="185"/>
      <c r="AT63" s="185">
        <v>157461</v>
      </c>
      <c r="AU63" s="185"/>
      <c r="AV63" s="185">
        <v>74582</v>
      </c>
      <c r="AW63" s="185">
        <v>122315</v>
      </c>
      <c r="AX63" s="185">
        <v>810648</v>
      </c>
      <c r="AY63" s="185"/>
      <c r="AZ63" s="185"/>
      <c r="BA63" s="185"/>
      <c r="BB63" s="185">
        <v>701</v>
      </c>
      <c r="BC63" s="185"/>
      <c r="BD63" s="185">
        <v>393431</v>
      </c>
      <c r="BE63" s="185">
        <v>13542</v>
      </c>
      <c r="BF63" s="185"/>
      <c r="BG63" s="185"/>
      <c r="BH63" s="185">
        <v>317</v>
      </c>
      <c r="BI63" s="185"/>
      <c r="BJ63" s="185"/>
      <c r="BK63" s="185">
        <v>2316896</v>
      </c>
      <c r="BL63" s="185"/>
      <c r="BM63" s="185"/>
      <c r="BN63" s="185"/>
      <c r="BO63" s="185"/>
      <c r="BP63" s="185"/>
      <c r="BQ63" s="185"/>
      <c r="BR63" s="185">
        <v>80585</v>
      </c>
      <c r="BS63" s="185"/>
      <c r="BT63" s="185"/>
      <c r="BU63" s="185"/>
      <c r="BV63" s="185"/>
      <c r="BW63" s="185"/>
      <c r="BX63" s="185">
        <v>44791</v>
      </c>
      <c r="BY63" s="185"/>
      <c r="BZ63" s="185"/>
      <c r="CA63" s="185"/>
      <c r="CB63" s="185"/>
      <c r="CC63" s="185">
        <f>118481+2</f>
        <v>118483</v>
      </c>
      <c r="CD63" s="250" t="s">
        <v>221</v>
      </c>
      <c r="CE63" s="195">
        <f t="shared" si="0"/>
        <v>6090848</v>
      </c>
      <c r="CF63" s="253"/>
    </row>
    <row r="64" spans="1:84" ht="12.65" customHeight="1" x14ac:dyDescent="0.35">
      <c r="A64" s="171" t="s">
        <v>237</v>
      </c>
      <c r="B64" s="175"/>
      <c r="C64" s="184">
        <v>744682</v>
      </c>
      <c r="D64" s="184"/>
      <c r="E64" s="185">
        <v>1771236</v>
      </c>
      <c r="F64" s="185"/>
      <c r="G64" s="184"/>
      <c r="H64" s="184"/>
      <c r="I64" s="185"/>
      <c r="J64" s="185"/>
      <c r="K64" s="185">
        <v>395614</v>
      </c>
      <c r="L64" s="185"/>
      <c r="M64" s="184"/>
      <c r="N64" s="184">
        <v>2949</v>
      </c>
      <c r="O64" s="184"/>
      <c r="P64" s="185">
        <v>20678411</v>
      </c>
      <c r="Q64" s="185">
        <v>526687</v>
      </c>
      <c r="R64" s="185">
        <v>1482303</v>
      </c>
      <c r="S64" s="185">
        <v>246458</v>
      </c>
      <c r="T64" s="185">
        <v>303435</v>
      </c>
      <c r="U64" s="185">
        <v>8058961</v>
      </c>
      <c r="V64" s="185"/>
      <c r="W64" s="185">
        <v>152780</v>
      </c>
      <c r="X64" s="185">
        <v>392775</v>
      </c>
      <c r="Y64" s="185">
        <v>3101252</v>
      </c>
      <c r="Z64" s="185">
        <v>131445</v>
      </c>
      <c r="AA64" s="185">
        <v>3474835</v>
      </c>
      <c r="AB64" s="185">
        <v>20171016</v>
      </c>
      <c r="AC64" s="185">
        <v>148164</v>
      </c>
      <c r="AD64" s="185">
        <v>49318</v>
      </c>
      <c r="AE64" s="185">
        <v>426227</v>
      </c>
      <c r="AF64" s="185">
        <v>325</v>
      </c>
      <c r="AG64" s="185">
        <v>412386</v>
      </c>
      <c r="AH64" s="185"/>
      <c r="AI64" s="185"/>
      <c r="AJ64" s="185">
        <v>43923290</v>
      </c>
      <c r="AK64" s="185"/>
      <c r="AL64" s="185"/>
      <c r="AM64" s="185"/>
      <c r="AN64" s="185"/>
      <c r="AO64" s="185"/>
      <c r="AP64" s="185">
        <v>18186961</v>
      </c>
      <c r="AQ64" s="185"/>
      <c r="AR64" s="185"/>
      <c r="AS64" s="185"/>
      <c r="AT64" s="185">
        <v>1727389</v>
      </c>
      <c r="AU64" s="185"/>
      <c r="AV64" s="185">
        <v>7845320</v>
      </c>
      <c r="AW64" s="185">
        <v>147256</v>
      </c>
      <c r="AX64" s="185">
        <v>68</v>
      </c>
      <c r="AY64" s="185">
        <v>298171</v>
      </c>
      <c r="AZ64" s="185">
        <v>917086</v>
      </c>
      <c r="BA64" s="185">
        <v>497</v>
      </c>
      <c r="BB64" s="185">
        <v>1054</v>
      </c>
      <c r="BC64" s="185">
        <v>77591</v>
      </c>
      <c r="BD64" s="185">
        <v>81920</v>
      </c>
      <c r="BE64" s="185">
        <v>391690</v>
      </c>
      <c r="BF64" s="185">
        <v>13820</v>
      </c>
      <c r="BG64" s="185">
        <v>1785</v>
      </c>
      <c r="BH64" s="185">
        <v>-126770</v>
      </c>
      <c r="BI64" s="185">
        <v>61721</v>
      </c>
      <c r="BJ64" s="185">
        <v>8340</v>
      </c>
      <c r="BK64" s="185">
        <v>208082</v>
      </c>
      <c r="BL64" s="185">
        <v>14813</v>
      </c>
      <c r="BM64" s="185">
        <v>3612</v>
      </c>
      <c r="BN64" s="185">
        <v>8896</v>
      </c>
      <c r="BO64" s="185">
        <v>21688</v>
      </c>
      <c r="BP64" s="185">
        <v>7353</v>
      </c>
      <c r="BQ64" s="185"/>
      <c r="BR64" s="185">
        <v>488</v>
      </c>
      <c r="BS64" s="185"/>
      <c r="BT64" s="185">
        <v>-3</v>
      </c>
      <c r="BU64" s="185">
        <v>3056</v>
      </c>
      <c r="BV64" s="185">
        <v>5494</v>
      </c>
      <c r="BW64" s="185">
        <v>2168</v>
      </c>
      <c r="BX64" s="185">
        <v>15747</v>
      </c>
      <c r="BY64" s="185">
        <v>83271</v>
      </c>
      <c r="BZ64" s="185"/>
      <c r="CA64" s="185">
        <v>3667</v>
      </c>
      <c r="CB64" s="185"/>
      <c r="CC64" s="185">
        <f>469940-3</f>
        <v>469937</v>
      </c>
      <c r="CD64" s="250" t="s">
        <v>221</v>
      </c>
      <c r="CE64" s="195">
        <f t="shared" si="0"/>
        <v>137076717</v>
      </c>
      <c r="CF64" s="253"/>
    </row>
    <row r="65" spans="1:84" ht="12.65" customHeight="1" x14ac:dyDescent="0.35">
      <c r="A65" s="171" t="s">
        <v>238</v>
      </c>
      <c r="B65" s="175"/>
      <c r="C65" s="184">
        <v>16810</v>
      </c>
      <c r="D65" s="184"/>
      <c r="E65" s="184">
        <v>100440</v>
      </c>
      <c r="F65" s="184"/>
      <c r="G65" s="184"/>
      <c r="H65" s="184"/>
      <c r="I65" s="185"/>
      <c r="J65" s="184"/>
      <c r="K65" s="185">
        <v>161846</v>
      </c>
      <c r="L65" s="185"/>
      <c r="M65" s="184"/>
      <c r="N65" s="184">
        <v>6</v>
      </c>
      <c r="O65" s="184"/>
      <c r="P65" s="185">
        <v>52251</v>
      </c>
      <c r="Q65" s="185">
        <v>18659</v>
      </c>
      <c r="R65" s="185">
        <v>18079</v>
      </c>
      <c r="S65" s="185">
        <v>13266</v>
      </c>
      <c r="T65" s="185">
        <v>2042</v>
      </c>
      <c r="U65" s="185">
        <v>64136</v>
      </c>
      <c r="V65" s="185"/>
      <c r="W65" s="185">
        <v>14270</v>
      </c>
      <c r="X65" s="185">
        <v>5802</v>
      </c>
      <c r="Y65" s="185">
        <v>31289</v>
      </c>
      <c r="Z65" s="185">
        <v>18109</v>
      </c>
      <c r="AA65" s="185">
        <v>2699</v>
      </c>
      <c r="AB65" s="185">
        <v>18945</v>
      </c>
      <c r="AC65" s="185">
        <v>2392</v>
      </c>
      <c r="AD65" s="185">
        <v>1089</v>
      </c>
      <c r="AE65" s="185">
        <v>15375</v>
      </c>
      <c r="AF65" s="185">
        <v>1259</v>
      </c>
      <c r="AG65" s="185">
        <v>13514</v>
      </c>
      <c r="AH65" s="185"/>
      <c r="AI65" s="185"/>
      <c r="AJ65" s="185">
        <v>342921</v>
      </c>
      <c r="AK65" s="185"/>
      <c r="AL65" s="185"/>
      <c r="AM65" s="185"/>
      <c r="AN65" s="185"/>
      <c r="AO65" s="185"/>
      <c r="AP65" s="185">
        <v>890588</v>
      </c>
      <c r="AQ65" s="185"/>
      <c r="AR65" s="185"/>
      <c r="AS65" s="185"/>
      <c r="AT65" s="185">
        <v>5194</v>
      </c>
      <c r="AU65" s="185"/>
      <c r="AV65" s="185">
        <v>17587</v>
      </c>
      <c r="AW65" s="185">
        <v>20943</v>
      </c>
      <c r="AX65" s="185">
        <v>736</v>
      </c>
      <c r="AY65" s="185">
        <v>4737</v>
      </c>
      <c r="AZ65" s="185">
        <v>16023</v>
      </c>
      <c r="BA65" s="185">
        <v>530</v>
      </c>
      <c r="BB65" s="185">
        <v>4578</v>
      </c>
      <c r="BC65" s="185">
        <v>5962</v>
      </c>
      <c r="BD65" s="185">
        <v>39603</v>
      </c>
      <c r="BE65" s="185">
        <v>2951044</v>
      </c>
      <c r="BF65" s="185">
        <v>546361</v>
      </c>
      <c r="BG65" s="185">
        <v>34857</v>
      </c>
      <c r="BH65" s="185">
        <v>397056</v>
      </c>
      <c r="BI65" s="185">
        <v>6703</v>
      </c>
      <c r="BJ65" s="185">
        <v>7192</v>
      </c>
      <c r="BK65" s="185">
        <v>40094</v>
      </c>
      <c r="BL65" s="185">
        <v>24491</v>
      </c>
      <c r="BM65" s="185">
        <v>4036</v>
      </c>
      <c r="BN65" s="185">
        <v>40971</v>
      </c>
      <c r="BO65" s="185">
        <v>5157</v>
      </c>
      <c r="BP65" s="185">
        <v>7389</v>
      </c>
      <c r="BQ65" s="185"/>
      <c r="BR65" s="185">
        <v>3356</v>
      </c>
      <c r="BS65" s="185"/>
      <c r="BT65" s="185">
        <v>312</v>
      </c>
      <c r="BU65" s="185">
        <v>3178</v>
      </c>
      <c r="BV65" s="185">
        <v>31591</v>
      </c>
      <c r="BW65" s="185">
        <v>581</v>
      </c>
      <c r="BX65" s="185">
        <v>31596</v>
      </c>
      <c r="BY65" s="185">
        <v>24873</v>
      </c>
      <c r="BZ65" s="185"/>
      <c r="CA65" s="185">
        <v>4393</v>
      </c>
      <c r="CB65" s="185"/>
      <c r="CC65" s="185">
        <f>84989+2</f>
        <v>84991</v>
      </c>
      <c r="CD65" s="250" t="s">
        <v>221</v>
      </c>
      <c r="CE65" s="195">
        <f t="shared" si="0"/>
        <v>6171902</v>
      </c>
      <c r="CF65" s="253"/>
    </row>
    <row r="66" spans="1:84" ht="12.65" customHeight="1" x14ac:dyDescent="0.35">
      <c r="A66" s="171" t="s">
        <v>239</v>
      </c>
      <c r="B66" s="175"/>
      <c r="C66" s="184">
        <v>5387</v>
      </c>
      <c r="D66" s="184"/>
      <c r="E66" s="184">
        <v>529071</v>
      </c>
      <c r="F66" s="184"/>
      <c r="G66" s="184"/>
      <c r="H66" s="184"/>
      <c r="I66" s="184"/>
      <c r="J66" s="184"/>
      <c r="K66" s="185">
        <v>283344</v>
      </c>
      <c r="L66" s="185"/>
      <c r="M66" s="184"/>
      <c r="N66" s="184"/>
      <c r="O66" s="185"/>
      <c r="P66" s="185">
        <v>447638</v>
      </c>
      <c r="Q66" s="185">
        <v>44181</v>
      </c>
      <c r="R66" s="185">
        <v>10044</v>
      </c>
      <c r="S66" s="184">
        <v>30341</v>
      </c>
      <c r="T66" s="184">
        <v>827</v>
      </c>
      <c r="U66" s="185">
        <v>2736428</v>
      </c>
      <c r="V66" s="185"/>
      <c r="W66" s="185">
        <v>88863</v>
      </c>
      <c r="X66" s="185">
        <v>32066</v>
      </c>
      <c r="Y66" s="185">
        <v>44659</v>
      </c>
      <c r="Z66" s="185">
        <v>313036</v>
      </c>
      <c r="AA66" s="185">
        <v>7635</v>
      </c>
      <c r="AB66" s="185">
        <v>25311</v>
      </c>
      <c r="AC66" s="185">
        <v>2139</v>
      </c>
      <c r="AD66" s="185">
        <v>1264379</v>
      </c>
      <c r="AE66" s="185">
        <v>21406</v>
      </c>
      <c r="AF66" s="185">
        <v>208</v>
      </c>
      <c r="AG66" s="185">
        <v>20494</v>
      </c>
      <c r="AH66" s="185"/>
      <c r="AI66" s="185"/>
      <c r="AJ66" s="185">
        <v>1384024</v>
      </c>
      <c r="AK66" s="185"/>
      <c r="AL66" s="185"/>
      <c r="AM66" s="185"/>
      <c r="AN66" s="185"/>
      <c r="AO66" s="185"/>
      <c r="AP66" s="185">
        <v>1155837</v>
      </c>
      <c r="AQ66" s="185"/>
      <c r="AR66" s="185"/>
      <c r="AS66" s="185"/>
      <c r="AT66" s="185">
        <v>574766</v>
      </c>
      <c r="AU66" s="185"/>
      <c r="AV66" s="185">
        <v>24690</v>
      </c>
      <c r="AW66" s="185">
        <v>279793</v>
      </c>
      <c r="AX66" s="185">
        <v>51283</v>
      </c>
      <c r="AY66" s="185">
        <v>599636</v>
      </c>
      <c r="AZ66" s="185">
        <v>25727</v>
      </c>
      <c r="BA66" s="185">
        <v>1051081</v>
      </c>
      <c r="BB66" s="185">
        <v>1479</v>
      </c>
      <c r="BC66" s="185">
        <v>1733505</v>
      </c>
      <c r="BD66" s="185">
        <v>222990</v>
      </c>
      <c r="BE66" s="185">
        <v>2441930</v>
      </c>
      <c r="BF66" s="185">
        <v>4027939</v>
      </c>
      <c r="BG66" s="185">
        <v>17</v>
      </c>
      <c r="BH66" s="185">
        <v>370774</v>
      </c>
      <c r="BI66" s="185">
        <v>328224</v>
      </c>
      <c r="BJ66" s="185">
        <v>224063</v>
      </c>
      <c r="BK66" s="185">
        <v>377029</v>
      </c>
      <c r="BL66" s="185">
        <v>2</v>
      </c>
      <c r="BM66" s="185">
        <v>142435</v>
      </c>
      <c r="BN66" s="185">
        <v>85631</v>
      </c>
      <c r="BO66" s="185">
        <v>1791</v>
      </c>
      <c r="BP66" s="185">
        <v>47278</v>
      </c>
      <c r="BQ66" s="185"/>
      <c r="BR66" s="185">
        <v>413336</v>
      </c>
      <c r="BS66" s="185"/>
      <c r="BT66" s="185"/>
      <c r="BU66" s="185">
        <v>54141</v>
      </c>
      <c r="BV66" s="185">
        <v>299338</v>
      </c>
      <c r="BW66" s="185">
        <v>52361</v>
      </c>
      <c r="BX66" s="185">
        <v>1127679</v>
      </c>
      <c r="BY66" s="185">
        <v>59019</v>
      </c>
      <c r="BZ66" s="185"/>
      <c r="CA66" s="185">
        <v>57755</v>
      </c>
      <c r="CB66" s="185"/>
      <c r="CC66" s="185">
        <f>1859108-4</f>
        <v>1859104</v>
      </c>
      <c r="CD66" s="250" t="s">
        <v>221</v>
      </c>
      <c r="CE66" s="195">
        <f t="shared" si="0"/>
        <v>24982114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812371</v>
      </c>
      <c r="D67" s="195">
        <f>ROUND(D51+D52,0)</f>
        <v>0</v>
      </c>
      <c r="E67" s="195">
        <f t="shared" ref="E67:BP67" si="3">ROUND(E51+E52,0)</f>
        <v>1122615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132968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1950091</v>
      </c>
      <c r="Q67" s="195">
        <f t="shared" si="3"/>
        <v>359098</v>
      </c>
      <c r="R67" s="195">
        <f t="shared" si="3"/>
        <v>196159</v>
      </c>
      <c r="S67" s="195">
        <f t="shared" si="3"/>
        <v>155256</v>
      </c>
      <c r="T67" s="195">
        <f t="shared" si="3"/>
        <v>14247</v>
      </c>
      <c r="U67" s="195">
        <f t="shared" si="3"/>
        <v>257872</v>
      </c>
      <c r="V67" s="195">
        <f t="shared" si="3"/>
        <v>0</v>
      </c>
      <c r="W67" s="195">
        <f t="shared" si="3"/>
        <v>329359</v>
      </c>
      <c r="X67" s="195">
        <f t="shared" si="3"/>
        <v>272589</v>
      </c>
      <c r="Y67" s="195">
        <f t="shared" si="3"/>
        <v>1830296</v>
      </c>
      <c r="Z67" s="195">
        <f t="shared" si="3"/>
        <v>234769</v>
      </c>
      <c r="AA67" s="195">
        <f t="shared" si="3"/>
        <v>53917</v>
      </c>
      <c r="AB67" s="195">
        <f t="shared" si="3"/>
        <v>186079</v>
      </c>
      <c r="AC67" s="195">
        <f t="shared" si="3"/>
        <v>48009</v>
      </c>
      <c r="AD67" s="195">
        <f t="shared" si="3"/>
        <v>164</v>
      </c>
      <c r="AE67" s="195">
        <f t="shared" si="3"/>
        <v>17816</v>
      </c>
      <c r="AF67" s="195">
        <f t="shared" si="3"/>
        <v>5818</v>
      </c>
      <c r="AG67" s="195">
        <f t="shared" si="3"/>
        <v>281561</v>
      </c>
      <c r="AH67" s="195">
        <f t="shared" si="3"/>
        <v>0</v>
      </c>
      <c r="AI67" s="195">
        <f t="shared" si="3"/>
        <v>0</v>
      </c>
      <c r="AJ67" s="195">
        <f t="shared" si="3"/>
        <v>1055169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2491304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427</v>
      </c>
      <c r="AU67" s="195">
        <f t="shared" si="3"/>
        <v>0</v>
      </c>
      <c r="AV67" s="195">
        <f t="shared" si="3"/>
        <v>311244</v>
      </c>
      <c r="AW67" s="195">
        <f t="shared" si="3"/>
        <v>45593</v>
      </c>
      <c r="AX67" s="195">
        <f t="shared" si="3"/>
        <v>514</v>
      </c>
      <c r="AY67" s="195">
        <f t="shared" si="3"/>
        <v>4678</v>
      </c>
      <c r="AZ67" s="195">
        <f>ROUND(AZ51+AZ52,0)</f>
        <v>32299</v>
      </c>
      <c r="BA67" s="195">
        <f>ROUND(BA51+BA52,0)</f>
        <v>2846</v>
      </c>
      <c r="BB67" s="195">
        <f t="shared" si="3"/>
        <v>615</v>
      </c>
      <c r="BC67" s="195">
        <f t="shared" si="3"/>
        <v>72855</v>
      </c>
      <c r="BD67" s="195">
        <f t="shared" si="3"/>
        <v>23311</v>
      </c>
      <c r="BE67" s="195">
        <f t="shared" si="3"/>
        <v>2716487</v>
      </c>
      <c r="BF67" s="195">
        <f t="shared" si="3"/>
        <v>32570</v>
      </c>
      <c r="BG67" s="195">
        <f t="shared" si="3"/>
        <v>14876</v>
      </c>
      <c r="BH67" s="195">
        <f t="shared" si="3"/>
        <v>2623442</v>
      </c>
      <c r="BI67" s="195">
        <f t="shared" si="3"/>
        <v>10379</v>
      </c>
      <c r="BJ67" s="195">
        <f t="shared" si="3"/>
        <v>36279</v>
      </c>
      <c r="BK67" s="195">
        <f t="shared" si="3"/>
        <v>105801</v>
      </c>
      <c r="BL67" s="195">
        <f t="shared" si="3"/>
        <v>3032</v>
      </c>
      <c r="BM67" s="195">
        <f t="shared" si="3"/>
        <v>16796</v>
      </c>
      <c r="BN67" s="195">
        <f t="shared" si="3"/>
        <v>9767</v>
      </c>
      <c r="BO67" s="195">
        <f t="shared" si="3"/>
        <v>1133</v>
      </c>
      <c r="BP67" s="195">
        <f t="shared" si="3"/>
        <v>804701</v>
      </c>
      <c r="BQ67" s="195">
        <f t="shared" ref="BQ67:CC67" si="4">ROUND(BQ51+BQ52,0)</f>
        <v>0</v>
      </c>
      <c r="BR67" s="195">
        <f t="shared" si="4"/>
        <v>1853</v>
      </c>
      <c r="BS67" s="195">
        <f t="shared" si="4"/>
        <v>0</v>
      </c>
      <c r="BT67" s="195">
        <f t="shared" si="4"/>
        <v>192</v>
      </c>
      <c r="BU67" s="195">
        <f t="shared" si="4"/>
        <v>36687</v>
      </c>
      <c r="BV67" s="195">
        <f t="shared" si="4"/>
        <v>78488</v>
      </c>
      <c r="BW67" s="195">
        <f t="shared" si="4"/>
        <v>41</v>
      </c>
      <c r="BX67" s="195">
        <f t="shared" si="4"/>
        <v>58479</v>
      </c>
      <c r="BY67" s="195">
        <f t="shared" si="4"/>
        <v>94934</v>
      </c>
      <c r="BZ67" s="195">
        <f t="shared" si="4"/>
        <v>0</v>
      </c>
      <c r="CA67" s="195">
        <f t="shared" si="4"/>
        <v>3738</v>
      </c>
      <c r="CB67" s="195">
        <f t="shared" si="4"/>
        <v>0</v>
      </c>
      <c r="CC67" s="195">
        <f t="shared" si="4"/>
        <v>259723</v>
      </c>
      <c r="CD67" s="250" t="s">
        <v>221</v>
      </c>
      <c r="CE67" s="195">
        <f t="shared" si="0"/>
        <v>19211307</v>
      </c>
      <c r="CF67" s="253"/>
    </row>
    <row r="68" spans="1:84" ht="12.65" customHeight="1" x14ac:dyDescent="0.35">
      <c r="A68" s="171" t="s">
        <v>240</v>
      </c>
      <c r="B68" s="175"/>
      <c r="C68" s="184">
        <v>15245</v>
      </c>
      <c r="D68" s="184"/>
      <c r="E68" s="184">
        <v>1318169</v>
      </c>
      <c r="F68" s="184"/>
      <c r="G68" s="184"/>
      <c r="H68" s="184"/>
      <c r="I68" s="184"/>
      <c r="J68" s="184"/>
      <c r="K68" s="185">
        <v>379847</v>
      </c>
      <c r="L68" s="185"/>
      <c r="M68" s="184"/>
      <c r="N68" s="184">
        <v>176</v>
      </c>
      <c r="O68" s="184"/>
      <c r="P68" s="185">
        <v>205613</v>
      </c>
      <c r="Q68" s="185">
        <v>96039</v>
      </c>
      <c r="R68" s="185">
        <v>18535</v>
      </c>
      <c r="S68" s="185">
        <v>5624</v>
      </c>
      <c r="T68" s="185"/>
      <c r="U68" s="185">
        <v>314137</v>
      </c>
      <c r="V68" s="185"/>
      <c r="W68" s="185">
        <v>-1048</v>
      </c>
      <c r="X68" s="185">
        <v>404</v>
      </c>
      <c r="Y68" s="185">
        <v>2408</v>
      </c>
      <c r="Z68" s="185"/>
      <c r="AA68" s="185">
        <v>165</v>
      </c>
      <c r="AB68" s="185">
        <v>92246</v>
      </c>
      <c r="AC68" s="185">
        <v>5573</v>
      </c>
      <c r="AD68" s="185">
        <v>1705</v>
      </c>
      <c r="AE68" s="185">
        <v>10002</v>
      </c>
      <c r="AF68" s="185"/>
      <c r="AG68" s="185">
        <v>779</v>
      </c>
      <c r="AH68" s="185"/>
      <c r="AI68" s="185"/>
      <c r="AJ68" s="185">
        <v>67720</v>
      </c>
      <c r="AK68" s="185"/>
      <c r="AL68" s="185"/>
      <c r="AM68" s="185"/>
      <c r="AN68" s="185"/>
      <c r="AO68" s="185"/>
      <c r="AP68" s="185">
        <v>5594474</v>
      </c>
      <c r="AQ68" s="185"/>
      <c r="AR68" s="185"/>
      <c r="AS68" s="185"/>
      <c r="AT68" s="185"/>
      <c r="AU68" s="185"/>
      <c r="AV68" s="185">
        <v>33769</v>
      </c>
      <c r="AW68" s="185">
        <v>176688</v>
      </c>
      <c r="AX68" s="185"/>
      <c r="AY68" s="185"/>
      <c r="AZ68" s="185"/>
      <c r="BA68" s="185"/>
      <c r="BB68" s="185"/>
      <c r="BC68" s="185"/>
      <c r="BD68" s="185">
        <v>123122</v>
      </c>
      <c r="BE68" s="185">
        <v>338843</v>
      </c>
      <c r="BF68" s="185"/>
      <c r="BG68" s="185">
        <v>318865</v>
      </c>
      <c r="BH68" s="185">
        <v>1554507</v>
      </c>
      <c r="BI68" s="185"/>
      <c r="BJ68" s="185">
        <v>62641</v>
      </c>
      <c r="BK68" s="185">
        <v>438620</v>
      </c>
      <c r="BL68" s="185"/>
      <c r="BM68" s="185">
        <v>41611</v>
      </c>
      <c r="BN68" s="185">
        <v>25937</v>
      </c>
      <c r="BO68" s="185"/>
      <c r="BP68" s="185"/>
      <c r="BQ68" s="185"/>
      <c r="BR68" s="185"/>
      <c r="BS68" s="185"/>
      <c r="BT68" s="185"/>
      <c r="BU68" s="185"/>
      <c r="BV68" s="185">
        <v>240757</v>
      </c>
      <c r="BW68" s="185"/>
      <c r="BX68" s="185">
        <v>186214</v>
      </c>
      <c r="BY68" s="185">
        <v>8298</v>
      </c>
      <c r="BZ68" s="185"/>
      <c r="CA68" s="185"/>
      <c r="CB68" s="185"/>
      <c r="CC68" s="185">
        <f>806304-1</f>
        <v>806303</v>
      </c>
      <c r="CD68" s="250" t="s">
        <v>221</v>
      </c>
      <c r="CE68" s="195">
        <f t="shared" si="0"/>
        <v>12483988</v>
      </c>
      <c r="CF68" s="253"/>
    </row>
    <row r="69" spans="1:84" ht="12.65" customHeight="1" x14ac:dyDescent="0.35">
      <c r="A69" s="171" t="s">
        <v>241</v>
      </c>
      <c r="B69" s="175"/>
      <c r="C69" s="184">
        <v>86379</v>
      </c>
      <c r="D69" s="184"/>
      <c r="E69" s="185">
        <v>328001</v>
      </c>
      <c r="F69" s="185"/>
      <c r="G69" s="184"/>
      <c r="H69" s="184"/>
      <c r="I69" s="185"/>
      <c r="J69" s="185"/>
      <c r="K69" s="185">
        <v>275374</v>
      </c>
      <c r="L69" s="185"/>
      <c r="M69" s="184"/>
      <c r="N69" s="184">
        <v>-5165</v>
      </c>
      <c r="O69" s="184"/>
      <c r="P69" s="185">
        <v>1340021</v>
      </c>
      <c r="Q69" s="185">
        <v>88354</v>
      </c>
      <c r="R69" s="224">
        <v>336088</v>
      </c>
      <c r="S69" s="185">
        <v>391132</v>
      </c>
      <c r="T69" s="184">
        <v>2475</v>
      </c>
      <c r="U69" s="185">
        <v>698225</v>
      </c>
      <c r="V69" s="185"/>
      <c r="W69" s="184">
        <v>174844</v>
      </c>
      <c r="X69" s="185">
        <v>192099</v>
      </c>
      <c r="Y69" s="185">
        <v>1454530</v>
      </c>
      <c r="Z69" s="185">
        <v>167955</v>
      </c>
      <c r="AA69" s="185">
        <v>83660</v>
      </c>
      <c r="AB69" s="185">
        <v>327390</v>
      </c>
      <c r="AC69" s="185">
        <v>79159</v>
      </c>
      <c r="AD69" s="185">
        <v>14875</v>
      </c>
      <c r="AE69" s="185">
        <v>16844</v>
      </c>
      <c r="AF69" s="185">
        <v>424</v>
      </c>
      <c r="AG69" s="185">
        <v>46122</v>
      </c>
      <c r="AH69" s="185"/>
      <c r="AI69" s="185"/>
      <c r="AJ69" s="185">
        <v>1626149</v>
      </c>
      <c r="AK69" s="185"/>
      <c r="AL69" s="185"/>
      <c r="AM69" s="185"/>
      <c r="AN69" s="185"/>
      <c r="AO69" s="184"/>
      <c r="AP69" s="185">
        <v>2264015</v>
      </c>
      <c r="AQ69" s="184"/>
      <c r="AR69" s="184"/>
      <c r="AS69" s="184"/>
      <c r="AT69" s="184">
        <v>9091</v>
      </c>
      <c r="AU69" s="185"/>
      <c r="AV69" s="185">
        <v>688191</v>
      </c>
      <c r="AW69" s="185">
        <v>166696</v>
      </c>
      <c r="AX69" s="185">
        <v>183485</v>
      </c>
      <c r="AY69" s="185">
        <v>52009</v>
      </c>
      <c r="AZ69" s="185">
        <v>98546</v>
      </c>
      <c r="BA69" s="185">
        <v>39</v>
      </c>
      <c r="BB69" s="185">
        <v>5207</v>
      </c>
      <c r="BC69" s="185">
        <v>8252</v>
      </c>
      <c r="BD69" s="185">
        <v>536506</v>
      </c>
      <c r="BE69" s="185">
        <v>1074726</v>
      </c>
      <c r="BF69" s="185">
        <v>-29213</v>
      </c>
      <c r="BG69" s="185">
        <v>99373</v>
      </c>
      <c r="BH69" s="224">
        <v>4227948</v>
      </c>
      <c r="BI69" s="185">
        <v>299679</v>
      </c>
      <c r="BJ69" s="185">
        <v>30787</v>
      </c>
      <c r="BK69" s="185">
        <v>615133</v>
      </c>
      <c r="BL69" s="185">
        <v>5992</v>
      </c>
      <c r="BM69" s="185">
        <v>33792</v>
      </c>
      <c r="BN69" s="185">
        <v>556839</v>
      </c>
      <c r="BO69" s="185">
        <v>34046</v>
      </c>
      <c r="BP69" s="185">
        <v>148640</v>
      </c>
      <c r="BQ69" s="185"/>
      <c r="BR69" s="185">
        <v>47635</v>
      </c>
      <c r="BS69" s="185"/>
      <c r="BT69" s="185"/>
      <c r="BU69" s="185">
        <v>407082</v>
      </c>
      <c r="BV69" s="185">
        <v>127604</v>
      </c>
      <c r="BW69" s="185">
        <v>655453</v>
      </c>
      <c r="BX69" s="185">
        <v>941969</v>
      </c>
      <c r="BY69" s="185">
        <v>118620</v>
      </c>
      <c r="BZ69" s="185"/>
      <c r="CA69" s="185">
        <v>25933</v>
      </c>
      <c r="CB69" s="185"/>
      <c r="CC69" s="185">
        <v>345490</v>
      </c>
      <c r="CD69" s="188">
        <f>25011383+1</f>
        <v>25011384</v>
      </c>
      <c r="CE69" s="195">
        <f t="shared" si="0"/>
        <v>46515884</v>
      </c>
      <c r="CF69" s="253"/>
    </row>
    <row r="70" spans="1:84" ht="12.65" customHeight="1" x14ac:dyDescent="0.35">
      <c r="A70" s="171" t="s">
        <v>242</v>
      </c>
      <c r="B70" s="175"/>
      <c r="C70" s="184">
        <v>325</v>
      </c>
      <c r="D70" s="184"/>
      <c r="E70" s="184">
        <v>1474</v>
      </c>
      <c r="F70" s="185"/>
      <c r="G70" s="184"/>
      <c r="H70" s="184"/>
      <c r="I70" s="184"/>
      <c r="J70" s="185"/>
      <c r="K70" s="185">
        <v>2601520</v>
      </c>
      <c r="L70" s="185"/>
      <c r="M70" s="184"/>
      <c r="N70" s="184"/>
      <c r="O70" s="184"/>
      <c r="P70" s="184">
        <v>790</v>
      </c>
      <c r="Q70" s="184"/>
      <c r="R70" s="184">
        <v>779</v>
      </c>
      <c r="S70" s="184">
        <v>1075</v>
      </c>
      <c r="T70" s="184"/>
      <c r="U70" s="185">
        <v>6481</v>
      </c>
      <c r="V70" s="184"/>
      <c r="W70" s="184"/>
      <c r="X70" s="185"/>
      <c r="Y70" s="185">
        <v>14888</v>
      </c>
      <c r="Z70" s="185">
        <v>1029693</v>
      </c>
      <c r="AA70" s="185"/>
      <c r="AB70" s="185">
        <v>138550</v>
      </c>
      <c r="AC70" s="185"/>
      <c r="AD70" s="185"/>
      <c r="AE70" s="185">
        <v>368</v>
      </c>
      <c r="AF70" s="185"/>
      <c r="AG70" s="185"/>
      <c r="AH70" s="185"/>
      <c r="AI70" s="185"/>
      <c r="AJ70" s="185">
        <v>1972300</v>
      </c>
      <c r="AK70" s="185"/>
      <c r="AL70" s="185"/>
      <c r="AM70" s="185"/>
      <c r="AN70" s="185"/>
      <c r="AO70" s="185"/>
      <c r="AP70" s="185">
        <v>1129335</v>
      </c>
      <c r="AQ70" s="185"/>
      <c r="AR70" s="185"/>
      <c r="AS70" s="185"/>
      <c r="AT70" s="185">
        <v>495</v>
      </c>
      <c r="AU70" s="185"/>
      <c r="AV70" s="185">
        <v>5347</v>
      </c>
      <c r="AW70" s="185">
        <v>1344</v>
      </c>
      <c r="AX70" s="185">
        <v>112524</v>
      </c>
      <c r="AY70" s="185"/>
      <c r="AZ70" s="185">
        <v>1317964</v>
      </c>
      <c r="BA70" s="185"/>
      <c r="BB70" s="185"/>
      <c r="BC70" s="185"/>
      <c r="BD70" s="185">
        <v>2502871</v>
      </c>
      <c r="BE70" s="185">
        <v>141126</v>
      </c>
      <c r="BF70" s="185"/>
      <c r="BG70" s="185"/>
      <c r="BH70" s="185"/>
      <c r="BI70" s="185"/>
      <c r="BJ70" s="185">
        <v>650</v>
      </c>
      <c r="BK70" s="185"/>
      <c r="BL70" s="185"/>
      <c r="BM70" s="185">
        <v>207235</v>
      </c>
      <c r="BN70" s="185">
        <v>7691366</v>
      </c>
      <c r="BO70" s="185"/>
      <c r="BP70" s="185"/>
      <c r="BQ70" s="185"/>
      <c r="BR70" s="185"/>
      <c r="BS70" s="185"/>
      <c r="BT70" s="185"/>
      <c r="BU70" s="185">
        <v>1258</v>
      </c>
      <c r="BV70" s="185">
        <v>106517</v>
      </c>
      <c r="BW70" s="185"/>
      <c r="BX70" s="185">
        <v>408932</v>
      </c>
      <c r="BY70" s="185">
        <v>9927</v>
      </c>
      <c r="BZ70" s="185"/>
      <c r="CA70" s="185">
        <v>11948</v>
      </c>
      <c r="CB70" s="185"/>
      <c r="CC70" s="185">
        <v>2523759</v>
      </c>
      <c r="CD70" s="188">
        <f>3513003-3</f>
        <v>3513000</v>
      </c>
      <c r="CE70" s="195">
        <f t="shared" si="0"/>
        <v>25453841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7387651</v>
      </c>
      <c r="D71" s="195">
        <f t="shared" ref="D71:AI71" si="5">SUM(D61:D69)-D70</f>
        <v>0</v>
      </c>
      <c r="E71" s="195">
        <f t="shared" si="5"/>
        <v>31912596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4655656</v>
      </c>
      <c r="L71" s="195">
        <f t="shared" si="5"/>
        <v>0</v>
      </c>
      <c r="M71" s="195">
        <f t="shared" si="5"/>
        <v>0</v>
      </c>
      <c r="N71" s="195">
        <f t="shared" si="5"/>
        <v>-2034</v>
      </c>
      <c r="O71" s="195">
        <f t="shared" si="5"/>
        <v>0</v>
      </c>
      <c r="P71" s="195">
        <f t="shared" si="5"/>
        <v>34215846</v>
      </c>
      <c r="Q71" s="195">
        <f t="shared" si="5"/>
        <v>5560630</v>
      </c>
      <c r="R71" s="195">
        <f t="shared" si="5"/>
        <v>14961570</v>
      </c>
      <c r="S71" s="195">
        <f t="shared" si="5"/>
        <v>4959577</v>
      </c>
      <c r="T71" s="195">
        <f t="shared" si="5"/>
        <v>1514077</v>
      </c>
      <c r="U71" s="195">
        <f t="shared" si="5"/>
        <v>23905105</v>
      </c>
      <c r="V71" s="195">
        <f t="shared" si="5"/>
        <v>0</v>
      </c>
      <c r="W71" s="195">
        <f t="shared" si="5"/>
        <v>1996904</v>
      </c>
      <c r="X71" s="195">
        <f t="shared" si="5"/>
        <v>3238826</v>
      </c>
      <c r="Y71" s="195">
        <f t="shared" si="5"/>
        <v>14745178</v>
      </c>
      <c r="Z71" s="195">
        <f t="shared" si="5"/>
        <v>4079685</v>
      </c>
      <c r="AA71" s="195">
        <f t="shared" si="5"/>
        <v>4311691</v>
      </c>
      <c r="AB71" s="195">
        <f t="shared" si="5"/>
        <v>26395895</v>
      </c>
      <c r="AC71" s="195">
        <f t="shared" si="5"/>
        <v>1335839</v>
      </c>
      <c r="AD71" s="195">
        <f t="shared" si="5"/>
        <v>1341300</v>
      </c>
      <c r="AE71" s="195">
        <f t="shared" si="5"/>
        <v>4981082</v>
      </c>
      <c r="AF71" s="195">
        <f t="shared" si="5"/>
        <v>444609</v>
      </c>
      <c r="AG71" s="195">
        <f t="shared" si="5"/>
        <v>7218253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138604626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95788764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3785699</v>
      </c>
      <c r="AU71" s="195">
        <f t="shared" si="6"/>
        <v>0</v>
      </c>
      <c r="AV71" s="195">
        <f t="shared" si="6"/>
        <v>13177925</v>
      </c>
      <c r="AW71" s="195">
        <f t="shared" si="6"/>
        <v>9465058</v>
      </c>
      <c r="AX71" s="195">
        <f t="shared" si="6"/>
        <v>1160778</v>
      </c>
      <c r="AY71" s="195">
        <f t="shared" si="6"/>
        <v>2330977</v>
      </c>
      <c r="AZ71" s="195">
        <f t="shared" si="6"/>
        <v>435031</v>
      </c>
      <c r="BA71" s="195">
        <f t="shared" si="6"/>
        <v>1054993</v>
      </c>
      <c r="BB71" s="195">
        <f t="shared" si="6"/>
        <v>459199</v>
      </c>
      <c r="BC71" s="195">
        <f t="shared" si="6"/>
        <v>1898165</v>
      </c>
      <c r="BD71" s="195">
        <f t="shared" si="6"/>
        <v>2215055</v>
      </c>
      <c r="BE71" s="195">
        <f t="shared" si="6"/>
        <v>11306141</v>
      </c>
      <c r="BF71" s="195">
        <f t="shared" si="6"/>
        <v>4591477</v>
      </c>
      <c r="BG71" s="195">
        <f t="shared" si="6"/>
        <v>3254226</v>
      </c>
      <c r="BH71" s="195">
        <f t="shared" si="6"/>
        <v>19412076</v>
      </c>
      <c r="BI71" s="195">
        <f t="shared" si="6"/>
        <v>1267108</v>
      </c>
      <c r="BJ71" s="195">
        <f t="shared" si="6"/>
        <v>1505240</v>
      </c>
      <c r="BK71" s="195">
        <f t="shared" si="6"/>
        <v>12343132</v>
      </c>
      <c r="BL71" s="195">
        <f t="shared" si="6"/>
        <v>3193248</v>
      </c>
      <c r="BM71" s="195">
        <f t="shared" si="6"/>
        <v>1390365</v>
      </c>
      <c r="BN71" s="195">
        <f t="shared" si="6"/>
        <v>-1535203</v>
      </c>
      <c r="BO71" s="195">
        <f t="shared" si="6"/>
        <v>657587</v>
      </c>
      <c r="BP71" s="195">
        <f t="shared" ref="BP71:CC71" si="7">SUM(BP61:BP69)-BP70</f>
        <v>1916987</v>
      </c>
      <c r="BQ71" s="195">
        <f t="shared" si="7"/>
        <v>0</v>
      </c>
      <c r="BR71" s="195">
        <f t="shared" si="7"/>
        <v>981196</v>
      </c>
      <c r="BS71" s="195">
        <f t="shared" si="7"/>
        <v>0</v>
      </c>
      <c r="BT71" s="195">
        <f t="shared" si="7"/>
        <v>76767</v>
      </c>
      <c r="BU71" s="195">
        <f t="shared" si="7"/>
        <v>916549</v>
      </c>
      <c r="BV71" s="195">
        <f t="shared" si="7"/>
        <v>2163923</v>
      </c>
      <c r="BW71" s="195">
        <f t="shared" si="7"/>
        <v>-3535955</v>
      </c>
      <c r="BX71" s="195">
        <f t="shared" si="7"/>
        <v>6007235</v>
      </c>
      <c r="BY71" s="195">
        <f t="shared" si="7"/>
        <v>3494369</v>
      </c>
      <c r="BZ71" s="195">
        <f t="shared" si="7"/>
        <v>0</v>
      </c>
      <c r="CA71" s="195">
        <f t="shared" si="7"/>
        <v>3180806</v>
      </c>
      <c r="CB71" s="195">
        <f t="shared" si="7"/>
        <v>0</v>
      </c>
      <c r="CC71" s="195">
        <f t="shared" si="7"/>
        <v>2927131</v>
      </c>
      <c r="CD71" s="246">
        <f>CD69-CD70</f>
        <v>21498384</v>
      </c>
      <c r="CE71" s="195">
        <f>SUM(CE61:CE69)-CE70</f>
        <v>566548995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>
        <v>23945918</v>
      </c>
      <c r="D73" s="184"/>
      <c r="E73" s="185">
        <v>109143000</v>
      </c>
      <c r="F73" s="185"/>
      <c r="G73" s="184"/>
      <c r="H73" s="184"/>
      <c r="I73" s="185"/>
      <c r="J73" s="185"/>
      <c r="K73" s="185">
        <v>5315004</v>
      </c>
      <c r="L73" s="185"/>
      <c r="M73" s="184"/>
      <c r="N73" s="184"/>
      <c r="O73" s="184"/>
      <c r="P73" s="185">
        <v>117209186</v>
      </c>
      <c r="Q73" s="185">
        <v>4656190</v>
      </c>
      <c r="R73" s="185">
        <v>4155485</v>
      </c>
      <c r="S73" s="185"/>
      <c r="T73" s="185">
        <v>1769042</v>
      </c>
      <c r="U73" s="185">
        <v>23229251</v>
      </c>
      <c r="V73" s="185"/>
      <c r="W73" s="185">
        <v>2069807</v>
      </c>
      <c r="X73" s="185">
        <v>8024475</v>
      </c>
      <c r="Y73" s="185">
        <v>18799224</v>
      </c>
      <c r="Z73" s="185">
        <v>658925</v>
      </c>
      <c r="AA73" s="185">
        <v>528276</v>
      </c>
      <c r="AB73" s="185">
        <v>20240474</v>
      </c>
      <c r="AC73" s="185">
        <v>8998337</v>
      </c>
      <c r="AD73" s="185">
        <v>3369105</v>
      </c>
      <c r="AE73" s="185">
        <v>4171779</v>
      </c>
      <c r="AF73" s="185"/>
      <c r="AG73" s="185">
        <v>7730756</v>
      </c>
      <c r="AH73" s="185"/>
      <c r="AI73" s="185"/>
      <c r="AJ73" s="185">
        <v>16433258</v>
      </c>
      <c r="AK73" s="185"/>
      <c r="AL73" s="185"/>
      <c r="AM73" s="185"/>
      <c r="AN73" s="185"/>
      <c r="AO73" s="185"/>
      <c r="AP73" s="185">
        <v>13408</v>
      </c>
      <c r="AQ73" s="185"/>
      <c r="AR73" s="185"/>
      <c r="AS73" s="185"/>
      <c r="AT73" s="185">
        <v>6467000</v>
      </c>
      <c r="AU73" s="185"/>
      <c r="AV73" s="185">
        <f>22937810+812154+571045-1</f>
        <v>24321008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411248908</v>
      </c>
      <c r="CF73" s="253"/>
    </row>
    <row r="74" spans="1:84" ht="12.65" customHeight="1" x14ac:dyDescent="0.35">
      <c r="A74" s="171" t="s">
        <v>246</v>
      </c>
      <c r="B74" s="175"/>
      <c r="C74" s="184">
        <v>65969</v>
      </c>
      <c r="D74" s="184"/>
      <c r="E74" s="185">
        <v>9722127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101918680</v>
      </c>
      <c r="Q74" s="185">
        <v>9524171</v>
      </c>
      <c r="R74" s="185">
        <v>32588787</v>
      </c>
      <c r="S74" s="185"/>
      <c r="T74" s="185">
        <v>342530</v>
      </c>
      <c r="U74" s="185">
        <v>75449910</v>
      </c>
      <c r="V74" s="185"/>
      <c r="W74" s="185">
        <v>13843997</v>
      </c>
      <c r="X74" s="185">
        <v>24347400</v>
      </c>
      <c r="Y74" s="185">
        <v>36686654</v>
      </c>
      <c r="Z74" s="185">
        <v>15939977</v>
      </c>
      <c r="AA74" s="185">
        <v>17817942</v>
      </c>
      <c r="AB74" s="185">
        <v>17206705</v>
      </c>
      <c r="AC74" s="185">
        <v>308464</v>
      </c>
      <c r="AD74" s="185">
        <v>236851</v>
      </c>
      <c r="AE74" s="185">
        <v>6748093</v>
      </c>
      <c r="AF74" s="185">
        <v>319683</v>
      </c>
      <c r="AG74" s="185">
        <v>24974134</v>
      </c>
      <c r="AH74" s="185"/>
      <c r="AI74" s="185"/>
      <c r="AJ74" s="185">
        <v>317379528</v>
      </c>
      <c r="AK74" s="185"/>
      <c r="AL74" s="185"/>
      <c r="AM74" s="185"/>
      <c r="AN74" s="185"/>
      <c r="AO74" s="185"/>
      <c r="AP74" s="185">
        <v>226237861</v>
      </c>
      <c r="AQ74" s="185"/>
      <c r="AR74" s="185"/>
      <c r="AS74" s="185"/>
      <c r="AT74" s="185"/>
      <c r="AU74" s="185"/>
      <c r="AV74" s="185">
        <f>45651741+278174-35+1923933+31853-431+1</f>
        <v>47885236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979544699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24011887</v>
      </c>
      <c r="D75" s="195">
        <f t="shared" si="9"/>
        <v>0</v>
      </c>
      <c r="E75" s="195">
        <f t="shared" si="9"/>
        <v>118865127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5315004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219127866</v>
      </c>
      <c r="Q75" s="195">
        <f t="shared" si="9"/>
        <v>14180361</v>
      </c>
      <c r="R75" s="195">
        <f t="shared" si="9"/>
        <v>36744272</v>
      </c>
      <c r="S75" s="195">
        <f t="shared" si="9"/>
        <v>0</v>
      </c>
      <c r="T75" s="195">
        <f t="shared" si="9"/>
        <v>2111572</v>
      </c>
      <c r="U75" s="195">
        <f t="shared" si="9"/>
        <v>98679161</v>
      </c>
      <c r="V75" s="195">
        <f t="shared" si="9"/>
        <v>0</v>
      </c>
      <c r="W75" s="195">
        <f t="shared" si="9"/>
        <v>15913804</v>
      </c>
      <c r="X75" s="195">
        <f t="shared" si="9"/>
        <v>32371875</v>
      </c>
      <c r="Y75" s="195">
        <f t="shared" si="9"/>
        <v>55485878</v>
      </c>
      <c r="Z75" s="195">
        <f t="shared" si="9"/>
        <v>16598902</v>
      </c>
      <c r="AA75" s="195">
        <f t="shared" si="9"/>
        <v>18346218</v>
      </c>
      <c r="AB75" s="195">
        <f t="shared" si="9"/>
        <v>37447179</v>
      </c>
      <c r="AC75" s="195">
        <f t="shared" si="9"/>
        <v>9306801</v>
      </c>
      <c r="AD75" s="195">
        <f t="shared" si="9"/>
        <v>3605956</v>
      </c>
      <c r="AE75" s="195">
        <f t="shared" si="9"/>
        <v>10919872</v>
      </c>
      <c r="AF75" s="195">
        <f t="shared" si="9"/>
        <v>319683</v>
      </c>
      <c r="AG75" s="195">
        <f t="shared" si="9"/>
        <v>32704890</v>
      </c>
      <c r="AH75" s="195">
        <f t="shared" si="9"/>
        <v>0</v>
      </c>
      <c r="AI75" s="195">
        <f t="shared" si="9"/>
        <v>0</v>
      </c>
      <c r="AJ75" s="195">
        <f t="shared" si="9"/>
        <v>333812786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226251269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6467000</v>
      </c>
      <c r="AU75" s="195">
        <f t="shared" si="9"/>
        <v>0</v>
      </c>
      <c r="AV75" s="195">
        <f t="shared" si="9"/>
        <v>72206244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1390793607</v>
      </c>
      <c r="CF75" s="253"/>
    </row>
    <row r="76" spans="1:84" ht="12.65" customHeight="1" x14ac:dyDescent="0.35">
      <c r="A76" s="171" t="s">
        <v>248</v>
      </c>
      <c r="B76" s="175"/>
      <c r="C76" s="184">
        <v>23600</v>
      </c>
      <c r="D76" s="184"/>
      <c r="E76" s="185">
        <v>123159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47181</v>
      </c>
      <c r="Q76" s="185">
        <v>28232</v>
      </c>
      <c r="R76" s="185">
        <v>18914</v>
      </c>
      <c r="S76" s="185">
        <v>17954</v>
      </c>
      <c r="T76" s="185">
        <v>923</v>
      </c>
      <c r="U76" s="185">
        <v>29747</v>
      </c>
      <c r="V76" s="185"/>
      <c r="W76" s="185">
        <v>6687</v>
      </c>
      <c r="X76" s="185">
        <v>4017</v>
      </c>
      <c r="Y76" s="185">
        <v>34405</v>
      </c>
      <c r="Z76" s="185">
        <v>11308</v>
      </c>
      <c r="AA76" s="185">
        <v>6073</v>
      </c>
      <c r="AB76" s="185">
        <v>11046</v>
      </c>
      <c r="AC76" s="185">
        <v>880</v>
      </c>
      <c r="AD76" s="185">
        <v>1579</v>
      </c>
      <c r="AE76" s="185">
        <v>19012</v>
      </c>
      <c r="AF76" s="185">
        <v>1035</v>
      </c>
      <c r="AG76" s="185">
        <v>15085</v>
      </c>
      <c r="AH76" s="185"/>
      <c r="AI76" s="185"/>
      <c r="AJ76" s="185">
        <v>217767</v>
      </c>
      <c r="AK76" s="185"/>
      <c r="AL76" s="185"/>
      <c r="AM76" s="185"/>
      <c r="AN76" s="185"/>
      <c r="AO76" s="185"/>
      <c r="AP76" s="185">
        <v>275284</v>
      </c>
      <c r="AQ76" s="185"/>
      <c r="AR76" s="185"/>
      <c r="AS76" s="185"/>
      <c r="AT76" s="185">
        <v>2203</v>
      </c>
      <c r="AU76" s="185"/>
      <c r="AV76" s="185">
        <v>21499</v>
      </c>
      <c r="AW76" s="185">
        <v>17575</v>
      </c>
      <c r="AX76" s="185">
        <v>2461</v>
      </c>
      <c r="AY76" s="185">
        <v>5502</v>
      </c>
      <c r="AZ76" s="185">
        <v>17018</v>
      </c>
      <c r="BA76" s="185">
        <v>3188</v>
      </c>
      <c r="BB76" s="185">
        <v>364</v>
      </c>
      <c r="BC76" s="185">
        <v>676</v>
      </c>
      <c r="BD76" s="185">
        <v>13295</v>
      </c>
      <c r="BE76" s="185">
        <v>387118</v>
      </c>
      <c r="BF76" s="185">
        <v>8126</v>
      </c>
      <c r="BG76" s="185">
        <v>11809</v>
      </c>
      <c r="BH76" s="185">
        <v>45795</v>
      </c>
      <c r="BI76" s="185">
        <v>7120</v>
      </c>
      <c r="BJ76" s="185">
        <v>3401</v>
      </c>
      <c r="BK76" s="185">
        <v>23816</v>
      </c>
      <c r="BL76" s="185">
        <v>7429</v>
      </c>
      <c r="BM76" s="185">
        <v>4174</v>
      </c>
      <c r="BN76" s="185">
        <v>10818</v>
      </c>
      <c r="BO76" s="185">
        <v>1300</v>
      </c>
      <c r="BP76" s="185">
        <v>5231</v>
      </c>
      <c r="BQ76" s="185"/>
      <c r="BR76" s="185"/>
      <c r="BS76" s="185"/>
      <c r="BT76" s="185">
        <v>844</v>
      </c>
      <c r="BU76" s="185">
        <v>5288</v>
      </c>
      <c r="BV76" s="185">
        <v>13988</v>
      </c>
      <c r="BW76" s="185"/>
      <c r="BX76" s="185">
        <v>22200</v>
      </c>
      <c r="BY76" s="185">
        <v>6600</v>
      </c>
      <c r="BZ76" s="185"/>
      <c r="CA76" s="185">
        <v>4031</v>
      </c>
      <c r="CB76" s="185"/>
      <c r="CC76" s="185">
        <v>10559</v>
      </c>
      <c r="CD76" s="250" t="s">
        <v>221</v>
      </c>
      <c r="CE76" s="195">
        <f t="shared" si="8"/>
        <v>1557316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4624</v>
      </c>
      <c r="D77" s="184"/>
      <c r="E77" s="184">
        <f>138194+1</f>
        <v>138195</v>
      </c>
      <c r="F77" s="184"/>
      <c r="G77" s="184"/>
      <c r="H77" s="184"/>
      <c r="I77" s="184"/>
      <c r="J77" s="184"/>
      <c r="K77" s="184"/>
      <c r="L77" s="184"/>
      <c r="M77" s="184"/>
      <c r="N77" s="184">
        <v>89</v>
      </c>
      <c r="O77" s="184"/>
      <c r="P77" s="184"/>
      <c r="Q77" s="184">
        <v>207</v>
      </c>
      <c r="R77" s="184"/>
      <c r="S77" s="184"/>
      <c r="T77" s="184"/>
      <c r="U77" s="184"/>
      <c r="V77" s="184"/>
      <c r="W77" s="184"/>
      <c r="X77" s="184"/>
      <c r="Y77" s="184">
        <v>3</v>
      </c>
      <c r="Z77" s="184"/>
      <c r="AA77" s="184"/>
      <c r="AB77" s="184"/>
      <c r="AC77" s="184"/>
      <c r="AD77" s="184"/>
      <c r="AE77" s="184"/>
      <c r="AF77" s="184"/>
      <c r="AG77" s="184">
        <v>14346</v>
      </c>
      <c r="AH77" s="184"/>
      <c r="AI77" s="184"/>
      <c r="AJ77" s="184">
        <v>157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30</v>
      </c>
      <c r="AW77" s="184"/>
      <c r="AX77" s="250" t="s">
        <v>221</v>
      </c>
      <c r="AY77" s="250" t="s">
        <v>221</v>
      </c>
      <c r="AZ77" s="184"/>
      <c r="BA77" s="184"/>
      <c r="BB77" s="184"/>
      <c r="BC77" s="184"/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/>
      <c r="BL77" s="184"/>
      <c r="BM77" s="184"/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0" t="s">
        <v>221</v>
      </c>
      <c r="CD77" s="250" t="s">
        <v>221</v>
      </c>
      <c r="CE77" s="195">
        <f>SUM(C77:CD77)</f>
        <v>157651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1082</v>
      </c>
      <c r="D78" s="184"/>
      <c r="E78" s="184">
        <v>5646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2163</v>
      </c>
      <c r="Q78" s="184">
        <v>1294</v>
      </c>
      <c r="R78" s="184">
        <v>867</v>
      </c>
      <c r="S78" s="184">
        <v>823</v>
      </c>
      <c r="T78" s="184">
        <v>42</v>
      </c>
      <c r="U78" s="184">
        <v>1364</v>
      </c>
      <c r="V78" s="184"/>
      <c r="W78" s="184">
        <v>307</v>
      </c>
      <c r="X78" s="184">
        <v>184</v>
      </c>
      <c r="Y78" s="184">
        <v>1577</v>
      </c>
      <c r="Z78" s="184">
        <v>518</v>
      </c>
      <c r="AA78" s="184">
        <v>278</v>
      </c>
      <c r="AB78" s="184">
        <v>506</v>
      </c>
      <c r="AC78" s="184">
        <v>40</v>
      </c>
      <c r="AD78" s="184">
        <v>72</v>
      </c>
      <c r="AE78" s="184">
        <v>872</v>
      </c>
      <c r="AF78" s="184">
        <v>47</v>
      </c>
      <c r="AG78" s="184">
        <v>692</v>
      </c>
      <c r="AH78" s="184"/>
      <c r="AI78" s="184"/>
      <c r="AJ78" s="184">
        <v>9983</v>
      </c>
      <c r="AK78" s="184"/>
      <c r="AL78" s="184"/>
      <c r="AM78" s="184"/>
      <c r="AN78" s="184"/>
      <c r="AO78" s="184"/>
      <c r="AP78" s="184">
        <v>12620</v>
      </c>
      <c r="AQ78" s="184"/>
      <c r="AR78" s="184"/>
      <c r="AS78" s="184"/>
      <c r="AT78" s="184">
        <v>101</v>
      </c>
      <c r="AU78" s="184"/>
      <c r="AV78" s="184">
        <v>986</v>
      </c>
      <c r="AW78" s="184">
        <v>806</v>
      </c>
      <c r="AX78" s="250" t="s">
        <v>221</v>
      </c>
      <c r="AY78" s="250" t="s">
        <v>221</v>
      </c>
      <c r="AZ78" s="250" t="s">
        <v>221</v>
      </c>
      <c r="BA78" s="184">
        <v>146</v>
      </c>
      <c r="BB78" s="184">
        <v>17</v>
      </c>
      <c r="BC78" s="184">
        <v>31</v>
      </c>
      <c r="BD78" s="250" t="s">
        <v>221</v>
      </c>
      <c r="BE78" s="250" t="s">
        <v>221</v>
      </c>
      <c r="BF78" s="250" t="s">
        <v>221</v>
      </c>
      <c r="BG78" s="250" t="s">
        <v>221</v>
      </c>
      <c r="BH78" s="184">
        <v>2099</v>
      </c>
      <c r="BI78" s="184">
        <v>326</v>
      </c>
      <c r="BJ78" s="250" t="s">
        <v>221</v>
      </c>
      <c r="BK78" s="184">
        <v>1092</v>
      </c>
      <c r="BL78" s="184">
        <v>341</v>
      </c>
      <c r="BM78" s="184">
        <v>191</v>
      </c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>
        <v>0</v>
      </c>
      <c r="BT78" s="184">
        <v>39</v>
      </c>
      <c r="BU78" s="184">
        <v>242</v>
      </c>
      <c r="BV78" s="184">
        <v>641</v>
      </c>
      <c r="BW78" s="184"/>
      <c r="BX78" s="184">
        <v>1018</v>
      </c>
      <c r="BY78" s="184">
        <v>303</v>
      </c>
      <c r="BZ78" s="184"/>
      <c r="CA78" s="184">
        <v>186</v>
      </c>
      <c r="CB78" s="184"/>
      <c r="CC78" s="250" t="s">
        <v>221</v>
      </c>
      <c r="CD78" s="250" t="s">
        <v>221</v>
      </c>
      <c r="CE78" s="195">
        <f t="shared" si="8"/>
        <v>49542</v>
      </c>
      <c r="CF78" s="195"/>
    </row>
    <row r="79" spans="1:84" ht="12.65" customHeight="1" x14ac:dyDescent="0.35">
      <c r="A79" s="171" t="s">
        <v>251</v>
      </c>
      <c r="B79" s="175"/>
      <c r="C79" s="225">
        <v>23000</v>
      </c>
      <c r="D79" s="225"/>
      <c r="E79" s="184">
        <v>191000</v>
      </c>
      <c r="F79" s="184"/>
      <c r="G79" s="184"/>
      <c r="H79" s="184"/>
      <c r="I79" s="184"/>
      <c r="J79" s="184"/>
      <c r="K79" s="184">
        <v>450</v>
      </c>
      <c r="L79" s="184"/>
      <c r="M79" s="184"/>
      <c r="N79" s="184"/>
      <c r="O79" s="184"/>
      <c r="P79" s="184">
        <v>256000</v>
      </c>
      <c r="Q79" s="184">
        <v>8300</v>
      </c>
      <c r="R79" s="184">
        <v>18000</v>
      </c>
      <c r="S79" s="184"/>
      <c r="T79" s="184">
        <v>400</v>
      </c>
      <c r="U79" s="184">
        <v>23500</v>
      </c>
      <c r="V79" s="184"/>
      <c r="W79" s="184">
        <v>4000</v>
      </c>
      <c r="X79" s="184">
        <v>43000</v>
      </c>
      <c r="Y79" s="184">
        <v>157000</v>
      </c>
      <c r="Z79" s="184">
        <v>13200</v>
      </c>
      <c r="AA79" s="184">
        <v>15000</v>
      </c>
      <c r="AB79" s="184"/>
      <c r="AC79" s="184">
        <v>5000</v>
      </c>
      <c r="AD79" s="184">
        <v>1000</v>
      </c>
      <c r="AE79" s="184">
        <v>7200</v>
      </c>
      <c r="AF79" s="184"/>
      <c r="AG79" s="184">
        <v>67000</v>
      </c>
      <c r="AH79" s="184"/>
      <c r="AI79" s="184"/>
      <c r="AJ79" s="184">
        <v>142000</v>
      </c>
      <c r="AK79" s="184"/>
      <c r="AL79" s="184"/>
      <c r="AM79" s="184"/>
      <c r="AN79" s="184"/>
      <c r="AO79" s="184"/>
      <c r="AP79" s="184">
        <v>181000</v>
      </c>
      <c r="AQ79" s="184"/>
      <c r="AR79" s="184"/>
      <c r="AS79" s="184"/>
      <c r="AT79" s="184"/>
      <c r="AU79" s="184"/>
      <c r="AV79" s="184">
        <v>29200</v>
      </c>
      <c r="AW79" s="184">
        <v>2000</v>
      </c>
      <c r="AX79" s="250" t="s">
        <v>221</v>
      </c>
      <c r="AY79" s="250" t="s">
        <v>221</v>
      </c>
      <c r="AZ79" s="250" t="s">
        <v>221</v>
      </c>
      <c r="BA79" s="250" t="s">
        <v>221</v>
      </c>
      <c r="BB79" s="184"/>
      <c r="BC79" s="184"/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/>
      <c r="BL79" s="184"/>
      <c r="BM79" s="184">
        <v>620</v>
      </c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0" t="s">
        <v>221</v>
      </c>
      <c r="CD79" s="250" t="s">
        <v>221</v>
      </c>
      <c r="CE79" s="195">
        <f t="shared" si="8"/>
        <v>1187870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75.319999999999993</v>
      </c>
      <c r="D80" s="187"/>
      <c r="E80" s="187">
        <v>453.67</v>
      </c>
      <c r="F80" s="187"/>
      <c r="G80" s="187"/>
      <c r="H80" s="187"/>
      <c r="I80" s="187"/>
      <c r="J80" s="187"/>
      <c r="K80" s="187">
        <v>68.680000000000007</v>
      </c>
      <c r="L80" s="187"/>
      <c r="M80" s="187"/>
      <c r="N80" s="187"/>
      <c r="O80" s="187"/>
      <c r="P80" s="187">
        <v>53.58</v>
      </c>
      <c r="Q80" s="187">
        <v>69.260000000000005</v>
      </c>
      <c r="R80" s="187">
        <v>5.9</v>
      </c>
      <c r="S80" s="187">
        <v>0.01</v>
      </c>
      <c r="T80" s="187">
        <v>16.13</v>
      </c>
      <c r="U80" s="187">
        <v>12.2</v>
      </c>
      <c r="V80" s="187"/>
      <c r="W80" s="187"/>
      <c r="X80" s="187"/>
      <c r="Y80" s="187">
        <v>11.54</v>
      </c>
      <c r="Z80" s="187">
        <v>4.66</v>
      </c>
      <c r="AA80" s="187"/>
      <c r="AB80" s="187"/>
      <c r="AC80" s="187"/>
      <c r="AD80" s="187"/>
      <c r="AE80" s="187">
        <v>12.29</v>
      </c>
      <c r="AF80" s="187">
        <v>0.72</v>
      </c>
      <c r="AG80" s="187">
        <v>33.700000000000003</v>
      </c>
      <c r="AH80" s="187"/>
      <c r="AI80" s="187"/>
      <c r="AJ80" s="187">
        <v>298.61</v>
      </c>
      <c r="AK80" s="187"/>
      <c r="AL80" s="187"/>
      <c r="AM80" s="187"/>
      <c r="AN80" s="187"/>
      <c r="AO80" s="187"/>
      <c r="AP80" s="187">
        <v>379.68</v>
      </c>
      <c r="AQ80" s="187"/>
      <c r="AR80" s="187"/>
      <c r="AS80" s="187"/>
      <c r="AT80" s="187">
        <v>8.68</v>
      </c>
      <c r="AU80" s="187"/>
      <c r="AV80" s="187">
        <v>27.78</v>
      </c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1532.41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1282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2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315" t="s">
        <v>1283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315" t="s">
        <v>1284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315" t="s">
        <v>1285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1277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 t="s">
        <v>1278</v>
      </c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5644</v>
      </c>
      <c r="D111" s="174">
        <v>32490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20</v>
      </c>
      <c r="D112" s="174">
        <v>5624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28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209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35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272</v>
      </c>
    </row>
    <row r="128" spans="1:5" ht="12.65" customHeight="1" x14ac:dyDescent="0.35">
      <c r="A128" s="173" t="s">
        <v>292</v>
      </c>
      <c r="B128" s="172" t="s">
        <v>256</v>
      </c>
      <c r="C128" s="189">
        <v>371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3145</v>
      </c>
      <c r="C138" s="189">
        <v>549</v>
      </c>
      <c r="D138" s="174">
        <v>1950</v>
      </c>
      <c r="E138" s="175">
        <f>SUM(B138:D138)</f>
        <v>5644</v>
      </c>
    </row>
    <row r="139" spans="1:6" ht="12.65" customHeight="1" x14ac:dyDescent="0.35">
      <c r="A139" s="173" t="s">
        <v>215</v>
      </c>
      <c r="B139" s="174">
        <v>20163</v>
      </c>
      <c r="C139" s="189">
        <v>4468</v>
      </c>
      <c r="D139" s="174">
        <v>7859</v>
      </c>
      <c r="E139" s="175">
        <f>SUM(B139:D139)</f>
        <v>32490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204872744.07176241</v>
      </c>
      <c r="C141" s="189">
        <v>41515083.94137083</v>
      </c>
      <c r="D141" s="174">
        <v>159546075.78686672</v>
      </c>
      <c r="E141" s="175">
        <f>SUM(B141:D141)</f>
        <v>405933903.79999995</v>
      </c>
      <c r="F141" s="199"/>
    </row>
    <row r="142" spans="1:6" ht="12.65" customHeight="1" x14ac:dyDescent="0.35">
      <c r="A142" s="173" t="s">
        <v>246</v>
      </c>
      <c r="B142" s="174">
        <v>366767805.68462813</v>
      </c>
      <c r="C142" s="189">
        <v>58870658.577635013</v>
      </c>
      <c r="D142" s="174">
        <v>553906234.73773682</v>
      </c>
      <c r="E142" s="175">
        <f>SUM(B142:D142)</f>
        <v>979544699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>
        <v>20</v>
      </c>
      <c r="D144" s="174"/>
      <c r="E144" s="175">
        <f>SUM(B144:D144)</f>
        <v>20</v>
      </c>
    </row>
    <row r="145" spans="1:5" ht="12.65" customHeight="1" x14ac:dyDescent="0.35">
      <c r="A145" s="173" t="s">
        <v>215</v>
      </c>
      <c r="B145" s="174"/>
      <c r="C145" s="189">
        <v>5624</v>
      </c>
      <c r="D145" s="174"/>
      <c r="E145" s="175">
        <f>SUM(B145:D145)</f>
        <v>5624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>
        <v>5301778.54</v>
      </c>
      <c r="D147" s="174">
        <v>13225.66</v>
      </c>
      <c r="E147" s="175">
        <f>SUM(B147:D147)</f>
        <v>5315004.2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8" t="s">
        <v>306</v>
      </c>
      <c r="B164" s="258"/>
      <c r="C164" s="258"/>
      <c r="D164" s="258"/>
      <c r="E164" s="258"/>
    </row>
    <row r="165" spans="1:5" ht="11.4" customHeight="1" x14ac:dyDescent="0.35">
      <c r="A165" s="173" t="s">
        <v>307</v>
      </c>
      <c r="B165" s="172" t="s">
        <v>256</v>
      </c>
      <c r="C165" s="189">
        <v>19530927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-489019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825956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20588184.859999999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276642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12836976.67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5282346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58852013.530000001</v>
      </c>
      <c r="E173" s="175"/>
    </row>
    <row r="174" spans="1:5" ht="11.4" customHeight="1" x14ac:dyDescent="0.35">
      <c r="A174" s="258" t="s">
        <v>314</v>
      </c>
      <c r="B174" s="258"/>
      <c r="C174" s="258"/>
      <c r="D174" s="258"/>
      <c r="E174" s="258"/>
    </row>
    <row r="175" spans="1:5" ht="11.4" customHeight="1" x14ac:dyDescent="0.35">
      <c r="A175" s="173" t="s">
        <v>315</v>
      </c>
      <c r="B175" s="172" t="s">
        <v>256</v>
      </c>
      <c r="C175" s="189">
        <v>9015975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3468013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12483988</v>
      </c>
      <c r="E177" s="175"/>
    </row>
    <row r="178" spans="1:5" ht="11.4" customHeight="1" x14ac:dyDescent="0.35">
      <c r="A178" s="258" t="s">
        <v>317</v>
      </c>
      <c r="B178" s="258"/>
      <c r="C178" s="258"/>
      <c r="D178" s="258"/>
      <c r="E178" s="258"/>
    </row>
    <row r="179" spans="1:5" ht="11.4" customHeight="1" x14ac:dyDescent="0.35">
      <c r="A179" s="173" t="s">
        <v>318</v>
      </c>
      <c r="B179" s="172" t="s">
        <v>256</v>
      </c>
      <c r="C179" s="189">
        <v>3645565.41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1588246.39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5233811.8</v>
      </c>
      <c r="E181" s="175"/>
    </row>
    <row r="182" spans="1:5" ht="11.4" customHeight="1" x14ac:dyDescent="0.35">
      <c r="A182" s="258" t="s">
        <v>320</v>
      </c>
      <c r="B182" s="258"/>
      <c r="C182" s="258"/>
      <c r="D182" s="258"/>
      <c r="E182" s="258"/>
    </row>
    <row r="183" spans="1:5" ht="11.4" customHeight="1" x14ac:dyDescent="0.35">
      <c r="A183" s="173" t="s">
        <v>321</v>
      </c>
      <c r="B183" s="172" t="s">
        <v>256</v>
      </c>
      <c r="C183" s="189">
        <v>515132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10876889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11392021</v>
      </c>
      <c r="E186" s="175"/>
    </row>
    <row r="187" spans="1:5" ht="11.4" customHeight="1" x14ac:dyDescent="0.35">
      <c r="A187" s="258" t="s">
        <v>323</v>
      </c>
      <c r="B187" s="258"/>
      <c r="C187" s="258"/>
      <c r="D187" s="258"/>
      <c r="E187" s="258"/>
    </row>
    <row r="188" spans="1:5" ht="11.4" customHeight="1" x14ac:dyDescent="0.35">
      <c r="A188" s="173" t="s">
        <v>324</v>
      </c>
      <c r="B188" s="172" t="s">
        <v>256</v>
      </c>
      <c r="C188" s="189">
        <v>5833401.6299999999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5833401.6299999999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40811932.5</v>
      </c>
      <c r="C195" s="189">
        <v>97710827.689999998</v>
      </c>
      <c r="D195" s="174"/>
      <c r="E195" s="175">
        <f t="shared" ref="E195:E203" si="10">SUM(B195:C195)-D195</f>
        <v>138522760.19</v>
      </c>
    </row>
    <row r="196" spans="1:8" ht="12.65" customHeight="1" x14ac:dyDescent="0.35">
      <c r="A196" s="173" t="s">
        <v>333</v>
      </c>
      <c r="B196" s="174">
        <v>3302780.5</v>
      </c>
      <c r="C196" s="189"/>
      <c r="D196" s="174">
        <v>2965859</v>
      </c>
      <c r="E196" s="175">
        <f>SUM(B196:C196)-D196</f>
        <v>336921.5</v>
      </c>
    </row>
    <row r="197" spans="1:8" ht="12.65" customHeight="1" x14ac:dyDescent="0.35">
      <c r="A197" s="173" t="s">
        <v>334</v>
      </c>
      <c r="B197" s="174">
        <v>678913179</v>
      </c>
      <c r="C197" s="189"/>
      <c r="D197" s="174">
        <v>365527956</v>
      </c>
      <c r="E197" s="175">
        <f t="shared" si="10"/>
        <v>313385223</v>
      </c>
    </row>
    <row r="198" spans="1:8" ht="12.65" customHeight="1" x14ac:dyDescent="0.35">
      <c r="A198" s="173" t="s">
        <v>335</v>
      </c>
      <c r="B198" s="174">
        <v>44475860</v>
      </c>
      <c r="C198" s="189"/>
      <c r="D198" s="174">
        <v>44475860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3797270</v>
      </c>
      <c r="C199" s="189"/>
      <c r="D199" s="174">
        <v>350322</v>
      </c>
      <c r="E199" s="175">
        <f t="shared" si="10"/>
        <v>3446948</v>
      </c>
    </row>
    <row r="200" spans="1:8" ht="12.65" customHeight="1" x14ac:dyDescent="0.35">
      <c r="A200" s="173" t="s">
        <v>337</v>
      </c>
      <c r="B200" s="174">
        <v>404220504</v>
      </c>
      <c r="C200" s="189"/>
      <c r="D200" s="174">
        <v>324904763</v>
      </c>
      <c r="E200" s="175">
        <f t="shared" si="10"/>
        <v>79315741</v>
      </c>
    </row>
    <row r="201" spans="1:8" ht="12.65" customHeight="1" x14ac:dyDescent="0.35">
      <c r="A201" s="173" t="s">
        <v>338</v>
      </c>
      <c r="B201" s="174">
        <v>21443009</v>
      </c>
      <c r="C201" s="189"/>
      <c r="D201" s="174">
        <v>15612950</v>
      </c>
      <c r="E201" s="175">
        <f t="shared" si="10"/>
        <v>5830059</v>
      </c>
    </row>
    <row r="202" spans="1:8" ht="12.65" customHeight="1" x14ac:dyDescent="0.35">
      <c r="A202" s="173" t="s">
        <v>339</v>
      </c>
      <c r="B202" s="174">
        <v>27952894</v>
      </c>
      <c r="C202" s="189">
        <v>292254</v>
      </c>
      <c r="D202" s="174"/>
      <c r="E202" s="175">
        <f t="shared" si="10"/>
        <v>28245148</v>
      </c>
    </row>
    <row r="203" spans="1:8" ht="12.65" customHeight="1" x14ac:dyDescent="0.35">
      <c r="A203" s="173" t="s">
        <v>340</v>
      </c>
      <c r="B203" s="174">
        <v>18636447</v>
      </c>
      <c r="C203" s="189"/>
      <c r="D203" s="174">
        <v>4917597</v>
      </c>
      <c r="E203" s="175">
        <f t="shared" si="10"/>
        <v>13718850</v>
      </c>
    </row>
    <row r="204" spans="1:8" ht="12.65" customHeight="1" x14ac:dyDescent="0.35">
      <c r="A204" s="173" t="s">
        <v>203</v>
      </c>
      <c r="B204" s="175">
        <f>SUM(B195:B203)</f>
        <v>1243553876</v>
      </c>
      <c r="C204" s="191">
        <f>SUM(C195:C203)</f>
        <v>98003081.689999998</v>
      </c>
      <c r="D204" s="175">
        <f>SUM(D195:D203)</f>
        <v>758755307</v>
      </c>
      <c r="E204" s="175">
        <f>SUM(E195:E203)</f>
        <v>582801650.69000006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>
        <v>1359743</v>
      </c>
      <c r="C209" s="189">
        <v>8479.7800000000007</v>
      </c>
      <c r="D209" s="174">
        <v>1352136</v>
      </c>
      <c r="E209" s="175">
        <f t="shared" ref="E209:E216" si="11">SUM(B209:C209)-D209</f>
        <v>16086.780000000028</v>
      </c>
      <c r="H209" s="260"/>
    </row>
    <row r="210" spans="1:8" ht="12.65" customHeight="1" x14ac:dyDescent="0.35">
      <c r="A210" s="173" t="s">
        <v>334</v>
      </c>
      <c r="B210" s="174">
        <v>270477591</v>
      </c>
      <c r="C210" s="189">
        <v>6668394.5</v>
      </c>
      <c r="D210" s="174">
        <v>270083099</v>
      </c>
      <c r="E210" s="175">
        <f t="shared" si="11"/>
        <v>7062886.5</v>
      </c>
      <c r="H210" s="260"/>
    </row>
    <row r="211" spans="1:8" ht="12.65" customHeight="1" x14ac:dyDescent="0.35">
      <c r="A211" s="173" t="s">
        <v>335</v>
      </c>
      <c r="B211" s="174">
        <v>38540916</v>
      </c>
      <c r="C211" s="189"/>
      <c r="D211" s="174">
        <f>B211</f>
        <v>38540916</v>
      </c>
      <c r="E211" s="175">
        <f t="shared" si="11"/>
        <v>0</v>
      </c>
      <c r="H211" s="260"/>
    </row>
    <row r="212" spans="1:8" ht="12.65" customHeight="1" x14ac:dyDescent="0.35">
      <c r="A212" s="173" t="s">
        <v>336</v>
      </c>
      <c r="B212" s="174">
        <v>3797270</v>
      </c>
      <c r="C212" s="189">
        <v>234187.81</v>
      </c>
      <c r="D212" s="174">
        <f>B212</f>
        <v>3797270</v>
      </c>
      <c r="E212" s="175">
        <f t="shared" si="11"/>
        <v>234187.81000000006</v>
      </c>
      <c r="H212" s="260"/>
    </row>
    <row r="213" spans="1:8" ht="12.65" customHeight="1" x14ac:dyDescent="0.35">
      <c r="A213" s="173" t="s">
        <v>337</v>
      </c>
      <c r="B213" s="174">
        <v>326873369</v>
      </c>
      <c r="C213" s="189">
        <v>10050882.359999999</v>
      </c>
      <c r="D213" s="174">
        <v>327111106</v>
      </c>
      <c r="E213" s="175">
        <f t="shared" si="11"/>
        <v>9813145.3600000143</v>
      </c>
      <c r="H213" s="260"/>
    </row>
    <row r="214" spans="1:8" ht="12.65" customHeight="1" x14ac:dyDescent="0.35">
      <c r="A214" s="173" t="s">
        <v>338</v>
      </c>
      <c r="B214" s="174">
        <v>18922511</v>
      </c>
      <c r="C214" s="189">
        <v>948814.01</v>
      </c>
      <c r="D214" s="174">
        <v>18921246</v>
      </c>
      <c r="E214" s="175">
        <f t="shared" si="11"/>
        <v>950079.01000000164</v>
      </c>
      <c r="H214" s="260"/>
    </row>
    <row r="215" spans="1:8" ht="12.65" customHeight="1" x14ac:dyDescent="0.35">
      <c r="A215" s="173" t="s">
        <v>339</v>
      </c>
      <c r="B215" s="174">
        <v>15287996</v>
      </c>
      <c r="C215" s="189">
        <v>1300548.6100000001</v>
      </c>
      <c r="D215" s="174">
        <f>+B215</f>
        <v>15287996</v>
      </c>
      <c r="E215" s="175">
        <f t="shared" si="11"/>
        <v>1300548.6099999994</v>
      </c>
      <c r="H215" s="260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675259396</v>
      </c>
      <c r="C217" s="191">
        <f>SUM(C208:C216)</f>
        <v>19211307.07</v>
      </c>
      <c r="D217" s="175">
        <f>SUM(D208:D216)</f>
        <v>675093769</v>
      </c>
      <c r="E217" s="175">
        <f>SUM(E208:E216)</f>
        <v>19376934.070000015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54" t="s">
        <v>1254</v>
      </c>
      <c r="C220" s="354"/>
      <c r="D220" s="208"/>
      <c r="E220" s="208"/>
    </row>
    <row r="221" spans="1:8" ht="12.65" customHeight="1" x14ac:dyDescent="0.35">
      <c r="A221" s="273" t="s">
        <v>1254</v>
      </c>
      <c r="B221" s="208"/>
      <c r="C221" s="189">
        <v>8278487</v>
      </c>
      <c r="D221" s="172">
        <f>C221</f>
        <v>8278487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393736255.75999999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70775409.890000001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12496942.439999999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80044406.609999999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242540025.63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799593040.32999992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3989164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6637054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10626218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>
        <v>5115301.2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5115301.2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823613046.52999997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144102274.91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338088666.47000003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213859231.56999999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f>12086016.15+2744781.58</f>
        <v>14830797.73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35017683.619999997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6498718.5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196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324679105.65999997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419483407.85000008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419483407.85000008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>
        <v>138522760.19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336922.5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313385223.05000001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3446947.52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f>79315740.75+5830059.17</f>
        <v>85145799.920000002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28245148.02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13718849.9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582801651.0999999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19376934.16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563424716.93999994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f>21279361.51+5953700.79+103546061.2</f>
        <v>130779123.5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130779123.5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41486642.759999998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41486642.759999998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1479852996.7099998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40220988.350000001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83502022.030000001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7348467.5700000003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110835889.81999999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44881303.399999999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286788671.16999996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442637412.85000002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158276031.29999995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600913444.14999998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600913444.14999998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592150881.60000002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1479852996.9200001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1479852996.7099998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f>+CE73</f>
        <v>411248908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+CE74</f>
        <v>979544699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1390793607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f>+D221</f>
        <v>8278487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f>+D229</f>
        <v>799593040.32999992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+D236</f>
        <v>10626218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+D240</f>
        <v>5115301.2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823613046.52999997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567180560.47000003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>
        <f>CE70</f>
        <v>25453841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25453841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592634401.47000003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f>+CE61</f>
        <v>280618062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+CE62</f>
        <v>58852014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 t="shared" ref="C380:C385" si="12">+CE63</f>
        <v>6090848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 t="shared" si="12"/>
        <v>137076717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f t="shared" si="12"/>
        <v>6171902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 t="shared" si="12"/>
        <v>24982114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f t="shared" si="12"/>
        <v>19211307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f t="shared" si="12"/>
        <v>12483988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+D181</f>
        <v>5233811.8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+D186</f>
        <v>11392021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+C188</f>
        <v>5833401.6299999999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21544506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589490692.42999995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3143709.0400000811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19877795.640000001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23021504.680000082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2004757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21016747.680000082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Virginia Mason Medical Center   H-0     FYE 06/30/2021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5644</v>
      </c>
      <c r="C414" s="194">
        <f>E138</f>
        <v>5644</v>
      </c>
      <c r="D414" s="179"/>
    </row>
    <row r="415" spans="1:5" ht="12.65" customHeight="1" x14ac:dyDescent="0.35">
      <c r="A415" s="179" t="s">
        <v>464</v>
      </c>
      <c r="B415" s="179">
        <f>D111</f>
        <v>32490</v>
      </c>
      <c r="C415" s="179">
        <f>E139</f>
        <v>32490</v>
      </c>
      <c r="D415" s="194">
        <f>SUM(C59:H59)+N59</f>
        <v>32490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20</v>
      </c>
      <c r="C417" s="194">
        <f>E144</f>
        <v>20</v>
      </c>
      <c r="D417" s="179"/>
    </row>
    <row r="418" spans="1:7" ht="12.65" customHeight="1" x14ac:dyDescent="0.35">
      <c r="A418" s="179" t="s">
        <v>466</v>
      </c>
      <c r="B418" s="179">
        <f>D112</f>
        <v>5624</v>
      </c>
      <c r="C418" s="179">
        <f>E145</f>
        <v>5624</v>
      </c>
      <c r="D418" s="179">
        <f>K59+L59</f>
        <v>5624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280618062</v>
      </c>
      <c r="C427" s="179">
        <f t="shared" ref="C427:C434" si="14">CE61</f>
        <v>280618062</v>
      </c>
      <c r="D427" s="179"/>
    </row>
    <row r="428" spans="1:7" ht="12.65" customHeight="1" x14ac:dyDescent="0.35">
      <c r="A428" s="179" t="s">
        <v>3</v>
      </c>
      <c r="B428" s="179">
        <f t="shared" si="13"/>
        <v>58852014</v>
      </c>
      <c r="C428" s="179">
        <f t="shared" si="14"/>
        <v>58852014</v>
      </c>
      <c r="D428" s="179">
        <f>D173</f>
        <v>58852013.530000001</v>
      </c>
    </row>
    <row r="429" spans="1:7" ht="12.65" customHeight="1" x14ac:dyDescent="0.35">
      <c r="A429" s="179" t="s">
        <v>236</v>
      </c>
      <c r="B429" s="179">
        <f t="shared" si="13"/>
        <v>6090848</v>
      </c>
      <c r="C429" s="179">
        <f t="shared" si="14"/>
        <v>6090848</v>
      </c>
      <c r="D429" s="179"/>
    </row>
    <row r="430" spans="1:7" ht="12.65" customHeight="1" x14ac:dyDescent="0.35">
      <c r="A430" s="179" t="s">
        <v>237</v>
      </c>
      <c r="B430" s="179">
        <f t="shared" si="13"/>
        <v>137076717</v>
      </c>
      <c r="C430" s="179">
        <f t="shared" si="14"/>
        <v>137076717</v>
      </c>
      <c r="D430" s="179"/>
    </row>
    <row r="431" spans="1:7" ht="12.65" customHeight="1" x14ac:dyDescent="0.35">
      <c r="A431" s="179" t="s">
        <v>444</v>
      </c>
      <c r="B431" s="179">
        <f t="shared" si="13"/>
        <v>6171902</v>
      </c>
      <c r="C431" s="179">
        <f t="shared" si="14"/>
        <v>6171902</v>
      </c>
      <c r="D431" s="179"/>
    </row>
    <row r="432" spans="1:7" ht="12.65" customHeight="1" x14ac:dyDescent="0.35">
      <c r="A432" s="179" t="s">
        <v>445</v>
      </c>
      <c r="B432" s="179">
        <f t="shared" si="13"/>
        <v>24982114</v>
      </c>
      <c r="C432" s="179">
        <f t="shared" si="14"/>
        <v>24982114</v>
      </c>
      <c r="D432" s="179"/>
    </row>
    <row r="433" spans="1:7" ht="12.65" customHeight="1" x14ac:dyDescent="0.35">
      <c r="A433" s="179" t="s">
        <v>6</v>
      </c>
      <c r="B433" s="179">
        <f t="shared" si="13"/>
        <v>19211307</v>
      </c>
      <c r="C433" s="179">
        <f t="shared" si="14"/>
        <v>19211307</v>
      </c>
      <c r="D433" s="179">
        <f>C217</f>
        <v>19211307.07</v>
      </c>
    </row>
    <row r="434" spans="1:7" ht="12.65" customHeight="1" x14ac:dyDescent="0.35">
      <c r="A434" s="179" t="s">
        <v>474</v>
      </c>
      <c r="B434" s="179">
        <f t="shared" si="13"/>
        <v>12483988</v>
      </c>
      <c r="C434" s="179">
        <f t="shared" si="14"/>
        <v>12483988</v>
      </c>
      <c r="D434" s="179">
        <f>D177</f>
        <v>12483988</v>
      </c>
    </row>
    <row r="435" spans="1:7" ht="12.65" customHeight="1" x14ac:dyDescent="0.35">
      <c r="A435" s="179" t="s">
        <v>447</v>
      </c>
      <c r="B435" s="179">
        <f t="shared" si="13"/>
        <v>5233811.8</v>
      </c>
      <c r="C435" s="179"/>
      <c r="D435" s="179">
        <f>D181</f>
        <v>5233811.8</v>
      </c>
    </row>
    <row r="436" spans="1:7" ht="12.65" customHeight="1" x14ac:dyDescent="0.35">
      <c r="A436" s="179" t="s">
        <v>475</v>
      </c>
      <c r="B436" s="179">
        <f t="shared" si="13"/>
        <v>11392021</v>
      </c>
      <c r="C436" s="179"/>
      <c r="D436" s="179">
        <f>D186</f>
        <v>11392021</v>
      </c>
    </row>
    <row r="437" spans="1:7" ht="12.65" customHeight="1" x14ac:dyDescent="0.35">
      <c r="A437" s="194" t="s">
        <v>449</v>
      </c>
      <c r="B437" s="194">
        <f t="shared" si="13"/>
        <v>5833401.6299999999</v>
      </c>
      <c r="C437" s="194"/>
      <c r="D437" s="194">
        <f>D190</f>
        <v>5833401.6299999999</v>
      </c>
    </row>
    <row r="438" spans="1:7" ht="12.65" customHeight="1" x14ac:dyDescent="0.35">
      <c r="A438" s="194" t="s">
        <v>476</v>
      </c>
      <c r="B438" s="194">
        <f>C386+C387+C388</f>
        <v>22459234.43</v>
      </c>
      <c r="C438" s="194">
        <f>CD69</f>
        <v>25011384</v>
      </c>
      <c r="D438" s="194">
        <f>D181+D186+D190</f>
        <v>22459234.43</v>
      </c>
    </row>
    <row r="439" spans="1:7" ht="12.65" customHeight="1" x14ac:dyDescent="0.35">
      <c r="A439" s="179" t="s">
        <v>451</v>
      </c>
      <c r="B439" s="194">
        <f>C389</f>
        <v>21544506</v>
      </c>
      <c r="C439" s="194">
        <f>SUM(C69:CC69)</f>
        <v>21504500</v>
      </c>
      <c r="D439" s="179"/>
    </row>
    <row r="440" spans="1:7" ht="12.65" customHeight="1" x14ac:dyDescent="0.35">
      <c r="A440" s="179" t="s">
        <v>477</v>
      </c>
      <c r="B440" s="194">
        <f>B438+B439</f>
        <v>44003740.43</v>
      </c>
      <c r="C440" s="194">
        <f>CE69</f>
        <v>46515884</v>
      </c>
      <c r="D440" s="179"/>
    </row>
    <row r="441" spans="1:7" ht="12.65" customHeight="1" x14ac:dyDescent="0.35">
      <c r="A441" s="179" t="s">
        <v>478</v>
      </c>
      <c r="B441" s="179">
        <f>D390</f>
        <v>589490692.42999995</v>
      </c>
      <c r="C441" s="179">
        <f>SUM(C427:C437)+C440</f>
        <v>592002836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8278487</v>
      </c>
      <c r="C444" s="179">
        <f>C363</f>
        <v>8278487</v>
      </c>
      <c r="D444" s="179"/>
    </row>
    <row r="445" spans="1:7" ht="12.65" customHeight="1" x14ac:dyDescent="0.35">
      <c r="A445" s="179" t="s">
        <v>343</v>
      </c>
      <c r="B445" s="179">
        <f>D229</f>
        <v>799593040.32999992</v>
      </c>
      <c r="C445" s="179">
        <f>C364</f>
        <v>799593040.32999992</v>
      </c>
      <c r="D445" s="179"/>
    </row>
    <row r="446" spans="1:7" ht="12.65" customHeight="1" x14ac:dyDescent="0.35">
      <c r="A446" s="179" t="s">
        <v>351</v>
      </c>
      <c r="B446" s="179">
        <f>D236</f>
        <v>10626218</v>
      </c>
      <c r="C446" s="179">
        <f>C365</f>
        <v>10626218</v>
      </c>
      <c r="D446" s="179"/>
    </row>
    <row r="447" spans="1:7" ht="12.65" customHeight="1" x14ac:dyDescent="0.35">
      <c r="A447" s="179" t="s">
        <v>356</v>
      </c>
      <c r="B447" s="179">
        <f>D240</f>
        <v>5115301.2</v>
      </c>
      <c r="C447" s="179">
        <f>C366</f>
        <v>5115301.2</v>
      </c>
      <c r="D447" s="179"/>
    </row>
    <row r="448" spans="1:7" ht="12.65" customHeight="1" x14ac:dyDescent="0.35">
      <c r="A448" s="179" t="s">
        <v>358</v>
      </c>
      <c r="B448" s="179">
        <f>D242</f>
        <v>823613046.52999997</v>
      </c>
      <c r="C448" s="179">
        <f>D367</f>
        <v>823613046.52999997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3989164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6637054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25453841</v>
      </c>
      <c r="C458" s="194">
        <f>CE70</f>
        <v>25453841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411248908</v>
      </c>
      <c r="C463" s="194">
        <f>CE73</f>
        <v>411248908</v>
      </c>
      <c r="D463" s="194">
        <f>E141+E147+E153</f>
        <v>411248907.99999994</v>
      </c>
    </row>
    <row r="464" spans="1:7" ht="12.65" customHeight="1" x14ac:dyDescent="0.35">
      <c r="A464" s="179" t="s">
        <v>246</v>
      </c>
      <c r="B464" s="194">
        <f>C360</f>
        <v>979544699</v>
      </c>
      <c r="C464" s="194">
        <f>CE74</f>
        <v>979544699</v>
      </c>
      <c r="D464" s="194">
        <f>E142+E148+E154</f>
        <v>979544699</v>
      </c>
    </row>
    <row r="465" spans="1:7" ht="12.65" customHeight="1" x14ac:dyDescent="0.35">
      <c r="A465" s="179" t="s">
        <v>247</v>
      </c>
      <c r="B465" s="194">
        <f>D361</f>
        <v>1390793607</v>
      </c>
      <c r="C465" s="194">
        <f>CE75</f>
        <v>1390793607</v>
      </c>
      <c r="D465" s="194">
        <f>D463+D464</f>
        <v>1390793607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138522760.19</v>
      </c>
      <c r="C468" s="179">
        <f>E195</f>
        <v>138522760.19</v>
      </c>
      <c r="D468" s="179"/>
    </row>
    <row r="469" spans="1:7" ht="12.65" customHeight="1" x14ac:dyDescent="0.35">
      <c r="A469" s="179" t="s">
        <v>333</v>
      </c>
      <c r="B469" s="179">
        <f t="shared" si="15"/>
        <v>336922.5</v>
      </c>
      <c r="C469" s="179">
        <f>E196</f>
        <v>336921.5</v>
      </c>
      <c r="D469" s="179"/>
    </row>
    <row r="470" spans="1:7" ht="12.65" customHeight="1" x14ac:dyDescent="0.35">
      <c r="A470" s="179" t="s">
        <v>334</v>
      </c>
      <c r="B470" s="179">
        <f t="shared" si="15"/>
        <v>313385223.05000001</v>
      </c>
      <c r="C470" s="179">
        <f>E197</f>
        <v>313385223</v>
      </c>
      <c r="D470" s="179"/>
    </row>
    <row r="471" spans="1:7" ht="12.65" customHeight="1" x14ac:dyDescent="0.3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5"/>
        <v>3446947.52</v>
      </c>
      <c r="C472" s="179">
        <f>E199</f>
        <v>3446948</v>
      </c>
      <c r="D472" s="179"/>
    </row>
    <row r="473" spans="1:7" ht="12.65" customHeight="1" x14ac:dyDescent="0.35">
      <c r="A473" s="179" t="s">
        <v>495</v>
      </c>
      <c r="B473" s="179">
        <f t="shared" si="15"/>
        <v>85145799.920000002</v>
      </c>
      <c r="C473" s="179">
        <f>SUM(E200:E201)</f>
        <v>85145800</v>
      </c>
      <c r="D473" s="179"/>
    </row>
    <row r="474" spans="1:7" ht="12.65" customHeight="1" x14ac:dyDescent="0.35">
      <c r="A474" s="179" t="s">
        <v>339</v>
      </c>
      <c r="B474" s="179">
        <f t="shared" si="15"/>
        <v>28245148.02</v>
      </c>
      <c r="C474" s="179">
        <f>E202</f>
        <v>28245148</v>
      </c>
      <c r="D474" s="179"/>
    </row>
    <row r="475" spans="1:7" ht="12.65" customHeight="1" x14ac:dyDescent="0.35">
      <c r="A475" s="179" t="s">
        <v>340</v>
      </c>
      <c r="B475" s="179">
        <f t="shared" si="15"/>
        <v>13718849.9</v>
      </c>
      <c r="C475" s="179">
        <f>E203</f>
        <v>13718850</v>
      </c>
      <c r="D475" s="179"/>
    </row>
    <row r="476" spans="1:7" ht="12.65" customHeight="1" x14ac:dyDescent="0.35">
      <c r="A476" s="179" t="s">
        <v>203</v>
      </c>
      <c r="B476" s="179">
        <f>D275</f>
        <v>582801651.0999999</v>
      </c>
      <c r="C476" s="179">
        <f>E204</f>
        <v>582801650.69000006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19376934.16</v>
      </c>
      <c r="C478" s="179">
        <f>E217</f>
        <v>19376934.070000015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1479852996.7099998</v>
      </c>
    </row>
    <row r="482" spans="1:12" ht="12.65" customHeight="1" x14ac:dyDescent="0.35">
      <c r="A482" s="180" t="s">
        <v>499</v>
      </c>
      <c r="C482" s="180">
        <f>D339</f>
        <v>1479852996.9200001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010</v>
      </c>
      <c r="B493" s="262" t="str">
        <f>RIGHT('Prior Year'!C82,4)</f>
        <v>2020</v>
      </c>
      <c r="C493" s="262" t="str">
        <f>RIGHT(C82,4)</f>
        <v>2021</v>
      </c>
      <c r="D493" s="262" t="str">
        <f>RIGHT('Prior Year'!C82,4)</f>
        <v>2020</v>
      </c>
      <c r="E493" s="262" t="str">
        <f>RIGHT(C82,4)</f>
        <v>2021</v>
      </c>
      <c r="F493" s="262" t="str">
        <f>RIGHT('Prior Year'!C82,4)</f>
        <v>2020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14851053</v>
      </c>
      <c r="C496" s="241">
        <f>C71</f>
        <v>7387651</v>
      </c>
      <c r="D496" s="241">
        <f>'Prior Year'!C59</f>
        <v>5990</v>
      </c>
      <c r="E496" s="180">
        <f>C59</f>
        <v>3033</v>
      </c>
      <c r="F496" s="264">
        <f t="shared" ref="F496:G511" si="16">IF(B496=0,"",IF(D496=0,"",B496/D496))</f>
        <v>2479.3076794657763</v>
      </c>
      <c r="G496" s="265">
        <f t="shared" si="16"/>
        <v>2435.7570062644245</v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6"/>
        <v/>
      </c>
      <c r="G497" s="264" t="str">
        <f t="shared" si="16"/>
        <v/>
      </c>
      <c r="H497" s="266" t="str">
        <f t="shared" ref="H497:H550" si="17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59248958</v>
      </c>
      <c r="C498" s="241">
        <f>E71</f>
        <v>31912596</v>
      </c>
      <c r="D498" s="241">
        <f>'Prior Year'!E59</f>
        <v>54174</v>
      </c>
      <c r="E498" s="180">
        <f>E59</f>
        <v>29457</v>
      </c>
      <c r="F498" s="264">
        <f t="shared" si="16"/>
        <v>1093.6788496326651</v>
      </c>
      <c r="G498" s="264">
        <f t="shared" si="16"/>
        <v>1083.3620531622364</v>
      </c>
      <c r="H498" s="266" t="str">
        <f t="shared" si="17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6"/>
        <v/>
      </c>
      <c r="G499" s="264" t="str">
        <f t="shared" si="16"/>
        <v/>
      </c>
      <c r="H499" s="266" t="str">
        <f t="shared" si="17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6"/>
        <v/>
      </c>
      <c r="G500" s="264" t="str">
        <f t="shared" si="16"/>
        <v/>
      </c>
      <c r="H500" s="266" t="str">
        <f t="shared" si="17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0</v>
      </c>
      <c r="C501" s="241">
        <f>H71</f>
        <v>0</v>
      </c>
      <c r="D501" s="241">
        <f>'Prior Year'!H59</f>
        <v>0</v>
      </c>
      <c r="E501" s="180">
        <f>H59</f>
        <v>0</v>
      </c>
      <c r="F501" s="264" t="str">
        <f t="shared" si="16"/>
        <v/>
      </c>
      <c r="G501" s="264" t="str">
        <f t="shared" si="16"/>
        <v/>
      </c>
      <c r="H501" s="266" t="str">
        <f t="shared" si="17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6"/>
        <v/>
      </c>
      <c r="G502" s="264" t="str">
        <f t="shared" si="16"/>
        <v/>
      </c>
      <c r="H502" s="266" t="str">
        <f t="shared" si="17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6"/>
        <v/>
      </c>
      <c r="G503" s="264" t="str">
        <f t="shared" si="16"/>
        <v/>
      </c>
      <c r="H503" s="266" t="str">
        <f t="shared" si="17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8868502</v>
      </c>
      <c r="C504" s="241">
        <f>K71</f>
        <v>4655656</v>
      </c>
      <c r="D504" s="241">
        <f>'Prior Year'!K59</f>
        <v>12126</v>
      </c>
      <c r="E504" s="180">
        <f>K59</f>
        <v>5624</v>
      </c>
      <c r="F504" s="264">
        <f t="shared" si="16"/>
        <v>731.36252680191319</v>
      </c>
      <c r="G504" s="264">
        <f t="shared" si="16"/>
        <v>827.81934566145094</v>
      </c>
      <c r="H504" s="266" t="str">
        <f t="shared" si="17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6"/>
        <v/>
      </c>
      <c r="G505" s="264" t="str">
        <f t="shared" si="16"/>
        <v/>
      </c>
      <c r="H505" s="266" t="str">
        <f t="shared" si="17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6"/>
        <v/>
      </c>
      <c r="G506" s="264" t="str">
        <f t="shared" si="16"/>
        <v/>
      </c>
      <c r="H506" s="266" t="str">
        <f t="shared" si="17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-192</v>
      </c>
      <c r="C507" s="241">
        <f>N71</f>
        <v>-2034</v>
      </c>
      <c r="D507" s="241">
        <f>'Prior Year'!N59</f>
        <v>0</v>
      </c>
      <c r="E507" s="180">
        <f>N59</f>
        <v>0</v>
      </c>
      <c r="F507" s="264" t="str">
        <f t="shared" si="16"/>
        <v/>
      </c>
      <c r="G507" s="264" t="str">
        <f t="shared" si="16"/>
        <v/>
      </c>
      <c r="H507" s="266" t="str">
        <f t="shared" si="17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6"/>
        <v/>
      </c>
      <c r="G508" s="264" t="str">
        <f t="shared" si="16"/>
        <v/>
      </c>
      <c r="H508" s="266" t="str">
        <f t="shared" si="17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71663614</v>
      </c>
      <c r="C509" s="241">
        <f>P71</f>
        <v>34215846</v>
      </c>
      <c r="D509" s="241">
        <f>'Prior Year'!P59</f>
        <v>2066830</v>
      </c>
      <c r="E509" s="180">
        <f>P59</f>
        <v>1030651</v>
      </c>
      <c r="F509" s="264">
        <f t="shared" si="16"/>
        <v>34.673201956619558</v>
      </c>
      <c r="G509" s="264">
        <f t="shared" si="16"/>
        <v>33.198285355566533</v>
      </c>
      <c r="H509" s="266" t="str">
        <f t="shared" si="17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11151129</v>
      </c>
      <c r="C510" s="241">
        <f>Q71</f>
        <v>5560630</v>
      </c>
      <c r="D510" s="241">
        <f>'Prior Year'!Q59</f>
        <v>1895448</v>
      </c>
      <c r="E510" s="180">
        <f>Q59</f>
        <v>1006817</v>
      </c>
      <c r="F510" s="264">
        <f t="shared" si="16"/>
        <v>5.8831099560631577</v>
      </c>
      <c r="G510" s="264">
        <f t="shared" si="16"/>
        <v>5.5229798463871784</v>
      </c>
      <c r="H510" s="266" t="str">
        <f t="shared" si="17"/>
        <v/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27779348</v>
      </c>
      <c r="C511" s="241">
        <f>R71</f>
        <v>14961570</v>
      </c>
      <c r="D511" s="241">
        <f>'Prior Year'!R59</f>
        <v>2207576</v>
      </c>
      <c r="E511" s="180">
        <f>R59</f>
        <v>1139388</v>
      </c>
      <c r="F511" s="264">
        <f t="shared" si="16"/>
        <v>12.583642873450337</v>
      </c>
      <c r="G511" s="264">
        <f t="shared" si="16"/>
        <v>13.131233609622008</v>
      </c>
      <c r="H511" s="266" t="str">
        <f t="shared" si="17"/>
        <v/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10970247</v>
      </c>
      <c r="C512" s="241">
        <f>S71</f>
        <v>4959577</v>
      </c>
      <c r="D512" s="181" t="s">
        <v>529</v>
      </c>
      <c r="E512" s="181" t="s">
        <v>529</v>
      </c>
      <c r="F512" s="264" t="str">
        <f t="shared" ref="F512:G527" si="18">IF(B512=0,"",IF(D512=0,"",B512/D512))</f>
        <v/>
      </c>
      <c r="G512" s="264" t="str">
        <f t="shared" si="18"/>
        <v/>
      </c>
      <c r="H512" s="266" t="str">
        <f t="shared" si="17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3190601</v>
      </c>
      <c r="C513" s="241">
        <f>T71</f>
        <v>1514077</v>
      </c>
      <c r="D513" s="181" t="s">
        <v>529</v>
      </c>
      <c r="E513" s="181" t="s">
        <v>529</v>
      </c>
      <c r="F513" s="264" t="str">
        <f t="shared" si="18"/>
        <v/>
      </c>
      <c r="G513" s="264" t="str">
        <f t="shared" si="18"/>
        <v/>
      </c>
      <c r="H513" s="266" t="str">
        <f t="shared" si="17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41510723</v>
      </c>
      <c r="C514" s="241">
        <f>U71</f>
        <v>23905105</v>
      </c>
      <c r="D514" s="241">
        <f>'Prior Year'!U59</f>
        <v>2080691</v>
      </c>
      <c r="E514" s="180">
        <f>U59</f>
        <v>1240268</v>
      </c>
      <c r="F514" s="264">
        <f t="shared" si="18"/>
        <v>19.950450595499284</v>
      </c>
      <c r="G514" s="264">
        <f t="shared" si="18"/>
        <v>19.274144781611717</v>
      </c>
      <c r="H514" s="266" t="str">
        <f t="shared" si="17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8"/>
        <v/>
      </c>
      <c r="G515" s="264" t="str">
        <f t="shared" si="18"/>
        <v/>
      </c>
      <c r="H515" s="266" t="str">
        <f t="shared" si="17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4461577</v>
      </c>
      <c r="C516" s="241">
        <f>W71</f>
        <v>1996904</v>
      </c>
      <c r="D516" s="241">
        <f>'Prior Year'!W59</f>
        <v>87644</v>
      </c>
      <c r="E516" s="180">
        <f>W59</f>
        <v>47352</v>
      </c>
      <c r="F516" s="264">
        <f t="shared" si="18"/>
        <v>50.905675231618822</v>
      </c>
      <c r="G516" s="264">
        <f t="shared" si="18"/>
        <v>42.17148166920088</v>
      </c>
      <c r="H516" s="266" t="str">
        <f t="shared" si="17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6437701</v>
      </c>
      <c r="C517" s="241">
        <f>X71</f>
        <v>3238826</v>
      </c>
      <c r="D517" s="241">
        <f>'Prior Year'!X59</f>
        <v>147031</v>
      </c>
      <c r="E517" s="180">
        <f>X59</f>
        <v>83033</v>
      </c>
      <c r="F517" s="264">
        <f t="shared" si="18"/>
        <v>43.784650855941948</v>
      </c>
      <c r="G517" s="264">
        <f t="shared" si="18"/>
        <v>39.006491394987535</v>
      </c>
      <c r="H517" s="266" t="str">
        <f t="shared" si="17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27065060</v>
      </c>
      <c r="C518" s="241">
        <f>Y71</f>
        <v>14745178</v>
      </c>
      <c r="D518" s="241">
        <f>'Prior Year'!Y59</f>
        <v>143531</v>
      </c>
      <c r="E518" s="180">
        <f>Y59</f>
        <v>82589</v>
      </c>
      <c r="F518" s="264">
        <f t="shared" si="18"/>
        <v>188.56595439312761</v>
      </c>
      <c r="G518" s="264">
        <f t="shared" si="18"/>
        <v>178.5368269382121</v>
      </c>
      <c r="H518" s="266" t="str">
        <f t="shared" si="17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8605331</v>
      </c>
      <c r="C519" s="241">
        <f>Z71</f>
        <v>4079685</v>
      </c>
      <c r="D519" s="241">
        <f>'Prior Year'!Z59</f>
        <v>198252</v>
      </c>
      <c r="E519" s="180">
        <f>Z59</f>
        <v>193797</v>
      </c>
      <c r="F519" s="264">
        <f t="shared" si="18"/>
        <v>43.406023646671912</v>
      </c>
      <c r="G519" s="264">
        <f t="shared" si="18"/>
        <v>21.051332063963837</v>
      </c>
      <c r="H519" s="266">
        <f t="shared" si="17"/>
        <v>-0.51501357886815058</v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10636324</v>
      </c>
      <c r="C520" s="241">
        <f>AA71</f>
        <v>4311691</v>
      </c>
      <c r="D520" s="241">
        <f>'Prior Year'!AA59</f>
        <v>19736</v>
      </c>
      <c r="E520" s="180">
        <f>AA59</f>
        <v>11808</v>
      </c>
      <c r="F520" s="264">
        <f t="shared" si="18"/>
        <v>538.93007701661941</v>
      </c>
      <c r="G520" s="264">
        <f t="shared" si="18"/>
        <v>365.14998306233065</v>
      </c>
      <c r="H520" s="266">
        <f t="shared" si="17"/>
        <v>-0.32245387920505642</v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49165130</v>
      </c>
      <c r="C521" s="241">
        <f>AB71</f>
        <v>26395895</v>
      </c>
      <c r="D521" s="181" t="s">
        <v>529</v>
      </c>
      <c r="E521" s="181" t="s">
        <v>529</v>
      </c>
      <c r="F521" s="264" t="str">
        <f t="shared" si="18"/>
        <v/>
      </c>
      <c r="G521" s="264" t="str">
        <f t="shared" si="18"/>
        <v/>
      </c>
      <c r="H521" s="266" t="str">
        <f t="shared" si="17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2785605</v>
      </c>
      <c r="C522" s="241">
        <f>AC71</f>
        <v>1335839</v>
      </c>
      <c r="D522" s="241">
        <f>'Prior Year'!AC59</f>
        <v>228498</v>
      </c>
      <c r="E522" s="180">
        <f>AC59</f>
        <v>124551</v>
      </c>
      <c r="F522" s="264">
        <f t="shared" si="18"/>
        <v>12.190938213901216</v>
      </c>
      <c r="G522" s="264">
        <f t="shared" si="18"/>
        <v>10.725237051488948</v>
      </c>
      <c r="H522" s="266" t="str">
        <f t="shared" si="17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2620402</v>
      </c>
      <c r="C523" s="241">
        <f>AD71</f>
        <v>1341300</v>
      </c>
      <c r="D523" s="241">
        <f>'Prior Year'!AD59</f>
        <v>17156</v>
      </c>
      <c r="E523" s="180">
        <f>AD59</f>
        <v>8556</v>
      </c>
      <c r="F523" s="264">
        <f t="shared" si="18"/>
        <v>152.73968290976919</v>
      </c>
      <c r="G523" s="264">
        <f t="shared" si="18"/>
        <v>156.7671809256662</v>
      </c>
      <c r="H523" s="266" t="str">
        <f t="shared" si="17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9598313</v>
      </c>
      <c r="C524" s="241">
        <f>AE71</f>
        <v>4981082</v>
      </c>
      <c r="D524" s="241">
        <f>'Prior Year'!AE59</f>
        <v>194611</v>
      </c>
      <c r="E524" s="180">
        <f>AE59</f>
        <v>113199</v>
      </c>
      <c r="F524" s="264">
        <f t="shared" si="18"/>
        <v>49.320506035116203</v>
      </c>
      <c r="G524" s="264">
        <f t="shared" si="18"/>
        <v>44.002879884097915</v>
      </c>
      <c r="H524" s="266" t="str">
        <f t="shared" si="17"/>
        <v/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711072</v>
      </c>
      <c r="C525" s="241">
        <f>AF71</f>
        <v>444609</v>
      </c>
      <c r="D525" s="241">
        <f>'Prior Year'!AF59</f>
        <v>2244</v>
      </c>
      <c r="E525" s="180">
        <f>AF59</f>
        <v>1185</v>
      </c>
      <c r="F525" s="264">
        <f t="shared" si="18"/>
        <v>316.87700534759358</v>
      </c>
      <c r="G525" s="264">
        <f t="shared" si="18"/>
        <v>375.19746835443038</v>
      </c>
      <c r="H525" s="266" t="str">
        <f t="shared" si="17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14030688</v>
      </c>
      <c r="C526" s="241">
        <f>AG71</f>
        <v>7218253</v>
      </c>
      <c r="D526" s="241">
        <f>'Prior Year'!AG59</f>
        <v>19330</v>
      </c>
      <c r="E526" s="180">
        <f>AG59</f>
        <v>9844</v>
      </c>
      <c r="F526" s="264">
        <f t="shared" si="18"/>
        <v>725.85038799793062</v>
      </c>
      <c r="G526" s="264">
        <f t="shared" si="18"/>
        <v>733.26422186103207</v>
      </c>
      <c r="H526" s="266" t="str">
        <f t="shared" si="17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8"/>
        <v/>
      </c>
      <c r="G527" s="264" t="str">
        <f t="shared" si="18"/>
        <v/>
      </c>
      <c r="H527" s="266" t="str">
        <f t="shared" si="17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9">IF(B528=0,"",IF(D528=0,"",B528/D528))</f>
        <v/>
      </c>
      <c r="G528" s="264" t="str">
        <f t="shared" si="19"/>
        <v/>
      </c>
      <c r="H528" s="266" t="str">
        <f t="shared" si="17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275190195</v>
      </c>
      <c r="C529" s="241">
        <f>AJ71</f>
        <v>138604626</v>
      </c>
      <c r="D529" s="241">
        <f>'Prior Year'!AJ59</f>
        <v>310186</v>
      </c>
      <c r="E529" s="180">
        <f>AJ59</f>
        <v>164612</v>
      </c>
      <c r="F529" s="264">
        <f t="shared" si="19"/>
        <v>887.17799965182178</v>
      </c>
      <c r="G529" s="264">
        <f t="shared" si="19"/>
        <v>842.00803100624501</v>
      </c>
      <c r="H529" s="266" t="str">
        <f t="shared" si="17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9"/>
        <v/>
      </c>
      <c r="G530" s="264" t="str">
        <f t="shared" si="19"/>
        <v/>
      </c>
      <c r="H530" s="266" t="str">
        <f t="shared" si="17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9"/>
        <v/>
      </c>
      <c r="G531" s="264" t="str">
        <f t="shared" si="19"/>
        <v/>
      </c>
      <c r="H531" s="266" t="str">
        <f t="shared" si="17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9"/>
        <v/>
      </c>
      <c r="G532" s="264" t="str">
        <f t="shared" si="19"/>
        <v/>
      </c>
      <c r="H532" s="266" t="str">
        <f t="shared" si="17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9"/>
        <v/>
      </c>
      <c r="G533" s="264" t="str">
        <f t="shared" si="19"/>
        <v/>
      </c>
      <c r="H533" s="266" t="str">
        <f t="shared" si="17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9"/>
        <v/>
      </c>
      <c r="G534" s="264" t="str">
        <f t="shared" si="19"/>
        <v/>
      </c>
      <c r="H534" s="266" t="str">
        <f t="shared" si="17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183286329</v>
      </c>
      <c r="C535" s="241">
        <f>AP71</f>
        <v>95788764</v>
      </c>
      <c r="D535" s="241">
        <f>'Prior Year'!AP59</f>
        <v>515093</v>
      </c>
      <c r="E535" s="180">
        <f>AP59</f>
        <v>283523</v>
      </c>
      <c r="F535" s="264">
        <f t="shared" si="19"/>
        <v>355.83152751056605</v>
      </c>
      <c r="G535" s="264">
        <f t="shared" si="19"/>
        <v>337.85182859944342</v>
      </c>
      <c r="H535" s="266" t="str">
        <f t="shared" si="17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9"/>
        <v/>
      </c>
      <c r="G536" s="264" t="str">
        <f t="shared" si="19"/>
        <v/>
      </c>
      <c r="H536" s="266" t="str">
        <f t="shared" si="17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9"/>
        <v/>
      </c>
      <c r="G537" s="264" t="str">
        <f t="shared" si="19"/>
        <v/>
      </c>
      <c r="H537" s="266" t="str">
        <f t="shared" si="17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9"/>
        <v/>
      </c>
      <c r="G538" s="264" t="str">
        <f t="shared" si="19"/>
        <v/>
      </c>
      <c r="H538" s="266" t="str">
        <f t="shared" si="17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6356284</v>
      </c>
      <c r="C539" s="241">
        <f>AT71</f>
        <v>3785699</v>
      </c>
      <c r="D539" s="241">
        <f>'Prior Year'!AT59</f>
        <v>72</v>
      </c>
      <c r="E539" s="180">
        <f>AT59</f>
        <v>52</v>
      </c>
      <c r="F539" s="264">
        <f t="shared" si="19"/>
        <v>88281.722222222219</v>
      </c>
      <c r="G539" s="264">
        <f t="shared" si="19"/>
        <v>72801.903846153844</v>
      </c>
      <c r="H539" s="266" t="str">
        <f t="shared" si="17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9"/>
        <v/>
      </c>
      <c r="G540" s="264" t="str">
        <f t="shared" si="19"/>
        <v/>
      </c>
      <c r="H540" s="266" t="str">
        <f t="shared" si="17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25665469</v>
      </c>
      <c r="C541" s="241">
        <f>AV71</f>
        <v>13177925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17961648</v>
      </c>
      <c r="C542" s="241">
        <f>AW71</f>
        <v>9465058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1333481</v>
      </c>
      <c r="C543" s="241">
        <f>AX71</f>
        <v>1160778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4915905</v>
      </c>
      <c r="C544" s="241">
        <f>AY71</f>
        <v>2330977</v>
      </c>
      <c r="D544" s="241">
        <f>'Prior Year'!AY59</f>
        <v>295450</v>
      </c>
      <c r="E544" s="180">
        <f>AY59</f>
        <v>157651</v>
      </c>
      <c r="F544" s="264">
        <f t="shared" ref="F544:G550" si="20">IF(B544=0,"",IF(D544=0,"",B544/D544))</f>
        <v>16.638703672364191</v>
      </c>
      <c r="G544" s="264">
        <f t="shared" si="20"/>
        <v>14.785678492366049</v>
      </c>
      <c r="H544" s="266" t="str">
        <f t="shared" si="17"/>
        <v/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1117956</v>
      </c>
      <c r="C545" s="241">
        <f>AZ71</f>
        <v>435031</v>
      </c>
      <c r="D545" s="241">
        <f>'Prior Year'!AZ59</f>
        <v>688175</v>
      </c>
      <c r="E545" s="180">
        <f>AZ59</f>
        <v>333064</v>
      </c>
      <c r="F545" s="264">
        <f t="shared" si="20"/>
        <v>1.6245228321284557</v>
      </c>
      <c r="G545" s="264">
        <f t="shared" si="20"/>
        <v>1.306148367881248</v>
      </c>
      <c r="H545" s="266" t="str">
        <f t="shared" si="17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1986717</v>
      </c>
      <c r="C546" s="241">
        <f>BA71</f>
        <v>1054993</v>
      </c>
      <c r="D546" s="241">
        <f>'Prior Year'!BA59</f>
        <v>0</v>
      </c>
      <c r="E546" s="180">
        <f>BA59</f>
        <v>0</v>
      </c>
      <c r="F546" s="264" t="str">
        <f t="shared" si="20"/>
        <v/>
      </c>
      <c r="G546" s="264" t="str">
        <f t="shared" si="20"/>
        <v/>
      </c>
      <c r="H546" s="266" t="str">
        <f t="shared" si="17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987281</v>
      </c>
      <c r="C547" s="241">
        <f>BB71</f>
        <v>459199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3544181</v>
      </c>
      <c r="C548" s="241">
        <f>BC71</f>
        <v>1898165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-639210</v>
      </c>
      <c r="C549" s="241">
        <f>BD71</f>
        <v>2215055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24827529</v>
      </c>
      <c r="C550" s="241">
        <f>BE71</f>
        <v>11306141</v>
      </c>
      <c r="D550" s="241">
        <f>'Prior Year'!BE59</f>
        <v>1528631</v>
      </c>
      <c r="E550" s="180">
        <f>BE59</f>
        <v>1557316</v>
      </c>
      <c r="F550" s="264">
        <f t="shared" si="20"/>
        <v>16.241675721609727</v>
      </c>
      <c r="G550" s="264">
        <f t="shared" si="20"/>
        <v>7.2600172347808662</v>
      </c>
      <c r="H550" s="266">
        <f t="shared" si="17"/>
        <v>-0.55300072731280214</v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9925339</v>
      </c>
      <c r="C551" s="241">
        <f>BF71</f>
        <v>4591477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6251198</v>
      </c>
      <c r="C552" s="241">
        <f>BG71</f>
        <v>3254226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43748362</v>
      </c>
      <c r="C553" s="241">
        <f>BH71</f>
        <v>19412076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2678459</v>
      </c>
      <c r="C554" s="241">
        <f>BI71</f>
        <v>1267108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3065999</v>
      </c>
      <c r="C555" s="241">
        <f>BJ71</f>
        <v>1505240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22224420</v>
      </c>
      <c r="C556" s="241">
        <f>BK71</f>
        <v>12343132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6459011</v>
      </c>
      <c r="C557" s="241">
        <f>BL71</f>
        <v>3193248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3546020</v>
      </c>
      <c r="C558" s="241">
        <f>BM71</f>
        <v>1390365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-1976466</v>
      </c>
      <c r="C559" s="241">
        <f>BN71</f>
        <v>-1535203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1843288</v>
      </c>
      <c r="C560" s="241">
        <f>BO71</f>
        <v>657587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2753385</v>
      </c>
      <c r="C561" s="241">
        <f>BP71</f>
        <v>1916987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1532747</v>
      </c>
      <c r="C563" s="241">
        <f>BR71</f>
        <v>981196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175158</v>
      </c>
      <c r="C565" s="241">
        <f>BT71</f>
        <v>76767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932592</v>
      </c>
      <c r="C566" s="241">
        <f>BU71</f>
        <v>916549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5009430</v>
      </c>
      <c r="C567" s="241">
        <f>BV71</f>
        <v>2163923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-8817886</v>
      </c>
      <c r="C568" s="241">
        <f>BW71</f>
        <v>-3535955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10207754</v>
      </c>
      <c r="C569" s="241">
        <f>BX71</f>
        <v>6007235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7192159</v>
      </c>
      <c r="C570" s="241">
        <f>BY71</f>
        <v>3494369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4706770</v>
      </c>
      <c r="C572" s="241">
        <f>CA71</f>
        <v>3180806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11567769</v>
      </c>
      <c r="C574" s="241">
        <f>CC71</f>
        <v>2927131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-11375403</v>
      </c>
      <c r="C575" s="241">
        <f>CD71</f>
        <v>21498384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1170198</v>
      </c>
      <c r="E612" s="180">
        <f>SUM(C624:D647)+SUM(C668:D713)</f>
        <v>556078549.00200903</v>
      </c>
      <c r="F612" s="180">
        <f>CE64-(AX64+BD64+BE64+BG64+BJ64+BN64+BP64+BQ64+CB64+CC64+CD64)</f>
        <v>136106728</v>
      </c>
      <c r="G612" s="180">
        <f>CE77-(AX77+AY77+BD77+BE77+BG77+BJ77+BN77+BP77+BQ77+CB77+CC77+CD77)</f>
        <v>157651</v>
      </c>
      <c r="H612" s="197">
        <f>CE60-(AX60+AY60+AZ60+BD60+BE60+BG60+BJ60+BN60+BO60+BP60+BQ60+BR60+CB60+CC60+CD60)</f>
        <v>4375.3599999999997</v>
      </c>
      <c r="I612" s="180">
        <f>CE78-(AX78+AY78+AZ78+BD78+BE78+BF78+BG78+BJ78+BN78+BO78+BP78+BQ78+BR78+CB78+CC78+CD78)</f>
        <v>49542</v>
      </c>
      <c r="J612" s="180">
        <f>CE79-(AX79+AY79+AZ79+BA79+BD79+BE79+BF79+BG79+BJ79+BN79+BO79+BP79+BQ79+BR79+CB79+CC79+CD79)</f>
        <v>1187870</v>
      </c>
      <c r="K612" s="180">
        <f>CE75-(AW75+AX75+AY75+AZ75+BA75+BB75+BC75+BD75+BE75+BF75+BG75+BH75+BI75+BJ75+BK75+BL75+BM75+BN75+BO75+BP75+BQ75+BR75+BS75+BT75+BU75+BV75+BW75+BX75+CB75+CC75+CD75)</f>
        <v>1390793607</v>
      </c>
      <c r="L612" s="197">
        <f>CE80-(AW80+AX80+AY80+AZ80+BA80+BB80+BC80+BD80+BE80+BF80+BG80+BH80+BI80+BJ80+BK80+BL80+BM80+BN80+BO80+BP80+BQ80+BR80+BS80+BT80+BU80+BV80+BW80+BX80+BY80+BZ80+CA80+CB80+CC80+CD80)</f>
        <v>1532.41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11306141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21498384</v>
      </c>
      <c r="D615" s="267">
        <f>SUM(C614:C615)</f>
        <v>32804525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1160778</v>
      </c>
      <c r="D616" s="180">
        <f>(D615/D612)*AX76</f>
        <v>68989.979494923085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1505240</v>
      </c>
      <c r="D617" s="180">
        <f>(D615/D612)*BJ76</f>
        <v>95341.29226421511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3254226</v>
      </c>
      <c r="D618" s="180">
        <f>(D615/D612)*BG76</f>
        <v>331045.37499209534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-1535203</v>
      </c>
      <c r="D619" s="180">
        <f>(D615/D612)*BN76</f>
        <v>303264.36333851196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2927131</v>
      </c>
      <c r="D620" s="180">
        <f>(D615/D612)*CC76</f>
        <v>296003.73567122826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1916987</v>
      </c>
      <c r="D621" s="180">
        <f>(D615/D612)*BP76</f>
        <v>146642.25222996451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10470445.997990938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2215055</v>
      </c>
      <c r="D624" s="180">
        <f>(D615/D612)*BD76</f>
        <v>372702.87581674213</v>
      </c>
      <c r="E624" s="180">
        <f>(E623/E612)*SUM(C624:D624)</f>
        <v>48725.093142402526</v>
      </c>
      <c r="F624" s="180">
        <f>SUM(C624:E624)</f>
        <v>2636482.9689591443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2330977</v>
      </c>
      <c r="D625" s="180">
        <f>(D615/D612)*AY76</f>
        <v>154239.27963472847</v>
      </c>
      <c r="E625" s="180">
        <f>(E623/E612)*SUM(C625:D625)</f>
        <v>46794.329498851715</v>
      </c>
      <c r="F625" s="180">
        <f>(F624/F612)*AY64</f>
        <v>5775.7818065945794</v>
      </c>
      <c r="G625" s="180">
        <f>SUM(C625:F625)</f>
        <v>2537786.3909401749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981196</v>
      </c>
      <c r="D626" s="180">
        <f>(D615/D612)*BR76</f>
        <v>0</v>
      </c>
      <c r="E626" s="180">
        <f>(E623/E612)*SUM(C626:D626)</f>
        <v>18475.015355083586</v>
      </c>
      <c r="F626" s="180">
        <f>(F624/F612)*BR64</f>
        <v>9.4529029369662201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657587</v>
      </c>
      <c r="D627" s="180">
        <f>(D615/D612)*BO76</f>
        <v>36443.304893701752</v>
      </c>
      <c r="E627" s="180">
        <f>(E623/E612)*SUM(C627:D627)</f>
        <v>13067.95027680961</v>
      </c>
      <c r="F627" s="180">
        <f>(F624/F612)*BO64</f>
        <v>420.11180101828558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435031</v>
      </c>
      <c r="D628" s="180">
        <f>(D615/D612)*AZ76</f>
        <v>477070.89437001257</v>
      </c>
      <c r="E628" s="180">
        <f>(E623/E612)*SUM(C628:D628)</f>
        <v>17174.03709746759</v>
      </c>
      <c r="F628" s="180">
        <f>(F624/F612)*AZ64</f>
        <v>17764.600292726645</v>
      </c>
      <c r="G628" s="180">
        <f>(G625/G612)*AZ77</f>
        <v>0</v>
      </c>
      <c r="H628" s="180">
        <f>SUM(C626:G628)</f>
        <v>2654239.3669897565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4591477</v>
      </c>
      <c r="D629" s="180">
        <f>(D615/D612)*BF76</f>
        <v>227798.68889709262</v>
      </c>
      <c r="E629" s="180">
        <f>(E623/E612)*SUM(C629:D629)</f>
        <v>90742.51459724133</v>
      </c>
      <c r="F629" s="180">
        <f>(F624/F612)*BF64</f>
        <v>267.70311186244498</v>
      </c>
      <c r="G629" s="180">
        <f>(G625/G612)*BF77</f>
        <v>0</v>
      </c>
      <c r="H629" s="180">
        <f>(H628/H612)*BF60</f>
        <v>0</v>
      </c>
      <c r="I629" s="180">
        <f>SUM(C629:H629)</f>
        <v>4910285.9066061974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1054993</v>
      </c>
      <c r="D630" s="180">
        <f>(D615/D612)*BA76</f>
        <v>89370.196923939366</v>
      </c>
      <c r="E630" s="180">
        <f>(E623/E612)*SUM(C630:D630)</f>
        <v>21547.303122885049</v>
      </c>
      <c r="F630" s="180">
        <f>(F624/F612)*BA64</f>
        <v>9.6272392616233837</v>
      </c>
      <c r="G630" s="180">
        <f>(G625/G612)*BA77</f>
        <v>0</v>
      </c>
      <c r="H630" s="180">
        <f>(H628/H612)*BA60</f>
        <v>0</v>
      </c>
      <c r="I630" s="180">
        <f>(I629/I612)*BA78</f>
        <v>14470.585409642419</v>
      </c>
      <c r="J630" s="180">
        <f>SUM(C630:I630)</f>
        <v>1180390.7126957283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9465058</v>
      </c>
      <c r="D631" s="180">
        <f>(D615/D612)*AW76</f>
        <v>492685.44885139097</v>
      </c>
      <c r="E631" s="180">
        <f>(E623/E612)*SUM(C631:D631)</f>
        <v>187495.12138197917</v>
      </c>
      <c r="F631" s="180">
        <f>(F624/F612)*AW64</f>
        <v>2852.452202635036</v>
      </c>
      <c r="G631" s="180">
        <f>(G625/G612)*AW77</f>
        <v>0</v>
      </c>
      <c r="H631" s="180">
        <f>(H628/H612)*AW60</f>
        <v>93997.840158309889</v>
      </c>
      <c r="I631" s="180">
        <f>(I629/I612)*AW78</f>
        <v>79885.560549121845</v>
      </c>
      <c r="J631" s="180">
        <f>(J630/J612)*AW79</f>
        <v>1987.407229235065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459199</v>
      </c>
      <c r="D632" s="180">
        <f>(D615/D612)*BB76</f>
        <v>10204.12537023649</v>
      </c>
      <c r="E632" s="180">
        <f>(E623/E612)*SUM(C632:D632)</f>
        <v>8838.4277442420716</v>
      </c>
      <c r="F632" s="180">
        <f>(F624/F612)*BB64</f>
        <v>20.416720687627858</v>
      </c>
      <c r="G632" s="180">
        <f>(G625/G612)*BB77</f>
        <v>0</v>
      </c>
      <c r="H632" s="180">
        <f>(H628/H612)*BB60</f>
        <v>5271.6439559581349</v>
      </c>
      <c r="I632" s="180">
        <f>(I629/I612)*BB78</f>
        <v>1684.9311778350764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1898165</v>
      </c>
      <c r="D633" s="180">
        <f>(D615/D612)*BC76</f>
        <v>18950.51854472491</v>
      </c>
      <c r="E633" s="180">
        <f>(E623/E612)*SUM(C633:D633)</f>
        <v>36097.516339837115</v>
      </c>
      <c r="F633" s="180">
        <f>(F624/F612)*BC64</f>
        <v>1502.9921962748892</v>
      </c>
      <c r="G633" s="180">
        <f>(G625/G612)*BC77</f>
        <v>0</v>
      </c>
      <c r="H633" s="180">
        <f>(H628/H612)*BC60</f>
        <v>0</v>
      </c>
      <c r="I633" s="180">
        <f>(I629/I612)*BC78</f>
        <v>3072.5215595816098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1267108</v>
      </c>
      <c r="D634" s="180">
        <f>(D615/D612)*BI76</f>
        <v>199597.1775716588</v>
      </c>
      <c r="E634" s="180">
        <f>(E623/E612)*SUM(C634:D634)</f>
        <v>27616.705201628411</v>
      </c>
      <c r="F634" s="180">
        <f>(F624/F612)*BI64</f>
        <v>1195.5791437960902</v>
      </c>
      <c r="G634" s="180">
        <f>(G625/G612)*BI77</f>
        <v>0</v>
      </c>
      <c r="H634" s="180">
        <f>(H628/H612)*BI60</f>
        <v>3378.9478520928442</v>
      </c>
      <c r="I634" s="180">
        <f>(I629/I612)*BI78</f>
        <v>32311.033174954991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12343132</v>
      </c>
      <c r="D635" s="180">
        <f>(D615/D612)*BK76</f>
        <v>667641.345652616</v>
      </c>
      <c r="E635" s="180">
        <f>(E623/E612)*SUM(C635:D635)</f>
        <v>244980.85738470629</v>
      </c>
      <c r="F635" s="180">
        <f>(F624/F612)*BK64</f>
        <v>4030.6945674791082</v>
      </c>
      <c r="G635" s="180">
        <f>(G625/G612)*BK77</f>
        <v>0</v>
      </c>
      <c r="H635" s="180">
        <f>(H628/H612)*BK60</f>
        <v>118384.50149657423</v>
      </c>
      <c r="I635" s="180">
        <f>(I629/I612)*BK78</f>
        <v>108232.0497762296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19412076</v>
      </c>
      <c r="D636" s="180">
        <f>(D615/D612)*BH76</f>
        <v>1283785.4981592859</v>
      </c>
      <c r="E636" s="180">
        <f>(E623/E612)*SUM(C636:D636)</f>
        <v>389683.97645850159</v>
      </c>
      <c r="F636" s="180">
        <f>(F624/F612)*BH64</f>
        <v>-2455.6239863098517</v>
      </c>
      <c r="G636" s="180">
        <f>(G625/G612)*BH77</f>
        <v>0</v>
      </c>
      <c r="H636" s="180">
        <f>(H628/H612)*BH60</f>
        <v>91001.071327189857</v>
      </c>
      <c r="I636" s="180">
        <f>(I629/I612)*BH78</f>
        <v>208039.44366328383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3193248</v>
      </c>
      <c r="D637" s="180">
        <f>(D615/D612)*BL76</f>
        <v>208259.47081177714</v>
      </c>
      <c r="E637" s="180">
        <f>(E623/E612)*SUM(C637:D637)</f>
        <v>64047.247189836802</v>
      </c>
      <c r="F637" s="180">
        <f>(F624/F612)*BL64</f>
        <v>286.93821968295208</v>
      </c>
      <c r="G637" s="180">
        <f>(G625/G612)*BL77</f>
        <v>0</v>
      </c>
      <c r="H637" s="180">
        <f>(H628/H612)*BL60</f>
        <v>46759.299899338672</v>
      </c>
      <c r="I637" s="180">
        <f>(I629/I612)*BL78</f>
        <v>33797.737155397706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1390365</v>
      </c>
      <c r="D638" s="180">
        <f>(D615/D612)*BM76</f>
        <v>117011.04202023931</v>
      </c>
      <c r="E638" s="180">
        <f>(E623/E612)*SUM(C638:D638)</f>
        <v>28382.500053209595</v>
      </c>
      <c r="F638" s="180">
        <f>(F624/F612)*BM64</f>
        <v>69.966978295741768</v>
      </c>
      <c r="G638" s="180">
        <f>(G625/G612)*BM77</f>
        <v>0</v>
      </c>
      <c r="H638" s="180">
        <f>(H628/H612)*BM60</f>
        <v>11792.952647160662</v>
      </c>
      <c r="I638" s="180">
        <f>(I629/I612)*BM78</f>
        <v>18930.697350970564</v>
      </c>
      <c r="J638" s="180">
        <f>(J630/J612)*BM79</f>
        <v>616.09624106287015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76767</v>
      </c>
      <c r="D640" s="180">
        <f>(D615/D612)*BT76</f>
        <v>23660.114869449444</v>
      </c>
      <c r="E640" s="180">
        <f>(E623/E612)*SUM(C640:D640)</f>
        <v>1890.9499114140513</v>
      </c>
      <c r="F640" s="180">
        <f>(F624/F612)*BT64</f>
        <v>-5.8112108219054631E-2</v>
      </c>
      <c r="G640" s="180">
        <f>(G625/G612)*BT77</f>
        <v>0</v>
      </c>
      <c r="H640" s="180">
        <f>(H628/H612)*BT60</f>
        <v>982.74605393005515</v>
      </c>
      <c r="I640" s="180">
        <f>(I629/I612)*BT78</f>
        <v>3865.4303491510573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916549</v>
      </c>
      <c r="D641" s="180">
        <f>(D615/D612)*BU76</f>
        <v>148240.15098299604</v>
      </c>
      <c r="E641" s="180">
        <f>(E623/E612)*SUM(C641:D641)</f>
        <v>20048.99725879158</v>
      </c>
      <c r="F641" s="180">
        <f>(F624/F612)*BU64</f>
        <v>59.196867572476982</v>
      </c>
      <c r="G641" s="180">
        <f>(G625/G612)*BU77</f>
        <v>0</v>
      </c>
      <c r="H641" s="180">
        <f>(H628/H612)*BU60</f>
        <v>5210.9806192957858</v>
      </c>
      <c r="I641" s="180">
        <f>(I629/I612)*BU78</f>
        <v>23985.490884475792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2163923</v>
      </c>
      <c r="D642" s="180">
        <f>(D615/D612)*BV76</f>
        <v>392129.9606562308</v>
      </c>
      <c r="E642" s="180">
        <f>(E623/E612)*SUM(C642:D642)</f>
        <v>48128.11884325937</v>
      </c>
      <c r="F642" s="180">
        <f>(F624/F612)*BV64</f>
        <v>106.4226408518287</v>
      </c>
      <c r="G642" s="180">
        <f>(G625/G612)*BV77</f>
        <v>0</v>
      </c>
      <c r="H642" s="180">
        <f>(H628/H612)*BV60</f>
        <v>24580.784015583849</v>
      </c>
      <c r="I642" s="180">
        <f>(I629/I612)*BV78</f>
        <v>63531.816764251991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-3535955</v>
      </c>
      <c r="D643" s="180">
        <f>(D615/D612)*BW76</f>
        <v>0</v>
      </c>
      <c r="E643" s="180">
        <f>(E623/E612)*SUM(C643:D643)</f>
        <v>-66578.770113091145</v>
      </c>
      <c r="F643" s="180">
        <f>(F624/F612)*BW64</f>
        <v>41.995683539636808</v>
      </c>
      <c r="G643" s="180">
        <f>(G625/G612)*BW77</f>
        <v>0</v>
      </c>
      <c r="H643" s="180">
        <f>(H628/H612)*BW60</f>
        <v>4361.6939060228988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6007235</v>
      </c>
      <c r="D644" s="180">
        <f>(D615/D612)*BX76</f>
        <v>622339.51433859905</v>
      </c>
      <c r="E644" s="180">
        <f>(E623/E612)*SUM(C644:D644)</f>
        <v>124828.77116302596</v>
      </c>
      <c r="F644" s="180">
        <f>(F624/F612)*BX64</f>
        <v>305.03045604181773</v>
      </c>
      <c r="G644" s="180">
        <f>(G625/G612)*BX77</f>
        <v>0</v>
      </c>
      <c r="H644" s="180">
        <f>(H628/H612)*BX60</f>
        <v>36118.950648762642</v>
      </c>
      <c r="I644" s="180">
        <f>(I629/I612)*BX78</f>
        <v>100897.64347271221</v>
      </c>
      <c r="J644" s="180">
        <f>(J630/J612)*BX79</f>
        <v>0</v>
      </c>
      <c r="K644" s="180">
        <f>SUM(C631:J644)</f>
        <v>61487530.062153466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3494369</v>
      </c>
      <c r="D645" s="180">
        <f>(D615/D612)*BY76</f>
        <v>185019.85561417812</v>
      </c>
      <c r="E645" s="180">
        <f>(E623/E612)*SUM(C645:D645)</f>
        <v>69279.497271488421</v>
      </c>
      <c r="F645" s="180">
        <f>(F624/F612)*BY64</f>
        <v>1613.0177878362992</v>
      </c>
      <c r="G645" s="180">
        <f>(G625/G612)*BY77</f>
        <v>0</v>
      </c>
      <c r="H645" s="180">
        <f>(H628/H612)*BY60</f>
        <v>30519.724674827823</v>
      </c>
      <c r="I645" s="180">
        <f>(I629/I612)*BY78</f>
        <v>30031.42040494283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3180806</v>
      </c>
      <c r="D647" s="180">
        <f>(D615/D612)*CA76</f>
        <v>113002.27848193211</v>
      </c>
      <c r="E647" s="180">
        <f>(E623/E612)*SUM(C647:D647)</f>
        <v>62019.370769606801</v>
      </c>
      <c r="F647" s="180">
        <f>(F624/F612)*CA64</f>
        <v>71.032366946424446</v>
      </c>
      <c r="G647" s="180">
        <f>(G625/G612)*CA77</f>
        <v>0</v>
      </c>
      <c r="H647" s="180">
        <f>(H628/H612)*CA60</f>
        <v>33298.105493963412</v>
      </c>
      <c r="I647" s="180">
        <f>(I629/I612)*CA78</f>
        <v>18435.129357489659</v>
      </c>
      <c r="J647" s="180">
        <f>(J630/J612)*CA79</f>
        <v>0</v>
      </c>
      <c r="K647" s="180">
        <v>0</v>
      </c>
      <c r="L647" s="180">
        <f>SUM(C645:K647)</f>
        <v>7218464.432223212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116032045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7387651</v>
      </c>
      <c r="D668" s="180">
        <f>(D615/D612)*C76</f>
        <v>661586.15037797019</v>
      </c>
      <c r="E668" s="180">
        <f>(E623/E612)*SUM(C668:D668)</f>
        <v>151559.70871257345</v>
      </c>
      <c r="F668" s="180">
        <f>(F624/F612)*C64</f>
        <v>14425.013657594012</v>
      </c>
      <c r="G668" s="180">
        <f>(G625/G612)*C77</f>
        <v>74434.822942495579</v>
      </c>
      <c r="H668" s="180">
        <f>(H628/H612)*C60</f>
        <v>51830.754844311057</v>
      </c>
      <c r="I668" s="180">
        <f>(I629/I612)*C78</f>
        <v>107240.9137892678</v>
      </c>
      <c r="J668" s="180">
        <f>(J630/J612)*C79</f>
        <v>22855.183136203246</v>
      </c>
      <c r="K668" s="180">
        <f>(K644/K612)*C75</f>
        <v>1061574.9283937656</v>
      </c>
      <c r="L668" s="180">
        <f>(L647/L612)*C80</f>
        <v>354797.17636601964</v>
      </c>
      <c r="M668" s="180">
        <f t="shared" ref="M668:M713" si="21">ROUND(SUM(D668:L668),0)</f>
        <v>2500305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31912596</v>
      </c>
      <c r="D670" s="180">
        <f>(D615/D612)*E76</f>
        <v>3452554.6056949338</v>
      </c>
      <c r="E670" s="180">
        <f>(E623/E612)*SUM(C670:D670)</f>
        <v>665893.15536860877</v>
      </c>
      <c r="F670" s="180">
        <f>(F624/F612)*E64</f>
        <v>34310.086037828478</v>
      </c>
      <c r="G670" s="180">
        <f>(G625/G612)*E77</f>
        <v>2224593.5027115433</v>
      </c>
      <c r="H670" s="180">
        <f>(H628/H612)*E60</f>
        <v>311657.89210281841</v>
      </c>
      <c r="I670" s="180">
        <f>(I629/I612)*E78</f>
        <v>559595.3782386377</v>
      </c>
      <c r="J670" s="180">
        <f>(J630/J612)*E79</f>
        <v>189797.39039194869</v>
      </c>
      <c r="K670" s="180">
        <f>(K644/K612)*E75</f>
        <v>5255073.8175446549</v>
      </c>
      <c r="L670" s="180">
        <f>(L647/L612)*E80</f>
        <v>2137026.4870150313</v>
      </c>
      <c r="M670" s="180">
        <f t="shared" si="21"/>
        <v>14830502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4655656</v>
      </c>
      <c r="D676" s="180">
        <f>(D615/D612)*K76</f>
        <v>0</v>
      </c>
      <c r="E676" s="180">
        <f>(E623/E612)*SUM(C676:D676)</f>
        <v>87661.706823088374</v>
      </c>
      <c r="F676" s="180">
        <f>(F624/F612)*K64</f>
        <v>7663.3211936576927</v>
      </c>
      <c r="G676" s="180">
        <f>(G625/G612)*K77</f>
        <v>0</v>
      </c>
      <c r="H676" s="180">
        <f>(H628/H612)*K60</f>
        <v>73360.173025778742</v>
      </c>
      <c r="I676" s="180">
        <f>(I629/I612)*K78</f>
        <v>0</v>
      </c>
      <c r="J676" s="180">
        <f>(J630/J612)*K79</f>
        <v>447.16662657788959</v>
      </c>
      <c r="K676" s="180">
        <f>(K644/K612)*K75</f>
        <v>234978.40843214773</v>
      </c>
      <c r="L676" s="180">
        <f>(L647/L612)*K80</f>
        <v>323519.2521616866</v>
      </c>
      <c r="M676" s="180">
        <f t="shared" si="21"/>
        <v>727630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-2034</v>
      </c>
      <c r="D679" s="180">
        <f>(D615/D612)*N76</f>
        <v>0</v>
      </c>
      <c r="E679" s="180">
        <f>(E623/E612)*SUM(C679:D679)</f>
        <v>-38.298343279263278</v>
      </c>
      <c r="F679" s="180">
        <f>(F624/F612)*N64</f>
        <v>57.124202379330697</v>
      </c>
      <c r="G679" s="180">
        <f>(G625/G612)*N77</f>
        <v>1432.6771716873068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1452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34215846</v>
      </c>
      <c r="D681" s="180">
        <f>(D615/D612)*P76</f>
        <v>1322639.6678382633</v>
      </c>
      <c r="E681" s="180">
        <f>(E623/E612)*SUM(C681:D681)</f>
        <v>669156.89465685724</v>
      </c>
      <c r="F681" s="180">
        <f>(F624/F612)*P64</f>
        <v>400555.35261002986</v>
      </c>
      <c r="G681" s="180">
        <f>(G625/G612)*P77</f>
        <v>0</v>
      </c>
      <c r="H681" s="180">
        <f>(H628/H612)*P60</f>
        <v>87191.413784794335</v>
      </c>
      <c r="I681" s="180">
        <f>(I629/I612)*P78</f>
        <v>214382.71397983941</v>
      </c>
      <c r="J681" s="180">
        <f>(J630/J612)*P79</f>
        <v>254388.12534208831</v>
      </c>
      <c r="K681" s="180">
        <f>(K644/K612)*P75</f>
        <v>9687728.7760861386</v>
      </c>
      <c r="L681" s="180">
        <f>(L647/L612)*P80</f>
        <v>252390.2377813507</v>
      </c>
      <c r="M681" s="180">
        <f t="shared" si="21"/>
        <v>12888433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5560630</v>
      </c>
      <c r="D682" s="180">
        <f>(D615/D612)*Q76</f>
        <v>791436.44904537522</v>
      </c>
      <c r="E682" s="180">
        <f>(E623/E612)*SUM(C682:D682)</f>
        <v>119603.5503432796</v>
      </c>
      <c r="F682" s="180">
        <f>(F624/F612)*Q64</f>
        <v>10202.297313856408</v>
      </c>
      <c r="G682" s="180">
        <f>(G625/G612)*Q77</f>
        <v>3332.18173639632</v>
      </c>
      <c r="H682" s="180">
        <f>(H628/H612)*Q60</f>
        <v>45000.06313613055</v>
      </c>
      <c r="I682" s="180">
        <f>(I629/I612)*Q78</f>
        <v>128252.99671285816</v>
      </c>
      <c r="J682" s="180">
        <f>(J630/J612)*Q79</f>
        <v>8247.7400013255192</v>
      </c>
      <c r="K682" s="180">
        <f>(K644/K612)*Q75</f>
        <v>626919.3134705635</v>
      </c>
      <c r="L682" s="180">
        <f>(L647/L612)*Q80</f>
        <v>326251.35999881208</v>
      </c>
      <c r="M682" s="180">
        <f t="shared" si="21"/>
        <v>2059246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14961570</v>
      </c>
      <c r="D683" s="180">
        <f>(D615/D612)*R76</f>
        <v>530222.05289190379</v>
      </c>
      <c r="E683" s="180">
        <f>(E623/E612)*SUM(C683:D683)</f>
        <v>291696.15046834655</v>
      </c>
      <c r="F683" s="180">
        <f>(F624/F612)*R64</f>
        <v>28713.25078314311</v>
      </c>
      <c r="G683" s="180">
        <f>(G625/G612)*R77</f>
        <v>0</v>
      </c>
      <c r="H683" s="180">
        <f>(H628/H612)*R60</f>
        <v>48749.057341863721</v>
      </c>
      <c r="I683" s="180">
        <f>(I629/I612)*R78</f>
        <v>85931.490069588894</v>
      </c>
      <c r="J683" s="180">
        <f>(J630/J612)*R79</f>
        <v>17886.665063115583</v>
      </c>
      <c r="K683" s="180">
        <f>(K644/K612)*R75</f>
        <v>1624478.6558124754</v>
      </c>
      <c r="L683" s="180">
        <f>(L647/L612)*R80</f>
        <v>27792.131446621301</v>
      </c>
      <c r="M683" s="180">
        <f t="shared" si="21"/>
        <v>2655469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4959577</v>
      </c>
      <c r="D684" s="180">
        <f>(D615/D612)*S76</f>
        <v>503310.07389347785</v>
      </c>
      <c r="E684" s="180">
        <f>(E623/E612)*SUM(C684:D684)</f>
        <v>102861.12313265611</v>
      </c>
      <c r="F684" s="180">
        <f>(F624/F612)*S64</f>
        <v>4774.0646558172548</v>
      </c>
      <c r="G684" s="180">
        <f>(G625/G612)*S77</f>
        <v>0</v>
      </c>
      <c r="H684" s="180">
        <f>(H628/H612)*S60</f>
        <v>74464.245753033494</v>
      </c>
      <c r="I684" s="180">
        <f>(I629/I612)*S78</f>
        <v>81570.491726956927</v>
      </c>
      <c r="J684" s="180">
        <f>(J630/J612)*S79</f>
        <v>0</v>
      </c>
      <c r="K684" s="180">
        <f>(K644/K612)*S75</f>
        <v>0</v>
      </c>
      <c r="L684" s="180">
        <f>(L647/L612)*S80</f>
        <v>47.105307536646272</v>
      </c>
      <c r="M684" s="180">
        <f t="shared" si="21"/>
        <v>767027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1514077</v>
      </c>
      <c r="D685" s="180">
        <f>(D615/D612)*T76</f>
        <v>25874.746474528241</v>
      </c>
      <c r="E685" s="180">
        <f>(E623/E612)*SUM(C685:D685)</f>
        <v>28995.870511299159</v>
      </c>
      <c r="F685" s="180">
        <f>(F624/F612)*T64</f>
        <v>5877.7491858162803</v>
      </c>
      <c r="G685" s="180">
        <f>(G625/G612)*T77</f>
        <v>0</v>
      </c>
      <c r="H685" s="180">
        <f>(H628/H612)*T60</f>
        <v>10161.108890943471</v>
      </c>
      <c r="I685" s="180">
        <f>(I629/I612)*T78</f>
        <v>4162.7711452396006</v>
      </c>
      <c r="J685" s="180">
        <f>(J630/J612)*T79</f>
        <v>397.48144584701299</v>
      </c>
      <c r="K685" s="180">
        <f>(K644/K612)*T75</f>
        <v>93353.42510558544</v>
      </c>
      <c r="L685" s="180">
        <f>(L647/L612)*T80</f>
        <v>75980.861056610433</v>
      </c>
      <c r="M685" s="180">
        <f t="shared" si="21"/>
        <v>244804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23905105</v>
      </c>
      <c r="D686" s="180">
        <f>(D615/D612)*U76</f>
        <v>833906.91590226605</v>
      </c>
      <c r="E686" s="180">
        <f>(E623/E612)*SUM(C686:D686)</f>
        <v>465812.76831121417</v>
      </c>
      <c r="F686" s="180">
        <f>(F624/F612)*U64</f>
        <v>156107.73792171356</v>
      </c>
      <c r="G686" s="180">
        <f>(G625/G612)*U77</f>
        <v>0</v>
      </c>
      <c r="H686" s="180">
        <f>(H628/H612)*U60</f>
        <v>116552.46872937129</v>
      </c>
      <c r="I686" s="180">
        <f>(I629/I612)*U78</f>
        <v>135190.94862159083</v>
      </c>
      <c r="J686" s="180">
        <f>(J630/J612)*U79</f>
        <v>23352.034943512012</v>
      </c>
      <c r="K686" s="180">
        <f>(K644/K612)*U75</f>
        <v>4362644.3549618516</v>
      </c>
      <c r="L686" s="180">
        <f>(L647/L612)*U80</f>
        <v>57468.475194708444</v>
      </c>
      <c r="M686" s="180">
        <f t="shared" si="21"/>
        <v>6151036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1996904</v>
      </c>
      <c r="D688" s="180">
        <f>(D615/D612)*W76</f>
        <v>187458.75371091045</v>
      </c>
      <c r="E688" s="180">
        <f>(E623/E612)*SUM(C688:D688)</f>
        <v>41129.535195701712</v>
      </c>
      <c r="F688" s="180">
        <f>(F624/F612)*W64</f>
        <v>2959.4559645690551</v>
      </c>
      <c r="G688" s="180">
        <f>(G625/G612)*W77</f>
        <v>0</v>
      </c>
      <c r="H688" s="180">
        <f>(H628/H612)*W60</f>
        <v>6248.3236762219558</v>
      </c>
      <c r="I688" s="180">
        <f>(I629/I612)*W78</f>
        <v>30427.874799727553</v>
      </c>
      <c r="J688" s="180">
        <f>(J630/J612)*W79</f>
        <v>3974.8144584701299</v>
      </c>
      <c r="K688" s="180">
        <f>(K644/K612)*W75</f>
        <v>703555.50739400124</v>
      </c>
      <c r="L688" s="180">
        <f>(L647/L612)*W80</f>
        <v>0</v>
      </c>
      <c r="M688" s="180">
        <f t="shared" si="21"/>
        <v>975754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3238826</v>
      </c>
      <c r="D689" s="180">
        <f>(D615/D612)*X76</f>
        <v>112609.8121215384</v>
      </c>
      <c r="E689" s="180">
        <f>(E623/E612)*SUM(C689:D689)</f>
        <v>63104.444056562039</v>
      </c>
      <c r="F689" s="180">
        <f>(F624/F612)*X64</f>
        <v>7608.3277685797275</v>
      </c>
      <c r="G689" s="180">
        <f>(G625/G612)*X77</f>
        <v>0</v>
      </c>
      <c r="H689" s="180">
        <f>(H628/H612)*X60</f>
        <v>11010.395604216357</v>
      </c>
      <c r="I689" s="180">
        <f>(I629/I612)*X78</f>
        <v>18236.902160097296</v>
      </c>
      <c r="J689" s="180">
        <f>(J630/J612)*X79</f>
        <v>42729.255428553894</v>
      </c>
      <c r="K689" s="180">
        <f>(K644/K612)*X75</f>
        <v>1431173.272017186</v>
      </c>
      <c r="L689" s="180">
        <f>(L647/L612)*X80</f>
        <v>0</v>
      </c>
      <c r="M689" s="180">
        <f t="shared" si="21"/>
        <v>1686472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14745178</v>
      </c>
      <c r="D690" s="180">
        <f>(D615/D612)*Y76</f>
        <v>964486.08066754509</v>
      </c>
      <c r="E690" s="180">
        <f>(E623/E612)*SUM(C690:D690)</f>
        <v>295798.47972631146</v>
      </c>
      <c r="F690" s="180">
        <f>(F624/F612)*Y64</f>
        <v>60073.430612853204</v>
      </c>
      <c r="G690" s="180">
        <f>(G625/G612)*Y77</f>
        <v>48.292488933279998</v>
      </c>
      <c r="H690" s="180">
        <f>(H628/H612)*Y60</f>
        <v>65746.924274653938</v>
      </c>
      <c r="I690" s="180">
        <f>(I629/I612)*Y78</f>
        <v>156302.14514387737</v>
      </c>
      <c r="J690" s="180">
        <f>(J630/J612)*Y79</f>
        <v>156011.46749495258</v>
      </c>
      <c r="K690" s="180">
        <f>(K644/K612)*Y75</f>
        <v>2453052.3971196106</v>
      </c>
      <c r="L690" s="180">
        <f>(L647/L612)*Y80</f>
        <v>54359.52489728979</v>
      </c>
      <c r="M690" s="180">
        <f t="shared" si="21"/>
        <v>4205879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4079685</v>
      </c>
      <c r="D691" s="180">
        <f>(D615/D612)*Z76</f>
        <v>317000.68595229182</v>
      </c>
      <c r="E691" s="180">
        <f>(E623/E612)*SUM(C691:D691)</f>
        <v>82785.534754977387</v>
      </c>
      <c r="F691" s="180">
        <f>(F624/F612)*Z64</f>
        <v>2546.1820216178785</v>
      </c>
      <c r="G691" s="180">
        <f>(G625/G612)*Z77</f>
        <v>0</v>
      </c>
      <c r="H691" s="180">
        <f>(H628/H612)*Z60</f>
        <v>22518.230569063977</v>
      </c>
      <c r="I691" s="180">
        <f>(I629/I612)*Z78</f>
        <v>51340.844124621733</v>
      </c>
      <c r="J691" s="180">
        <f>(J630/J612)*Z79</f>
        <v>13116.887712951428</v>
      </c>
      <c r="K691" s="180">
        <f>(K644/K612)*Z75</f>
        <v>733843.95828887308</v>
      </c>
      <c r="L691" s="180">
        <f>(L647/L612)*Z80</f>
        <v>21951.073312077162</v>
      </c>
      <c r="M691" s="180">
        <f t="shared" si="21"/>
        <v>1245103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4311691</v>
      </c>
      <c r="D692" s="180">
        <f>(D615/D612)*AA76</f>
        <v>170246.30047650056</v>
      </c>
      <c r="E692" s="180">
        <f>(E623/E612)*SUM(C692:D692)</f>
        <v>84390.743996943755</v>
      </c>
      <c r="F692" s="180">
        <f>(F624/F612)*AA64</f>
        <v>67309.995854452893</v>
      </c>
      <c r="G692" s="180">
        <f>(G625/G612)*AA77</f>
        <v>0</v>
      </c>
      <c r="H692" s="180">
        <f>(H628/H612)*AA60</f>
        <v>4495.1532466800672</v>
      </c>
      <c r="I692" s="180">
        <f>(I629/I612)*AA78</f>
        <v>27553.580437538305</v>
      </c>
      <c r="J692" s="180">
        <f>(J630/J612)*AA79</f>
        <v>14905.554219262985</v>
      </c>
      <c r="K692" s="180">
        <f>(K644/K612)*AA75</f>
        <v>811093.48297559517</v>
      </c>
      <c r="L692" s="180">
        <f>(L647/L612)*AA80</f>
        <v>0</v>
      </c>
      <c r="M692" s="180">
        <f t="shared" si="21"/>
        <v>1179995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26395895</v>
      </c>
      <c r="D693" s="180">
        <f>(D615/D612)*AB76</f>
        <v>309655.9583506381</v>
      </c>
      <c r="E693" s="180">
        <f>(E623/E612)*SUM(C693:D693)</f>
        <v>502840.88400431228</v>
      </c>
      <c r="F693" s="180">
        <f>(F624/F612)*AB64</f>
        <v>390726.75489342748</v>
      </c>
      <c r="G693" s="180">
        <f>(G625/G612)*AB77</f>
        <v>0</v>
      </c>
      <c r="H693" s="180">
        <f>(H628/H612)*AB60</f>
        <v>50241.375423757505</v>
      </c>
      <c r="I693" s="180">
        <f>(I629/I612)*AB78</f>
        <v>50151.480940267567</v>
      </c>
      <c r="J693" s="180">
        <f>(J630/J612)*AB79</f>
        <v>0</v>
      </c>
      <c r="K693" s="180">
        <f>(K644/K612)*AB75</f>
        <v>1655554.4495721443</v>
      </c>
      <c r="L693" s="180">
        <f>(L647/L612)*AB80</f>
        <v>0</v>
      </c>
      <c r="M693" s="180">
        <f t="shared" si="21"/>
        <v>2959171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1335839</v>
      </c>
      <c r="D694" s="180">
        <f>(D615/D612)*AC76</f>
        <v>24669.314081890414</v>
      </c>
      <c r="E694" s="180">
        <f>(E623/E612)*SUM(C694:D694)</f>
        <v>25617.116247295959</v>
      </c>
      <c r="F694" s="180">
        <f>(F624/F612)*AC64</f>
        <v>2870.0408007226702</v>
      </c>
      <c r="G694" s="180">
        <f>(G625/G612)*AC77</f>
        <v>0</v>
      </c>
      <c r="H694" s="180">
        <f>(H628/H612)*AC60</f>
        <v>11993.141658146413</v>
      </c>
      <c r="I694" s="180">
        <f>(I629/I612)*AC78</f>
        <v>3964.5439478472381</v>
      </c>
      <c r="J694" s="180">
        <f>(J630/J612)*AC79</f>
        <v>4968.5180730876618</v>
      </c>
      <c r="K694" s="180">
        <f>(K644/K612)*AC75</f>
        <v>411457.31716753566</v>
      </c>
      <c r="L694" s="180">
        <f>(L647/L612)*AC80</f>
        <v>0</v>
      </c>
      <c r="M694" s="180">
        <f t="shared" si="21"/>
        <v>485540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1341300</v>
      </c>
      <c r="D695" s="180">
        <f>(D615/D612)*AD76</f>
        <v>44264.598790119278</v>
      </c>
      <c r="E695" s="180">
        <f>(E623/E612)*SUM(C695:D695)</f>
        <v>26088.902969547038</v>
      </c>
      <c r="F695" s="180">
        <f>(F624/F612)*AD64</f>
        <v>955.32431771577876</v>
      </c>
      <c r="G695" s="180">
        <f>(G625/G612)*AD77</f>
        <v>0</v>
      </c>
      <c r="H695" s="180">
        <f>(H628/H612)*AD60</f>
        <v>0</v>
      </c>
      <c r="I695" s="180">
        <f>(I629/I612)*AD78</f>
        <v>7136.1791061250287</v>
      </c>
      <c r="J695" s="180">
        <f>(J630/J612)*AD79</f>
        <v>993.70361461753248</v>
      </c>
      <c r="K695" s="180">
        <f>(K644/K612)*AD75</f>
        <v>159420.72701287782</v>
      </c>
      <c r="L695" s="180">
        <f>(L647/L612)*AD80</f>
        <v>0</v>
      </c>
      <c r="M695" s="180">
        <f t="shared" si="21"/>
        <v>238859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4981082</v>
      </c>
      <c r="D696" s="180">
        <f>(D615/D612)*AE76</f>
        <v>532969.31741465977</v>
      </c>
      <c r="E696" s="180">
        <f>(E623/E612)*SUM(C696:D696)</f>
        <v>103824.49863019693</v>
      </c>
      <c r="F696" s="180">
        <f>(F624/F612)*AE64</f>
        <v>8256.3165166276649</v>
      </c>
      <c r="G696" s="180">
        <f>(G625/G612)*AE77</f>
        <v>0</v>
      </c>
      <c r="H696" s="180">
        <f>(H628/H612)*AE60</f>
        <v>39291.6431562035</v>
      </c>
      <c r="I696" s="180">
        <f>(I629/I612)*AE78</f>
        <v>86427.058063069795</v>
      </c>
      <c r="J696" s="180">
        <f>(J630/J612)*AE79</f>
        <v>7154.6660252462334</v>
      </c>
      <c r="K696" s="180">
        <f>(K644/K612)*AE75</f>
        <v>482771.81782794028</v>
      </c>
      <c r="L696" s="180">
        <f>(L647/L612)*AE80</f>
        <v>57892.422962538258</v>
      </c>
      <c r="M696" s="180">
        <f t="shared" si="21"/>
        <v>1318588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444609</v>
      </c>
      <c r="D697" s="180">
        <f>(D615/D612)*AF76</f>
        <v>29014.47735767793</v>
      </c>
      <c r="E697" s="180">
        <f>(E623/E612)*SUM(C697:D697)</f>
        <v>8917.893078152767</v>
      </c>
      <c r="F697" s="180">
        <f>(F624/F612)*AF64</f>
        <v>6.2954783903975846</v>
      </c>
      <c r="G697" s="180">
        <f>(G625/G612)*AF77</f>
        <v>0</v>
      </c>
      <c r="H697" s="180">
        <f>(H628/H612)*AF60</f>
        <v>3263.6875124343806</v>
      </c>
      <c r="I697" s="180">
        <f>(I629/I612)*AF78</f>
        <v>4658.3391387205047</v>
      </c>
      <c r="J697" s="180">
        <f>(J630/J612)*AF79</f>
        <v>0</v>
      </c>
      <c r="K697" s="180">
        <f>(K644/K612)*AF75</f>
        <v>14133.310632092522</v>
      </c>
      <c r="L697" s="180">
        <f>(L647/L612)*AF80</f>
        <v>3391.5821426385314</v>
      </c>
      <c r="M697" s="180">
        <f t="shared" si="21"/>
        <v>63386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7218253</v>
      </c>
      <c r="D698" s="180">
        <f>(D615/D612)*AG76</f>
        <v>422882.50332422374</v>
      </c>
      <c r="E698" s="180">
        <f>(E623/E612)*SUM(C698:D698)</f>
        <v>143875.53124369582</v>
      </c>
      <c r="F698" s="180">
        <f>(F624/F612)*AG64</f>
        <v>7988.206620007687</v>
      </c>
      <c r="G698" s="180">
        <f>(G625/G612)*AG77</f>
        <v>230934.68207894496</v>
      </c>
      <c r="H698" s="180">
        <f>(H628/H612)*AG60</f>
        <v>41178.272926402555</v>
      </c>
      <c r="I698" s="180">
        <f>(I629/I612)*AG78</f>
        <v>68586.61029775723</v>
      </c>
      <c r="J698" s="180">
        <f>(J630/J612)*AG79</f>
        <v>66578.14217937467</v>
      </c>
      <c r="K698" s="180">
        <f>(K644/K612)*AG75</f>
        <v>1445895.9955906831</v>
      </c>
      <c r="L698" s="180">
        <f>(L647/L612)*AG80</f>
        <v>158744.88639849794</v>
      </c>
      <c r="M698" s="180">
        <f t="shared" si="21"/>
        <v>2586665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138604626</v>
      </c>
      <c r="D701" s="180">
        <f>(D615/D612)*AJ76</f>
        <v>6104730.1359898066</v>
      </c>
      <c r="E701" s="180">
        <f>(E623/E612)*SUM(C701:D701)</f>
        <v>2724743.656350689</v>
      </c>
      <c r="F701" s="180">
        <f>(F624/F612)*AJ64</f>
        <v>850824.99393897329</v>
      </c>
      <c r="G701" s="180">
        <f>(G625/G612)*AJ77</f>
        <v>2527.3069208416532</v>
      </c>
      <c r="H701" s="180">
        <f>(H628/H612)*AJ60</f>
        <v>529057.0916996788</v>
      </c>
      <c r="I701" s="180">
        <f>(I629/I612)*AJ78</f>
        <v>989451.05578397447</v>
      </c>
      <c r="J701" s="180">
        <f>(J630/J612)*AJ79</f>
        <v>141105.91327568961</v>
      </c>
      <c r="K701" s="180">
        <f>(K644/K612)*AJ75</f>
        <v>14757994.005005663</v>
      </c>
      <c r="L701" s="180">
        <f>(L647/L612)*AJ80</f>
        <v>1406611.5883517943</v>
      </c>
      <c r="M701" s="180">
        <f t="shared" si="21"/>
        <v>27507046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95788764</v>
      </c>
      <c r="D707" s="180">
        <f>(D615/D612)*AP76</f>
        <v>7717122.1110444553</v>
      </c>
      <c r="E707" s="180">
        <f>(E623/E612)*SUM(C707:D707)</f>
        <v>1948920.3331883526</v>
      </c>
      <c r="F707" s="180">
        <f>(F624/F612)*AP64</f>
        <v>352294.21526924201</v>
      </c>
      <c r="G707" s="180">
        <f>(G625/G612)*AP77</f>
        <v>0</v>
      </c>
      <c r="H707" s="180">
        <f>(H628/H612)*AP60</f>
        <v>499447.31707478617</v>
      </c>
      <c r="I707" s="180">
        <f>(I629/I612)*AP78</f>
        <v>1250813.6155458037</v>
      </c>
      <c r="J707" s="180">
        <f>(J630/J612)*AP79</f>
        <v>179860.35424577337</v>
      </c>
      <c r="K707" s="180">
        <f>(K644/K612)*AP75</f>
        <v>10002657.21255783</v>
      </c>
      <c r="L707" s="180">
        <f>(L647/L612)*AP80</f>
        <v>1788494.3165513857</v>
      </c>
      <c r="M707" s="180">
        <f t="shared" si="21"/>
        <v>23739609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3785699</v>
      </c>
      <c r="D711" s="180">
        <f>(D615/D612)*AT76</f>
        <v>61757.385139096121</v>
      </c>
      <c r="E711" s="180">
        <f>(E623/E612)*SUM(C711:D711)</f>
        <v>72444.053780752452</v>
      </c>
      <c r="F711" s="180">
        <f>(F624/F612)*AT64</f>
        <v>33460.738834801516</v>
      </c>
      <c r="G711" s="180">
        <f>(G625/G612)*AT77</f>
        <v>0</v>
      </c>
      <c r="H711" s="180">
        <f>(H628/H612)*AT60</f>
        <v>13060.816383403759</v>
      </c>
      <c r="I711" s="180">
        <f>(I629/I612)*AT78</f>
        <v>10010.473468314276</v>
      </c>
      <c r="J711" s="180">
        <f>(J630/J612)*AT79</f>
        <v>0</v>
      </c>
      <c r="K711" s="180">
        <f>(K644/K612)*AT75</f>
        <v>285908.60276505892</v>
      </c>
      <c r="L711" s="180">
        <f>(L647/L612)*AT80</f>
        <v>40887.406941808957</v>
      </c>
      <c r="M711" s="180">
        <f t="shared" si="21"/>
        <v>517529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13177925</v>
      </c>
      <c r="D713" s="180">
        <f>(D615/D612)*AV76</f>
        <v>602688.16300745681</v>
      </c>
      <c r="E713" s="180">
        <f>(E623/E612)*SUM(C713:D713)</f>
        <v>259476.23083362522</v>
      </c>
      <c r="F713" s="180">
        <f>(F624/F612)*AV64</f>
        <v>151969.36161770456</v>
      </c>
      <c r="G713" s="180">
        <f>(G625/G612)*AV77</f>
        <v>482.92488933280003</v>
      </c>
      <c r="H713" s="180">
        <f>(H628/H612)*AV60</f>
        <v>32060.573426051491</v>
      </c>
      <c r="I713" s="180">
        <f>(I629/I612)*AV78</f>
        <v>97726.008314434424</v>
      </c>
      <c r="J713" s="180">
        <f>(J630/J612)*AV79</f>
        <v>29016.145546831947</v>
      </c>
      <c r="K713" s="180">
        <f>(K644/K612)*AV75</f>
        <v>3192266.3264191928</v>
      </c>
      <c r="L713" s="180">
        <f>(L647/L612)*AV80</f>
        <v>130858.54433680334</v>
      </c>
      <c r="M713" s="180">
        <f t="shared" si="21"/>
        <v>4496544</v>
      </c>
      <c r="N713" s="199" t="s">
        <v>741</v>
      </c>
    </row>
    <row r="715" spans="1:83" ht="12.65" customHeight="1" x14ac:dyDescent="0.35">
      <c r="C715" s="180">
        <f>SUM(C614:C647)+SUM(C668:C713)</f>
        <v>566548995</v>
      </c>
      <c r="D715" s="180">
        <f>SUM(D616:D647)+SUM(D668:D713)</f>
        <v>32804525</v>
      </c>
      <c r="E715" s="180">
        <f>SUM(E624:E647)+SUM(E668:E713)</f>
        <v>10470445.997990938</v>
      </c>
      <c r="F715" s="180">
        <f>SUM(F625:F648)+SUM(F668:F713)</f>
        <v>2636482.9689591439</v>
      </c>
      <c r="G715" s="180">
        <f>SUM(G626:G647)+SUM(G668:G713)</f>
        <v>2537786.3909401749</v>
      </c>
      <c r="H715" s="180">
        <f>SUM(H629:H647)+SUM(H668:H713)</f>
        <v>2654239.3669897569</v>
      </c>
      <c r="I715" s="180">
        <f>SUM(I630:I647)+SUM(I668:I713)</f>
        <v>4910285.9066061974</v>
      </c>
      <c r="J715" s="180">
        <f>SUM(J631:J647)+SUM(J668:J713)</f>
        <v>1180390.7126957283</v>
      </c>
      <c r="K715" s="180">
        <f>SUM(K668:K713)</f>
        <v>61487530.062153466</v>
      </c>
      <c r="L715" s="180">
        <f>SUM(L668:L713)</f>
        <v>7218464.432223211</v>
      </c>
      <c r="M715" s="180">
        <f>SUM(M668:M713)</f>
        <v>116032044</v>
      </c>
      <c r="N715" s="198" t="s">
        <v>742</v>
      </c>
    </row>
    <row r="716" spans="1:83" ht="12.65" customHeight="1" x14ac:dyDescent="0.35">
      <c r="C716" s="180">
        <f>CE71</f>
        <v>566548995</v>
      </c>
      <c r="D716" s="180">
        <f>D615</f>
        <v>32804525</v>
      </c>
      <c r="E716" s="180">
        <f>E623</f>
        <v>10470445.997990938</v>
      </c>
      <c r="F716" s="180">
        <f>F624</f>
        <v>2636482.9689591443</v>
      </c>
      <c r="G716" s="180">
        <f>G625</f>
        <v>2537786.3909401749</v>
      </c>
      <c r="H716" s="180">
        <f>H628</f>
        <v>2654239.3669897565</v>
      </c>
      <c r="I716" s="180">
        <f>I629</f>
        <v>4910285.9066061974</v>
      </c>
      <c r="J716" s="180">
        <f>J630</f>
        <v>1180390.7126957283</v>
      </c>
      <c r="K716" s="180">
        <f>K644</f>
        <v>61487530.062153466</v>
      </c>
      <c r="L716" s="180">
        <f>L647</f>
        <v>7218464.432223212</v>
      </c>
      <c r="M716" s="180">
        <f>C648</f>
        <v>116032045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010*2021*A</v>
      </c>
      <c r="B722" s="277">
        <f>ROUND(C165,0)</f>
        <v>19530927</v>
      </c>
      <c r="C722" s="277">
        <f>ROUND(C166,0)</f>
        <v>-489019</v>
      </c>
      <c r="D722" s="277">
        <f>ROUND(C167,0)</f>
        <v>825956</v>
      </c>
      <c r="E722" s="277">
        <f>ROUND(C168,0)</f>
        <v>20588185</v>
      </c>
      <c r="F722" s="277">
        <f>ROUND(C169,0)</f>
        <v>276642</v>
      </c>
      <c r="G722" s="277">
        <f>ROUND(C170,0)</f>
        <v>12836977</v>
      </c>
      <c r="H722" s="277">
        <f>ROUND(C171+C172,0)</f>
        <v>5282346</v>
      </c>
      <c r="I722" s="277">
        <f>ROUND(C175,0)</f>
        <v>9015975</v>
      </c>
      <c r="J722" s="277">
        <f>ROUND(C176,0)</f>
        <v>3468013</v>
      </c>
      <c r="K722" s="277">
        <f>ROUND(C179,0)</f>
        <v>3645565</v>
      </c>
      <c r="L722" s="277">
        <f>ROUND(C180,0)</f>
        <v>1588246</v>
      </c>
      <c r="M722" s="277">
        <f>ROUND(C183,0)</f>
        <v>515132</v>
      </c>
      <c r="N722" s="277">
        <f>ROUND(C184,0)</f>
        <v>10876889</v>
      </c>
      <c r="O722" s="277">
        <f>ROUND(C185,0)</f>
        <v>0</v>
      </c>
      <c r="P722" s="277">
        <f>ROUND(C188,0)</f>
        <v>5833402</v>
      </c>
      <c r="Q722" s="277">
        <f>ROUND(C189,0)</f>
        <v>0</v>
      </c>
      <c r="R722" s="277">
        <f>ROUND(B195,0)</f>
        <v>40811933</v>
      </c>
      <c r="S722" s="277">
        <f>ROUND(C195,0)</f>
        <v>97710828</v>
      </c>
      <c r="T722" s="277">
        <f>ROUND(D195,0)</f>
        <v>0</v>
      </c>
      <c r="U722" s="277">
        <f>ROUND(B196,0)</f>
        <v>3302781</v>
      </c>
      <c r="V722" s="277">
        <f>ROUND(C196,0)</f>
        <v>0</v>
      </c>
      <c r="W722" s="277">
        <f>ROUND(D196,0)</f>
        <v>2965859</v>
      </c>
      <c r="X722" s="277">
        <f>ROUND(B197,0)</f>
        <v>678913179</v>
      </c>
      <c r="Y722" s="277">
        <f>ROUND(C197,0)</f>
        <v>0</v>
      </c>
      <c r="Z722" s="277">
        <f>ROUND(D197,0)</f>
        <v>365527956</v>
      </c>
      <c r="AA722" s="277">
        <f>ROUND(B198,0)</f>
        <v>44475860</v>
      </c>
      <c r="AB722" s="277">
        <f>ROUND(C198,0)</f>
        <v>0</v>
      </c>
      <c r="AC722" s="277">
        <f>ROUND(D198,0)</f>
        <v>44475860</v>
      </c>
      <c r="AD722" s="277">
        <f>ROUND(B199,0)</f>
        <v>3797270</v>
      </c>
      <c r="AE722" s="277">
        <f>ROUND(C199,0)</f>
        <v>0</v>
      </c>
      <c r="AF722" s="277">
        <f>ROUND(D199,0)</f>
        <v>350322</v>
      </c>
      <c r="AG722" s="277">
        <f>ROUND(B200,0)</f>
        <v>404220504</v>
      </c>
      <c r="AH722" s="277">
        <f>ROUND(C200,0)</f>
        <v>0</v>
      </c>
      <c r="AI722" s="277">
        <f>ROUND(D200,0)</f>
        <v>324904763</v>
      </c>
      <c r="AJ722" s="277">
        <f>ROUND(B201,0)</f>
        <v>21443009</v>
      </c>
      <c r="AK722" s="277">
        <f>ROUND(C201,0)</f>
        <v>0</v>
      </c>
      <c r="AL722" s="277">
        <f>ROUND(D201,0)</f>
        <v>15612950</v>
      </c>
      <c r="AM722" s="277">
        <f>ROUND(B202,0)</f>
        <v>27952894</v>
      </c>
      <c r="AN722" s="277">
        <f>ROUND(C202,0)</f>
        <v>292254</v>
      </c>
      <c r="AO722" s="277">
        <f>ROUND(D202,0)</f>
        <v>0</v>
      </c>
      <c r="AP722" s="277">
        <f>ROUND(B203,0)</f>
        <v>18636447</v>
      </c>
      <c r="AQ722" s="277">
        <f>ROUND(C203,0)</f>
        <v>0</v>
      </c>
      <c r="AR722" s="277">
        <f>ROUND(D203,0)</f>
        <v>4917597</v>
      </c>
      <c r="AS722" s="277"/>
      <c r="AT722" s="277"/>
      <c r="AU722" s="277"/>
      <c r="AV722" s="277">
        <f>ROUND(B209,0)</f>
        <v>1359743</v>
      </c>
      <c r="AW722" s="277">
        <f>ROUND(C209,0)</f>
        <v>8480</v>
      </c>
      <c r="AX722" s="277">
        <f>ROUND(D209,0)</f>
        <v>1352136</v>
      </c>
      <c r="AY722" s="277">
        <f>ROUND(B210,0)</f>
        <v>270477591</v>
      </c>
      <c r="AZ722" s="277">
        <f>ROUND(C210,0)</f>
        <v>6668395</v>
      </c>
      <c r="BA722" s="277">
        <f>ROUND(D210,0)</f>
        <v>270083099</v>
      </c>
      <c r="BB722" s="277">
        <f>ROUND(B211,0)</f>
        <v>38540916</v>
      </c>
      <c r="BC722" s="277">
        <f>ROUND(C211,0)</f>
        <v>0</v>
      </c>
      <c r="BD722" s="277">
        <f>ROUND(D211,0)</f>
        <v>38540916</v>
      </c>
      <c r="BE722" s="277">
        <f>ROUND(B212,0)</f>
        <v>3797270</v>
      </c>
      <c r="BF722" s="277">
        <f>ROUND(C212,0)</f>
        <v>234188</v>
      </c>
      <c r="BG722" s="277">
        <f>ROUND(D212,0)</f>
        <v>3797270</v>
      </c>
      <c r="BH722" s="277">
        <f>ROUND(B213,0)</f>
        <v>326873369</v>
      </c>
      <c r="BI722" s="277">
        <f>ROUND(C213,0)</f>
        <v>10050882</v>
      </c>
      <c r="BJ722" s="277">
        <f>ROUND(D213,0)</f>
        <v>327111106</v>
      </c>
      <c r="BK722" s="277">
        <f>ROUND(B214,0)</f>
        <v>18922511</v>
      </c>
      <c r="BL722" s="277">
        <f>ROUND(C214,0)</f>
        <v>948814</v>
      </c>
      <c r="BM722" s="277">
        <f>ROUND(D214,0)</f>
        <v>18921246</v>
      </c>
      <c r="BN722" s="277">
        <f>ROUND(B215,0)</f>
        <v>15287996</v>
      </c>
      <c r="BO722" s="277">
        <f>ROUND(C215,0)</f>
        <v>1300549</v>
      </c>
      <c r="BP722" s="277">
        <f>ROUND(D215,0)</f>
        <v>15287996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393736256</v>
      </c>
      <c r="BU722" s="277">
        <f>ROUND(C224,0)</f>
        <v>70775410</v>
      </c>
      <c r="BV722" s="277">
        <f>ROUND(C225,0)</f>
        <v>0</v>
      </c>
      <c r="BW722" s="277">
        <f>ROUND(C226,0)</f>
        <v>12496942</v>
      </c>
      <c r="BX722" s="277">
        <f>ROUND(C227,0)</f>
        <v>80044407</v>
      </c>
      <c r="BY722" s="277">
        <f>ROUND(C228,0)</f>
        <v>242540026</v>
      </c>
      <c r="BZ722" s="277">
        <f>ROUND(C231,0)</f>
        <v>0</v>
      </c>
      <c r="CA722" s="277">
        <f>ROUND(C233,0)</f>
        <v>3989164</v>
      </c>
      <c r="CB722" s="277">
        <f>ROUND(C234,0)</f>
        <v>6637054</v>
      </c>
      <c r="CC722" s="277">
        <f>ROUND(C238+C239,0)</f>
        <v>5115301</v>
      </c>
      <c r="CD722" s="277">
        <f>D221</f>
        <v>8278487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010*2021*A</v>
      </c>
      <c r="B726" s="277">
        <f>ROUND(C111,0)</f>
        <v>5644</v>
      </c>
      <c r="C726" s="277">
        <f>ROUND(C112,0)</f>
        <v>20</v>
      </c>
      <c r="D726" s="277">
        <f>ROUND(C113,0)</f>
        <v>0</v>
      </c>
      <c r="E726" s="277">
        <f>ROUND(C114,0)</f>
        <v>0</v>
      </c>
      <c r="F726" s="277">
        <f>ROUND(D111,0)</f>
        <v>32490</v>
      </c>
      <c r="G726" s="277">
        <f>ROUND(D112,0)</f>
        <v>5624</v>
      </c>
      <c r="H726" s="277">
        <f>ROUND(D113,0)</f>
        <v>0</v>
      </c>
      <c r="I726" s="277">
        <f>ROUND(D114,0)</f>
        <v>0</v>
      </c>
      <c r="J726" s="277">
        <f>ROUND(C116,0)</f>
        <v>28</v>
      </c>
      <c r="K726" s="277">
        <f>ROUND(C117,0)</f>
        <v>0</v>
      </c>
      <c r="L726" s="277">
        <f>ROUND(C118,0)</f>
        <v>209</v>
      </c>
      <c r="M726" s="277">
        <f>ROUND(C119,0)</f>
        <v>0</v>
      </c>
      <c r="N726" s="277">
        <f>ROUND(C120,0)</f>
        <v>0</v>
      </c>
      <c r="O726" s="277">
        <f>ROUND(C121,0)</f>
        <v>0</v>
      </c>
      <c r="P726" s="277">
        <f>ROUND(C122,0)</f>
        <v>0</v>
      </c>
      <c r="Q726" s="277">
        <f>ROUND(C123,0)</f>
        <v>35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371</v>
      </c>
      <c r="W726" s="277">
        <f>ROUND(C129,0)</f>
        <v>0</v>
      </c>
      <c r="X726" s="277">
        <f>ROUND(B138,0)</f>
        <v>3145</v>
      </c>
      <c r="Y726" s="277">
        <f>ROUND(B139,0)</f>
        <v>20163</v>
      </c>
      <c r="Z726" s="277">
        <f>ROUND(B140,0)</f>
        <v>0</v>
      </c>
      <c r="AA726" s="277">
        <f>ROUND(B141,0)</f>
        <v>204872744</v>
      </c>
      <c r="AB726" s="277">
        <f>ROUND(B142,0)</f>
        <v>366767806</v>
      </c>
      <c r="AC726" s="277">
        <f>ROUND(C138,0)</f>
        <v>549</v>
      </c>
      <c r="AD726" s="277">
        <f>ROUND(C139,0)</f>
        <v>4468</v>
      </c>
      <c r="AE726" s="277">
        <f>ROUND(C140,0)</f>
        <v>0</v>
      </c>
      <c r="AF726" s="277">
        <f>ROUND(C141,0)</f>
        <v>41515084</v>
      </c>
      <c r="AG726" s="277">
        <f>ROUND(C142,0)</f>
        <v>58870659</v>
      </c>
      <c r="AH726" s="277">
        <f>ROUND(D138,0)</f>
        <v>1950</v>
      </c>
      <c r="AI726" s="277">
        <f>ROUND(D139,0)</f>
        <v>7859</v>
      </c>
      <c r="AJ726" s="277">
        <f>ROUND(D140,0)</f>
        <v>0</v>
      </c>
      <c r="AK726" s="277">
        <f>ROUND(D141,0)</f>
        <v>159546076</v>
      </c>
      <c r="AL726" s="277">
        <f>ROUND(D142,0)</f>
        <v>553906235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20</v>
      </c>
      <c r="AS726" s="277">
        <f>ROUND(C145,0)</f>
        <v>5624</v>
      </c>
      <c r="AT726" s="277">
        <f>ROUND(C146,0)</f>
        <v>0</v>
      </c>
      <c r="AU726" s="277">
        <f>ROUND(C147,0)</f>
        <v>5301779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13226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010*2021*A</v>
      </c>
      <c r="B730" s="277">
        <f>ROUND(C250,0)</f>
        <v>144102275</v>
      </c>
      <c r="C730" s="277">
        <f>ROUND(C251,0)</f>
        <v>0</v>
      </c>
      <c r="D730" s="277">
        <f>ROUND(C252,0)</f>
        <v>338088666</v>
      </c>
      <c r="E730" s="277">
        <f>ROUND(C253,0)</f>
        <v>213859232</v>
      </c>
      <c r="F730" s="277">
        <f>ROUND(C254,0)</f>
        <v>0</v>
      </c>
      <c r="G730" s="277">
        <f>ROUND(C255,0)</f>
        <v>14830798</v>
      </c>
      <c r="H730" s="277">
        <f>ROUND(C256,0)</f>
        <v>0</v>
      </c>
      <c r="I730" s="277">
        <f>ROUND(C257,0)</f>
        <v>35017684</v>
      </c>
      <c r="J730" s="277">
        <f>ROUND(C258,0)</f>
        <v>6498719</v>
      </c>
      <c r="K730" s="277">
        <f>ROUND(C259,0)</f>
        <v>196</v>
      </c>
      <c r="L730" s="277">
        <f>ROUND(C262,0)</f>
        <v>0</v>
      </c>
      <c r="M730" s="277">
        <f>ROUND(C263,0)</f>
        <v>419483408</v>
      </c>
      <c r="N730" s="277">
        <f>ROUND(C264,0)</f>
        <v>0</v>
      </c>
      <c r="O730" s="277">
        <f>ROUND(C267,0)</f>
        <v>138522760</v>
      </c>
      <c r="P730" s="277">
        <f>ROUND(C268,0)</f>
        <v>336923</v>
      </c>
      <c r="Q730" s="277">
        <f>ROUND(C269,0)</f>
        <v>313385223</v>
      </c>
      <c r="R730" s="277">
        <f>ROUND(C270,0)</f>
        <v>0</v>
      </c>
      <c r="S730" s="277">
        <f>ROUND(C271,0)</f>
        <v>3446948</v>
      </c>
      <c r="T730" s="277">
        <f>ROUND(C272,0)</f>
        <v>85145800</v>
      </c>
      <c r="U730" s="277">
        <f>ROUND(C273,0)</f>
        <v>28245148</v>
      </c>
      <c r="V730" s="277">
        <f>ROUND(C274,0)</f>
        <v>13718850</v>
      </c>
      <c r="W730" s="277">
        <f>ROUND(C275,0)</f>
        <v>0</v>
      </c>
      <c r="X730" s="277">
        <f>ROUND(C276,0)</f>
        <v>19376934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130779124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41486643</v>
      </c>
      <c r="AG730" s="277">
        <f>ROUND(C304,0)</f>
        <v>0</v>
      </c>
      <c r="AH730" s="277">
        <f>ROUND(C305,0)</f>
        <v>40220988</v>
      </c>
      <c r="AI730" s="277">
        <f>ROUND(C306,0)</f>
        <v>83502022</v>
      </c>
      <c r="AJ730" s="277">
        <f>ROUND(C307,0)</f>
        <v>7348468</v>
      </c>
      <c r="AK730" s="277">
        <f>ROUND(C308,0)</f>
        <v>0</v>
      </c>
      <c r="AL730" s="277">
        <f>ROUND(C309,0)</f>
        <v>110835890</v>
      </c>
      <c r="AM730" s="277">
        <f>ROUND(C310,0)</f>
        <v>0</v>
      </c>
      <c r="AN730" s="277">
        <f>ROUND(C311,0)</f>
        <v>0</v>
      </c>
      <c r="AO730" s="277">
        <f>ROUND(C312,0)</f>
        <v>44881303</v>
      </c>
      <c r="AP730" s="277">
        <f>ROUND(C313,0)</f>
        <v>0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442637413</v>
      </c>
      <c r="AY730" s="277">
        <f>ROUND(C326,0)</f>
        <v>0</v>
      </c>
      <c r="AZ730" s="277">
        <f>ROUND(C327,0)</f>
        <v>158276031</v>
      </c>
      <c r="BA730" s="277">
        <f>ROUND(C328,0)</f>
        <v>0</v>
      </c>
      <c r="BB730" s="277">
        <f>ROUND(C332,0)</f>
        <v>592150882</v>
      </c>
      <c r="BC730" s="277"/>
      <c r="BD730" s="277"/>
      <c r="BE730" s="277">
        <f>ROUND(C337,0)</f>
        <v>0</v>
      </c>
      <c r="BF730" s="277">
        <f>ROUND(C336,0)</f>
        <v>0</v>
      </c>
      <c r="BG730" s="277"/>
      <c r="BH730" s="277"/>
      <c r="BI730" s="277">
        <f>ROUND(CE60,2)</f>
        <v>4752.32</v>
      </c>
      <c r="BJ730" s="277">
        <f>ROUND(C359,0)</f>
        <v>411248908</v>
      </c>
      <c r="BK730" s="277">
        <f>ROUND(C360,0)</f>
        <v>979544699</v>
      </c>
      <c r="BL730" s="277">
        <f>ROUND(C364,0)</f>
        <v>799593040</v>
      </c>
      <c r="BM730" s="277">
        <f>ROUND(C365,0)</f>
        <v>10626218</v>
      </c>
      <c r="BN730" s="277">
        <f>ROUND(C366,0)</f>
        <v>5115301</v>
      </c>
      <c r="BO730" s="277">
        <f>ROUND(C370,0)</f>
        <v>25453841</v>
      </c>
      <c r="BP730" s="277">
        <f>ROUND(C371,0)</f>
        <v>0</v>
      </c>
      <c r="BQ730" s="277">
        <f>ROUND(C378,0)</f>
        <v>280618062</v>
      </c>
      <c r="BR730" s="277">
        <f>ROUND(C379,0)</f>
        <v>58852014</v>
      </c>
      <c r="BS730" s="277">
        <f>ROUND(C380,0)</f>
        <v>6090848</v>
      </c>
      <c r="BT730" s="277">
        <f>ROUND(C381,0)</f>
        <v>137076717</v>
      </c>
      <c r="BU730" s="277">
        <f>ROUND(C382,0)</f>
        <v>6171902</v>
      </c>
      <c r="BV730" s="277">
        <f>ROUND(C383,0)</f>
        <v>24982114</v>
      </c>
      <c r="BW730" s="277">
        <f>ROUND(C384,0)</f>
        <v>19211307</v>
      </c>
      <c r="BX730" s="277">
        <f>ROUND(C385,0)</f>
        <v>12483988</v>
      </c>
      <c r="BY730" s="277">
        <f>ROUND(C386,0)</f>
        <v>5233812</v>
      </c>
      <c r="BZ730" s="277">
        <f>ROUND(C387,0)</f>
        <v>11392021</v>
      </c>
      <c r="CA730" s="277">
        <f>ROUND(C388,0)</f>
        <v>5833402</v>
      </c>
      <c r="CB730" s="277">
        <f>C363</f>
        <v>8278487</v>
      </c>
      <c r="CC730" s="277">
        <f>ROUND(C389,0)</f>
        <v>21544506</v>
      </c>
      <c r="CD730" s="277">
        <f>ROUND(C392,0)</f>
        <v>19877796</v>
      </c>
      <c r="CE730" s="277">
        <f>ROUND(C394,0)</f>
        <v>0</v>
      </c>
      <c r="CF730" s="201">
        <f>ROUND(C395,0)</f>
        <v>2004757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010*2021*6010*A</v>
      </c>
      <c r="B734" s="277">
        <f>ROUND(C59,0)</f>
        <v>3033</v>
      </c>
      <c r="C734" s="277">
        <f>ROUND(C60,2)</f>
        <v>85.44</v>
      </c>
      <c r="D734" s="277">
        <f>ROUND(C61,0)</f>
        <v>4854236</v>
      </c>
      <c r="E734" s="277">
        <f>ROUND(C62,0)</f>
        <v>852866</v>
      </c>
      <c r="F734" s="277">
        <f>ROUND(C63,0)</f>
        <v>0</v>
      </c>
      <c r="G734" s="277">
        <f>ROUND(C64,0)</f>
        <v>744682</v>
      </c>
      <c r="H734" s="277">
        <f>ROUND(C65,0)</f>
        <v>16810</v>
      </c>
      <c r="I734" s="277">
        <f>ROUND(C66,0)</f>
        <v>5387</v>
      </c>
      <c r="J734" s="277">
        <f>ROUND(C67,0)</f>
        <v>812371</v>
      </c>
      <c r="K734" s="277">
        <f>ROUND(C68,0)</f>
        <v>15245</v>
      </c>
      <c r="L734" s="277">
        <f>ROUND(C69,0)</f>
        <v>86379</v>
      </c>
      <c r="M734" s="277">
        <f>ROUND(C70,0)</f>
        <v>325</v>
      </c>
      <c r="N734" s="277">
        <f>ROUND(C75,0)</f>
        <v>24011887</v>
      </c>
      <c r="O734" s="277">
        <f>ROUND(C73,0)</f>
        <v>23945918</v>
      </c>
      <c r="P734" s="277">
        <f>IF(C76&gt;0,ROUND(C76,0),0)</f>
        <v>23600</v>
      </c>
      <c r="Q734" s="277">
        <f>IF(C77&gt;0,ROUND(C77,0),0)</f>
        <v>4624</v>
      </c>
      <c r="R734" s="277">
        <f>IF(C78&gt;0,ROUND(C78,0),0)</f>
        <v>1082</v>
      </c>
      <c r="S734" s="277">
        <f>IF(C79&gt;0,ROUND(C79,0),0)</f>
        <v>23000</v>
      </c>
      <c r="T734" s="277">
        <f>IF(C80&gt;0,ROUND(C80,2),0)</f>
        <v>75.319999999999993</v>
      </c>
      <c r="U734" s="277"/>
      <c r="V734" s="277"/>
      <c r="W734" s="277"/>
      <c r="X734" s="277"/>
      <c r="Y734" s="277">
        <f>IF(M668&lt;&gt;0,ROUND(M668,0),0)</f>
        <v>2500305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010*2021*6030*A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>
        <f t="shared" ref="Y735:Y779" si="22">IF(M669&lt;&gt;0,ROUND(M669,0),0)</f>
        <v>0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010*2021*6070*A</v>
      </c>
      <c r="B736" s="277">
        <f>ROUND(E59,0)</f>
        <v>29457</v>
      </c>
      <c r="C736" s="279">
        <f>ROUND(E60,2)</f>
        <v>513.75</v>
      </c>
      <c r="D736" s="277">
        <f>ROUND(E61,0)</f>
        <v>22740283</v>
      </c>
      <c r="E736" s="277">
        <f>ROUND(E62,0)</f>
        <v>4002980</v>
      </c>
      <c r="F736" s="277">
        <f>ROUND(E63,0)</f>
        <v>1275</v>
      </c>
      <c r="G736" s="277">
        <f>ROUND(E64,0)</f>
        <v>1771236</v>
      </c>
      <c r="H736" s="277">
        <f>ROUND(E65,0)</f>
        <v>100440</v>
      </c>
      <c r="I736" s="277">
        <f>ROUND(E66,0)</f>
        <v>529071</v>
      </c>
      <c r="J736" s="277">
        <f>ROUND(E67,0)</f>
        <v>1122615</v>
      </c>
      <c r="K736" s="277">
        <f>ROUND(E68,0)</f>
        <v>1318169</v>
      </c>
      <c r="L736" s="277">
        <f>ROUND(E69,0)</f>
        <v>328001</v>
      </c>
      <c r="M736" s="277">
        <f>ROUND(E70,0)</f>
        <v>1474</v>
      </c>
      <c r="N736" s="277">
        <f>ROUND(E75,0)</f>
        <v>118865127</v>
      </c>
      <c r="O736" s="277">
        <f>ROUND(E73,0)</f>
        <v>109143000</v>
      </c>
      <c r="P736" s="277">
        <f>IF(E76&gt;0,ROUND(E76,0),0)</f>
        <v>123159</v>
      </c>
      <c r="Q736" s="277">
        <f>IF(E77&gt;0,ROUND(E77,0),0)</f>
        <v>138195</v>
      </c>
      <c r="R736" s="277">
        <f>IF(E78&gt;0,ROUND(E78,0),0)</f>
        <v>5646</v>
      </c>
      <c r="S736" s="277">
        <f>IF(E79&gt;0,ROUND(E79,0),0)</f>
        <v>191000</v>
      </c>
      <c r="T736" s="279">
        <f>IF(E80&gt;0,ROUND(E80,2),0)</f>
        <v>453.67</v>
      </c>
      <c r="U736" s="277"/>
      <c r="V736" s="278"/>
      <c r="W736" s="277"/>
      <c r="X736" s="277"/>
      <c r="Y736" s="277">
        <f t="shared" si="22"/>
        <v>14830502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010*2021*6100*A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>
        <f t="shared" si="22"/>
        <v>0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010*2021*6120*A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>
        <f t="shared" si="22"/>
        <v>0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010*2021*6140*A</v>
      </c>
      <c r="B739" s="277">
        <f>ROUND(H59,0)</f>
        <v>0</v>
      </c>
      <c r="C739" s="279">
        <f>ROUND(H60,2)</f>
        <v>0</v>
      </c>
      <c r="D739" s="277">
        <f>ROUND(H61,0)</f>
        <v>0</v>
      </c>
      <c r="E739" s="277">
        <f>ROUND(H62,0)</f>
        <v>0</v>
      </c>
      <c r="F739" s="277">
        <f>ROUND(H63,0)</f>
        <v>0</v>
      </c>
      <c r="G739" s="277">
        <f>ROUND(H64,0)</f>
        <v>0</v>
      </c>
      <c r="H739" s="277">
        <f>ROUND(H65,0)</f>
        <v>0</v>
      </c>
      <c r="I739" s="277">
        <f>ROUND(H66,0)</f>
        <v>0</v>
      </c>
      <c r="J739" s="277">
        <f>ROUND(H67,0)</f>
        <v>0</v>
      </c>
      <c r="K739" s="277">
        <f>ROUND(H68,0)</f>
        <v>0</v>
      </c>
      <c r="L739" s="277">
        <f>ROUND(H69,0)</f>
        <v>0</v>
      </c>
      <c r="M739" s="277">
        <f>ROUND(H70,0)</f>
        <v>0</v>
      </c>
      <c r="N739" s="277">
        <f>ROUND(H75,0)</f>
        <v>0</v>
      </c>
      <c r="O739" s="277">
        <f>ROUND(H73,0)</f>
        <v>0</v>
      </c>
      <c r="P739" s="277">
        <f>IF(H76&gt;0,ROUND(H76,0),0)</f>
        <v>0</v>
      </c>
      <c r="Q739" s="277">
        <f>IF(H77&gt;0,ROUND(H77,0),0)</f>
        <v>0</v>
      </c>
      <c r="R739" s="277">
        <f>IF(H78&gt;0,ROUND(H78,0),0)</f>
        <v>0</v>
      </c>
      <c r="S739" s="277">
        <f>IF(H79&gt;0,ROUND(H79,0),0)</f>
        <v>0</v>
      </c>
      <c r="T739" s="279">
        <f>IF(H80&gt;0,ROUND(H80,2),0)</f>
        <v>0</v>
      </c>
      <c r="U739" s="277"/>
      <c r="V739" s="278"/>
      <c r="W739" s="277"/>
      <c r="X739" s="277"/>
      <c r="Y739" s="277">
        <f t="shared" si="22"/>
        <v>0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010*2021*6150*A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>
        <f t="shared" si="22"/>
        <v>0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010*2021*6170*A</v>
      </c>
      <c r="B741" s="277">
        <f>ROUND(J59,0)</f>
        <v>0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0</v>
      </c>
      <c r="O741" s="277">
        <f>ROUND(J73,0)</f>
        <v>0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>
        <f t="shared" si="22"/>
        <v>0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010*2021*6200*A</v>
      </c>
      <c r="B742" s="277">
        <f>ROUND(K59,0)</f>
        <v>5624</v>
      </c>
      <c r="C742" s="279">
        <f>ROUND(K60,2)</f>
        <v>120.93</v>
      </c>
      <c r="D742" s="277">
        <f>ROUND(K61,0)</f>
        <v>4687226</v>
      </c>
      <c r="E742" s="277">
        <f>ROUND(K62,0)</f>
        <v>940774</v>
      </c>
      <c r="F742" s="277">
        <f>ROUND(K63,0)</f>
        <v>183</v>
      </c>
      <c r="G742" s="277">
        <f>ROUND(K64,0)</f>
        <v>395614</v>
      </c>
      <c r="H742" s="277">
        <f>ROUND(K65,0)</f>
        <v>161846</v>
      </c>
      <c r="I742" s="277">
        <f>ROUND(K66,0)</f>
        <v>283344</v>
      </c>
      <c r="J742" s="277">
        <f>ROUND(K67,0)</f>
        <v>132968</v>
      </c>
      <c r="K742" s="277">
        <f>ROUND(K68,0)</f>
        <v>379847</v>
      </c>
      <c r="L742" s="277">
        <f>ROUND(K69,0)</f>
        <v>275374</v>
      </c>
      <c r="M742" s="277">
        <f>ROUND(K70,0)</f>
        <v>2601520</v>
      </c>
      <c r="N742" s="277">
        <f>ROUND(K75,0)</f>
        <v>5315004</v>
      </c>
      <c r="O742" s="277">
        <f>ROUND(K73,0)</f>
        <v>5315004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450</v>
      </c>
      <c r="T742" s="279">
        <f>IF(K80&gt;0,ROUND(K80,2),0)</f>
        <v>68.680000000000007</v>
      </c>
      <c r="U742" s="277"/>
      <c r="V742" s="278"/>
      <c r="W742" s="277"/>
      <c r="X742" s="277"/>
      <c r="Y742" s="277">
        <f t="shared" si="22"/>
        <v>727630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010*2021*6210*A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>
        <f t="shared" si="22"/>
        <v>0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010*2021*6330*A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>
        <f t="shared" si="22"/>
        <v>0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010*2021*6400*A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2949</v>
      </c>
      <c r="H745" s="277">
        <f>ROUND(N65,0)</f>
        <v>6</v>
      </c>
      <c r="I745" s="277">
        <f>ROUND(N66,0)</f>
        <v>0</v>
      </c>
      <c r="J745" s="277">
        <f>ROUND(N67,0)</f>
        <v>0</v>
      </c>
      <c r="K745" s="277">
        <f>ROUND(N68,0)</f>
        <v>176</v>
      </c>
      <c r="L745" s="277">
        <f>ROUND(N69,0)</f>
        <v>-5165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89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>
        <f t="shared" si="22"/>
        <v>1452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010*2021*7010*A</v>
      </c>
      <c r="B746" s="277">
        <f>ROUND(O59,0)</f>
        <v>0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0</v>
      </c>
      <c r="H746" s="277">
        <f>ROUND(O65,0)</f>
        <v>0</v>
      </c>
      <c r="I746" s="277">
        <f>ROUND(O66,0)</f>
        <v>0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0</v>
      </c>
      <c r="O746" s="277">
        <f>ROUND(O73,0)</f>
        <v>0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>
        <f t="shared" si="22"/>
        <v>0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010*2021*7020*A</v>
      </c>
      <c r="B747" s="277">
        <f>ROUND(P59,0)</f>
        <v>1030651</v>
      </c>
      <c r="C747" s="279">
        <f>ROUND(P60,2)</f>
        <v>143.72999999999999</v>
      </c>
      <c r="D747" s="277">
        <f>ROUND(P61,0)</f>
        <v>7115428</v>
      </c>
      <c r="E747" s="277">
        <f>ROUND(P62,0)</f>
        <v>1249374</v>
      </c>
      <c r="F747" s="277">
        <f>ROUND(P63,0)</f>
        <v>1177809</v>
      </c>
      <c r="G747" s="277">
        <f>ROUND(P64,0)</f>
        <v>20678411</v>
      </c>
      <c r="H747" s="277">
        <f>ROUND(P65,0)</f>
        <v>52251</v>
      </c>
      <c r="I747" s="277">
        <f>ROUND(P66,0)</f>
        <v>447638</v>
      </c>
      <c r="J747" s="277">
        <f>ROUND(P67,0)</f>
        <v>1950091</v>
      </c>
      <c r="K747" s="277">
        <f>ROUND(P68,0)</f>
        <v>205613</v>
      </c>
      <c r="L747" s="277">
        <f>ROUND(P69,0)</f>
        <v>1340021</v>
      </c>
      <c r="M747" s="277">
        <f>ROUND(P70,0)</f>
        <v>790</v>
      </c>
      <c r="N747" s="277">
        <f>ROUND(P75,0)</f>
        <v>219127866</v>
      </c>
      <c r="O747" s="277">
        <f>ROUND(P73,0)</f>
        <v>117209186</v>
      </c>
      <c r="P747" s="277">
        <f>IF(P76&gt;0,ROUND(P76,0),0)</f>
        <v>47181</v>
      </c>
      <c r="Q747" s="277">
        <f>IF(P77&gt;0,ROUND(P77,0),0)</f>
        <v>0</v>
      </c>
      <c r="R747" s="277">
        <f>IF(P78&gt;0,ROUND(P78,0),0)</f>
        <v>2163</v>
      </c>
      <c r="S747" s="277">
        <f>IF(P79&gt;0,ROUND(P79,0),0)</f>
        <v>256000</v>
      </c>
      <c r="T747" s="279">
        <f>IF(P80&gt;0,ROUND(P80,2),0)</f>
        <v>53.58</v>
      </c>
      <c r="U747" s="277"/>
      <c r="V747" s="278"/>
      <c r="W747" s="277"/>
      <c r="X747" s="277"/>
      <c r="Y747" s="277">
        <f t="shared" si="22"/>
        <v>12888433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010*2021*7030*A</v>
      </c>
      <c r="B748" s="277">
        <f>ROUND(Q59,0)</f>
        <v>1006817</v>
      </c>
      <c r="C748" s="279">
        <f>ROUND(Q60,2)</f>
        <v>74.180000000000007</v>
      </c>
      <c r="D748" s="277">
        <f>ROUND(Q61,0)</f>
        <v>3763127</v>
      </c>
      <c r="E748" s="277">
        <f>ROUND(Q62,0)</f>
        <v>664485</v>
      </c>
      <c r="F748" s="277">
        <f>ROUND(Q63,0)</f>
        <v>0</v>
      </c>
      <c r="G748" s="277">
        <f>ROUND(Q64,0)</f>
        <v>526687</v>
      </c>
      <c r="H748" s="277">
        <f>ROUND(Q65,0)</f>
        <v>18659</v>
      </c>
      <c r="I748" s="277">
        <f>ROUND(Q66,0)</f>
        <v>44181</v>
      </c>
      <c r="J748" s="277">
        <f>ROUND(Q67,0)</f>
        <v>359098</v>
      </c>
      <c r="K748" s="277">
        <f>ROUND(Q68,0)</f>
        <v>96039</v>
      </c>
      <c r="L748" s="277">
        <f>ROUND(Q69,0)</f>
        <v>88354</v>
      </c>
      <c r="M748" s="277">
        <f>ROUND(Q70,0)</f>
        <v>0</v>
      </c>
      <c r="N748" s="277">
        <f>ROUND(Q75,0)</f>
        <v>14180361</v>
      </c>
      <c r="O748" s="277">
        <f>ROUND(Q73,0)</f>
        <v>4656190</v>
      </c>
      <c r="P748" s="277">
        <f>IF(Q76&gt;0,ROUND(Q76,0),0)</f>
        <v>28232</v>
      </c>
      <c r="Q748" s="277">
        <f>IF(Q77&gt;0,ROUND(Q77,0),0)</f>
        <v>207</v>
      </c>
      <c r="R748" s="277">
        <f>IF(Q78&gt;0,ROUND(Q78,0),0)</f>
        <v>1294</v>
      </c>
      <c r="S748" s="277">
        <f>IF(Q79&gt;0,ROUND(Q79,0),0)</f>
        <v>8300</v>
      </c>
      <c r="T748" s="279">
        <f>IF(Q80&gt;0,ROUND(Q80,2),0)</f>
        <v>69.260000000000005</v>
      </c>
      <c r="U748" s="277"/>
      <c r="V748" s="278"/>
      <c r="W748" s="277"/>
      <c r="X748" s="277"/>
      <c r="Y748" s="277">
        <f t="shared" si="22"/>
        <v>2059246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010*2021*7040*A</v>
      </c>
      <c r="B749" s="277">
        <f>ROUND(R59,0)</f>
        <v>1139388</v>
      </c>
      <c r="C749" s="279">
        <f>ROUND(R60,2)</f>
        <v>80.36</v>
      </c>
      <c r="D749" s="277">
        <f>ROUND(R61,0)</f>
        <v>10086798</v>
      </c>
      <c r="E749" s="277">
        <f>ROUND(R62,0)</f>
        <v>2814343</v>
      </c>
      <c r="F749" s="277">
        <f>ROUND(R63,0)</f>
        <v>0</v>
      </c>
      <c r="G749" s="277">
        <f>ROUND(R64,0)</f>
        <v>1482303</v>
      </c>
      <c r="H749" s="277">
        <f>ROUND(R65,0)</f>
        <v>18079</v>
      </c>
      <c r="I749" s="277">
        <f>ROUND(R66,0)</f>
        <v>10044</v>
      </c>
      <c r="J749" s="277">
        <f>ROUND(R67,0)</f>
        <v>196159</v>
      </c>
      <c r="K749" s="277">
        <f>ROUND(R68,0)</f>
        <v>18535</v>
      </c>
      <c r="L749" s="277">
        <f>ROUND(R69,0)</f>
        <v>336088</v>
      </c>
      <c r="M749" s="277">
        <f>ROUND(R70,0)</f>
        <v>779</v>
      </c>
      <c r="N749" s="277">
        <f>ROUND(R75,0)</f>
        <v>36744272</v>
      </c>
      <c r="O749" s="277">
        <f>ROUND(R73,0)</f>
        <v>4155485</v>
      </c>
      <c r="P749" s="277">
        <f>IF(R76&gt;0,ROUND(R76,0),0)</f>
        <v>18914</v>
      </c>
      <c r="Q749" s="277">
        <f>IF(R77&gt;0,ROUND(R77,0),0)</f>
        <v>0</v>
      </c>
      <c r="R749" s="277">
        <f>IF(R78&gt;0,ROUND(R78,0),0)</f>
        <v>867</v>
      </c>
      <c r="S749" s="277">
        <f>IF(R79&gt;0,ROUND(R79,0),0)</f>
        <v>18000</v>
      </c>
      <c r="T749" s="279">
        <f>IF(R80&gt;0,ROUND(R80,2),0)</f>
        <v>5.9</v>
      </c>
      <c r="U749" s="277"/>
      <c r="V749" s="278"/>
      <c r="W749" s="277"/>
      <c r="X749" s="277"/>
      <c r="Y749" s="277">
        <f t="shared" si="22"/>
        <v>2655469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010*2021*7050*A</v>
      </c>
      <c r="B750" s="277"/>
      <c r="C750" s="279">
        <f>ROUND(S60,2)</f>
        <v>122.75</v>
      </c>
      <c r="D750" s="277">
        <f>ROUND(S61,0)</f>
        <v>3503035</v>
      </c>
      <c r="E750" s="277">
        <f>ROUND(S62,0)</f>
        <v>615540</v>
      </c>
      <c r="F750" s="277">
        <f>ROUND(S63,0)</f>
        <v>0</v>
      </c>
      <c r="G750" s="277">
        <f>ROUND(S64,0)</f>
        <v>246458</v>
      </c>
      <c r="H750" s="277">
        <f>ROUND(S65,0)</f>
        <v>13266</v>
      </c>
      <c r="I750" s="277">
        <f>ROUND(S66,0)</f>
        <v>30341</v>
      </c>
      <c r="J750" s="277">
        <f>ROUND(S67,0)</f>
        <v>155256</v>
      </c>
      <c r="K750" s="277">
        <f>ROUND(S68,0)</f>
        <v>5624</v>
      </c>
      <c r="L750" s="277">
        <f>ROUND(S69,0)</f>
        <v>391132</v>
      </c>
      <c r="M750" s="277">
        <f>ROUND(S70,0)</f>
        <v>1075</v>
      </c>
      <c r="N750" s="277">
        <f>ROUND(S75,0)</f>
        <v>0</v>
      </c>
      <c r="O750" s="277">
        <f>ROUND(S73,0)</f>
        <v>0</v>
      </c>
      <c r="P750" s="277">
        <f>IF(S76&gt;0,ROUND(S76,0),0)</f>
        <v>17954</v>
      </c>
      <c r="Q750" s="277">
        <f>IF(S77&gt;0,ROUND(S77,0),0)</f>
        <v>0</v>
      </c>
      <c r="R750" s="277">
        <f>IF(S78&gt;0,ROUND(S78,0),0)</f>
        <v>823</v>
      </c>
      <c r="S750" s="277">
        <f>IF(S79&gt;0,ROUND(S79,0),0)</f>
        <v>0</v>
      </c>
      <c r="T750" s="279">
        <f>IF(S80&gt;0,ROUND(S80,2),0)</f>
        <v>0.01</v>
      </c>
      <c r="U750" s="277"/>
      <c r="V750" s="278"/>
      <c r="W750" s="277"/>
      <c r="X750" s="277"/>
      <c r="Y750" s="277">
        <f t="shared" si="22"/>
        <v>767027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010*2021*7060*A</v>
      </c>
      <c r="B751" s="277"/>
      <c r="C751" s="279">
        <f>ROUND(T60,2)</f>
        <v>16.75</v>
      </c>
      <c r="D751" s="277">
        <f>ROUND(T61,0)</f>
        <v>1013155</v>
      </c>
      <c r="E751" s="277">
        <f>ROUND(T62,0)</f>
        <v>177896</v>
      </c>
      <c r="F751" s="277">
        <f>ROUND(T63,0)</f>
        <v>0</v>
      </c>
      <c r="G751" s="277">
        <f>ROUND(T64,0)</f>
        <v>303435</v>
      </c>
      <c r="H751" s="277">
        <f>ROUND(T65,0)</f>
        <v>2042</v>
      </c>
      <c r="I751" s="277">
        <f>ROUND(T66,0)</f>
        <v>827</v>
      </c>
      <c r="J751" s="277">
        <f>ROUND(T67,0)</f>
        <v>14247</v>
      </c>
      <c r="K751" s="277">
        <f>ROUND(T68,0)</f>
        <v>0</v>
      </c>
      <c r="L751" s="277">
        <f>ROUND(T69,0)</f>
        <v>2475</v>
      </c>
      <c r="M751" s="277">
        <f>ROUND(T70,0)</f>
        <v>0</v>
      </c>
      <c r="N751" s="277">
        <f>ROUND(T75,0)</f>
        <v>2111572</v>
      </c>
      <c r="O751" s="277">
        <f>ROUND(T73,0)</f>
        <v>1769042</v>
      </c>
      <c r="P751" s="277">
        <f>IF(T76&gt;0,ROUND(T76,0),0)</f>
        <v>923</v>
      </c>
      <c r="Q751" s="277">
        <f>IF(T77&gt;0,ROUND(T77,0),0)</f>
        <v>0</v>
      </c>
      <c r="R751" s="277">
        <f>IF(T78&gt;0,ROUND(T78,0),0)</f>
        <v>42</v>
      </c>
      <c r="S751" s="277">
        <f>IF(T79&gt;0,ROUND(T79,0),0)</f>
        <v>400</v>
      </c>
      <c r="T751" s="279">
        <f>IF(T80&gt;0,ROUND(T80,2),0)</f>
        <v>16.13</v>
      </c>
      <c r="U751" s="277"/>
      <c r="V751" s="278"/>
      <c r="W751" s="277"/>
      <c r="X751" s="277"/>
      <c r="Y751" s="277">
        <f t="shared" si="22"/>
        <v>244804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010*2021*7070*A</v>
      </c>
      <c r="B752" s="277">
        <f>ROUND(U59,0)</f>
        <v>1240268</v>
      </c>
      <c r="C752" s="279">
        <f>ROUND(U60,2)</f>
        <v>192.13</v>
      </c>
      <c r="D752" s="277">
        <f>ROUND(U61,0)</f>
        <v>9579650</v>
      </c>
      <c r="E752" s="277">
        <f>ROUND(U62,0)</f>
        <v>2190724</v>
      </c>
      <c r="F752" s="277">
        <f>ROUND(U63,0)</f>
        <v>11453</v>
      </c>
      <c r="G752" s="277">
        <f>ROUND(U64,0)</f>
        <v>8058961</v>
      </c>
      <c r="H752" s="277">
        <f>ROUND(U65,0)</f>
        <v>64136</v>
      </c>
      <c r="I752" s="277">
        <f>ROUND(U66,0)</f>
        <v>2736428</v>
      </c>
      <c r="J752" s="277">
        <f>ROUND(U67,0)</f>
        <v>257872</v>
      </c>
      <c r="K752" s="277">
        <f>ROUND(U68,0)</f>
        <v>314137</v>
      </c>
      <c r="L752" s="277">
        <f>ROUND(U69,0)</f>
        <v>698225</v>
      </c>
      <c r="M752" s="277">
        <f>ROUND(U70,0)</f>
        <v>6481</v>
      </c>
      <c r="N752" s="277">
        <f>ROUND(U75,0)</f>
        <v>98679161</v>
      </c>
      <c r="O752" s="277">
        <f>ROUND(U73,0)</f>
        <v>23229251</v>
      </c>
      <c r="P752" s="277">
        <f>IF(U76&gt;0,ROUND(U76,0),0)</f>
        <v>29747</v>
      </c>
      <c r="Q752" s="277">
        <f>IF(U77&gt;0,ROUND(U77,0),0)</f>
        <v>0</v>
      </c>
      <c r="R752" s="277">
        <f>IF(U78&gt;0,ROUND(U78,0),0)</f>
        <v>1364</v>
      </c>
      <c r="S752" s="277">
        <f>IF(U79&gt;0,ROUND(U79,0),0)</f>
        <v>23500</v>
      </c>
      <c r="T752" s="279">
        <f>IF(U80&gt;0,ROUND(U80,2),0)</f>
        <v>12.2</v>
      </c>
      <c r="U752" s="277"/>
      <c r="V752" s="278"/>
      <c r="W752" s="277"/>
      <c r="X752" s="277"/>
      <c r="Y752" s="277">
        <f t="shared" si="22"/>
        <v>6151036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010*2021*7110*A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>
        <f t="shared" si="22"/>
        <v>0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010*2021*7120*A</v>
      </c>
      <c r="B754" s="277">
        <f>ROUND(W59,0)</f>
        <v>47352</v>
      </c>
      <c r="C754" s="279">
        <f>ROUND(W60,2)</f>
        <v>10.3</v>
      </c>
      <c r="D754" s="277">
        <f>ROUND(W61,0)</f>
        <v>971454</v>
      </c>
      <c r="E754" s="277">
        <f>ROUND(W62,0)</f>
        <v>266382</v>
      </c>
      <c r="F754" s="277">
        <f>ROUND(W63,0)</f>
        <v>0</v>
      </c>
      <c r="G754" s="277">
        <f>ROUND(W64,0)</f>
        <v>152780</v>
      </c>
      <c r="H754" s="277">
        <f>ROUND(W65,0)</f>
        <v>14270</v>
      </c>
      <c r="I754" s="277">
        <f>ROUND(W66,0)</f>
        <v>88863</v>
      </c>
      <c r="J754" s="277">
        <f>ROUND(W67,0)</f>
        <v>329359</v>
      </c>
      <c r="K754" s="277">
        <f>ROUND(W68,0)</f>
        <v>-1048</v>
      </c>
      <c r="L754" s="277">
        <f>ROUND(W69,0)</f>
        <v>174844</v>
      </c>
      <c r="M754" s="277">
        <f>ROUND(W70,0)</f>
        <v>0</v>
      </c>
      <c r="N754" s="277">
        <f>ROUND(W75,0)</f>
        <v>15913804</v>
      </c>
      <c r="O754" s="277">
        <f>ROUND(W73,0)</f>
        <v>2069807</v>
      </c>
      <c r="P754" s="277">
        <f>IF(W76&gt;0,ROUND(W76,0),0)</f>
        <v>6687</v>
      </c>
      <c r="Q754" s="277">
        <f>IF(W77&gt;0,ROUND(W77,0),0)</f>
        <v>0</v>
      </c>
      <c r="R754" s="277">
        <f>IF(W78&gt;0,ROUND(W78,0),0)</f>
        <v>307</v>
      </c>
      <c r="S754" s="277">
        <f>IF(W79&gt;0,ROUND(W79,0),0)</f>
        <v>4000</v>
      </c>
      <c r="T754" s="279">
        <f>IF(W80&gt;0,ROUND(W80,2),0)</f>
        <v>0</v>
      </c>
      <c r="U754" s="277"/>
      <c r="V754" s="278"/>
      <c r="W754" s="277"/>
      <c r="X754" s="277"/>
      <c r="Y754" s="277">
        <f t="shared" si="22"/>
        <v>975754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010*2021*7130*A</v>
      </c>
      <c r="B755" s="277">
        <f>ROUND(X59,0)</f>
        <v>83033</v>
      </c>
      <c r="C755" s="279">
        <f>ROUND(X60,2)</f>
        <v>18.149999999999999</v>
      </c>
      <c r="D755" s="277">
        <f>ROUND(X61,0)</f>
        <v>1822542</v>
      </c>
      <c r="E755" s="277">
        <f>ROUND(X62,0)</f>
        <v>520549</v>
      </c>
      <c r="F755" s="277">
        <f>ROUND(X63,0)</f>
        <v>0</v>
      </c>
      <c r="G755" s="277">
        <f>ROUND(X64,0)</f>
        <v>392775</v>
      </c>
      <c r="H755" s="277">
        <f>ROUND(X65,0)</f>
        <v>5802</v>
      </c>
      <c r="I755" s="277">
        <f>ROUND(X66,0)</f>
        <v>32066</v>
      </c>
      <c r="J755" s="277">
        <f>ROUND(X67,0)</f>
        <v>272589</v>
      </c>
      <c r="K755" s="277">
        <f>ROUND(X68,0)</f>
        <v>404</v>
      </c>
      <c r="L755" s="277">
        <f>ROUND(X69,0)</f>
        <v>192099</v>
      </c>
      <c r="M755" s="277">
        <f>ROUND(X70,0)</f>
        <v>0</v>
      </c>
      <c r="N755" s="277">
        <f>ROUND(X75,0)</f>
        <v>32371875</v>
      </c>
      <c r="O755" s="277">
        <f>ROUND(X73,0)</f>
        <v>8024475</v>
      </c>
      <c r="P755" s="277">
        <f>IF(X76&gt;0,ROUND(X76,0),0)</f>
        <v>4017</v>
      </c>
      <c r="Q755" s="277">
        <f>IF(X77&gt;0,ROUND(X77,0),0)</f>
        <v>0</v>
      </c>
      <c r="R755" s="277">
        <f>IF(X78&gt;0,ROUND(X78,0),0)</f>
        <v>184</v>
      </c>
      <c r="S755" s="277">
        <f>IF(X79&gt;0,ROUND(X79,0),0)</f>
        <v>43000</v>
      </c>
      <c r="T755" s="279">
        <f>IF(X80&gt;0,ROUND(X80,2),0)</f>
        <v>0</v>
      </c>
      <c r="U755" s="277"/>
      <c r="V755" s="278"/>
      <c r="W755" s="277"/>
      <c r="X755" s="277"/>
      <c r="Y755" s="277">
        <f t="shared" si="22"/>
        <v>1686472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010*2021*7140*A</v>
      </c>
      <c r="B756" s="277">
        <f>ROUND(Y59,0)</f>
        <v>82589</v>
      </c>
      <c r="C756" s="279">
        <f>ROUND(Y60,2)</f>
        <v>108.38</v>
      </c>
      <c r="D756" s="277">
        <f>ROUND(Y61,0)</f>
        <v>6769925</v>
      </c>
      <c r="E756" s="277">
        <f>ROUND(Y62,0)</f>
        <v>1504545</v>
      </c>
      <c r="F756" s="277">
        <f>ROUND(Y63,0)</f>
        <v>21162</v>
      </c>
      <c r="G756" s="277">
        <f>ROUND(Y64,0)</f>
        <v>3101252</v>
      </c>
      <c r="H756" s="277">
        <f>ROUND(Y65,0)</f>
        <v>31289</v>
      </c>
      <c r="I756" s="277">
        <f>ROUND(Y66,0)</f>
        <v>44659</v>
      </c>
      <c r="J756" s="277">
        <f>ROUND(Y67,0)</f>
        <v>1830296</v>
      </c>
      <c r="K756" s="277">
        <f>ROUND(Y68,0)</f>
        <v>2408</v>
      </c>
      <c r="L756" s="277">
        <f>ROUND(Y69,0)</f>
        <v>1454530</v>
      </c>
      <c r="M756" s="277">
        <f>ROUND(Y70,0)</f>
        <v>14888</v>
      </c>
      <c r="N756" s="277">
        <f>ROUND(Y75,0)</f>
        <v>55485878</v>
      </c>
      <c r="O756" s="277">
        <f>ROUND(Y73,0)</f>
        <v>18799224</v>
      </c>
      <c r="P756" s="277">
        <f>IF(Y76&gt;0,ROUND(Y76,0),0)</f>
        <v>34405</v>
      </c>
      <c r="Q756" s="277">
        <f>IF(Y77&gt;0,ROUND(Y77,0),0)</f>
        <v>3</v>
      </c>
      <c r="R756" s="277">
        <f>IF(Y78&gt;0,ROUND(Y78,0),0)</f>
        <v>1577</v>
      </c>
      <c r="S756" s="277">
        <f>IF(Y79&gt;0,ROUND(Y79,0),0)</f>
        <v>157000</v>
      </c>
      <c r="T756" s="279">
        <f>IF(Y80&gt;0,ROUND(Y80,2),0)</f>
        <v>11.54</v>
      </c>
      <c r="U756" s="277"/>
      <c r="V756" s="278"/>
      <c r="W756" s="277"/>
      <c r="X756" s="277"/>
      <c r="Y756" s="277">
        <f t="shared" si="22"/>
        <v>4205879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010*2021*7150*A</v>
      </c>
      <c r="B757" s="277">
        <f>ROUND(Z59,0)</f>
        <v>193797</v>
      </c>
      <c r="C757" s="279">
        <f>ROUND(Z60,2)</f>
        <v>37.119999999999997</v>
      </c>
      <c r="D757" s="277">
        <f>ROUND(Z61,0)</f>
        <v>3267171</v>
      </c>
      <c r="E757" s="277">
        <f>ROUND(Z62,0)</f>
        <v>884060</v>
      </c>
      <c r="F757" s="277">
        <f>ROUND(Z63,0)</f>
        <v>92833</v>
      </c>
      <c r="G757" s="277">
        <f>ROUND(Z64,0)</f>
        <v>131445</v>
      </c>
      <c r="H757" s="277">
        <f>ROUND(Z65,0)</f>
        <v>18109</v>
      </c>
      <c r="I757" s="277">
        <f>ROUND(Z66,0)</f>
        <v>313036</v>
      </c>
      <c r="J757" s="277">
        <f>ROUND(Z67,0)</f>
        <v>234769</v>
      </c>
      <c r="K757" s="277">
        <f>ROUND(Z68,0)</f>
        <v>0</v>
      </c>
      <c r="L757" s="277">
        <f>ROUND(Z69,0)</f>
        <v>167955</v>
      </c>
      <c r="M757" s="277">
        <f>ROUND(Z70,0)</f>
        <v>1029693</v>
      </c>
      <c r="N757" s="277">
        <f>ROUND(Z75,0)</f>
        <v>16598902</v>
      </c>
      <c r="O757" s="277">
        <f>ROUND(Z73,0)</f>
        <v>658925</v>
      </c>
      <c r="P757" s="277">
        <f>IF(Z76&gt;0,ROUND(Z76,0),0)</f>
        <v>11308</v>
      </c>
      <c r="Q757" s="277">
        <f>IF(Z77&gt;0,ROUND(Z77,0),0)</f>
        <v>0</v>
      </c>
      <c r="R757" s="277">
        <f>IF(Z78&gt;0,ROUND(Z78,0),0)</f>
        <v>518</v>
      </c>
      <c r="S757" s="277">
        <f>IF(Z79&gt;0,ROUND(Z79,0),0)</f>
        <v>13200</v>
      </c>
      <c r="T757" s="279">
        <f>IF(Z80&gt;0,ROUND(Z80,2),0)</f>
        <v>4.66</v>
      </c>
      <c r="U757" s="277"/>
      <c r="V757" s="278"/>
      <c r="W757" s="277"/>
      <c r="X757" s="277"/>
      <c r="Y757" s="277">
        <f t="shared" si="22"/>
        <v>1245103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010*2021*7160*A</v>
      </c>
      <c r="B758" s="277">
        <f>ROUND(AA59,0)</f>
        <v>11808</v>
      </c>
      <c r="C758" s="279">
        <f>ROUND(AA60,2)</f>
        <v>7.41</v>
      </c>
      <c r="D758" s="277">
        <f>ROUND(AA61,0)</f>
        <v>557335</v>
      </c>
      <c r="E758" s="277">
        <f>ROUND(AA62,0)</f>
        <v>131445</v>
      </c>
      <c r="F758" s="277">
        <f>ROUND(AA63,0)</f>
        <v>0</v>
      </c>
      <c r="G758" s="277">
        <f>ROUND(AA64,0)</f>
        <v>3474835</v>
      </c>
      <c r="H758" s="277">
        <f>ROUND(AA65,0)</f>
        <v>2699</v>
      </c>
      <c r="I758" s="277">
        <f>ROUND(AA66,0)</f>
        <v>7635</v>
      </c>
      <c r="J758" s="277">
        <f>ROUND(AA67,0)</f>
        <v>53917</v>
      </c>
      <c r="K758" s="277">
        <f>ROUND(AA68,0)</f>
        <v>165</v>
      </c>
      <c r="L758" s="277">
        <f>ROUND(AA69,0)</f>
        <v>83660</v>
      </c>
      <c r="M758" s="277">
        <f>ROUND(AA70,0)</f>
        <v>0</v>
      </c>
      <c r="N758" s="277">
        <f>ROUND(AA75,0)</f>
        <v>18346218</v>
      </c>
      <c r="O758" s="277">
        <f>ROUND(AA73,0)</f>
        <v>528276</v>
      </c>
      <c r="P758" s="277">
        <f>IF(AA76&gt;0,ROUND(AA76,0),0)</f>
        <v>6073</v>
      </c>
      <c r="Q758" s="277">
        <f>IF(AA77&gt;0,ROUND(AA77,0),0)</f>
        <v>0</v>
      </c>
      <c r="R758" s="277">
        <f>IF(AA78&gt;0,ROUND(AA78,0),0)</f>
        <v>278</v>
      </c>
      <c r="S758" s="277">
        <f>IF(AA79&gt;0,ROUND(AA79,0),0)</f>
        <v>15000</v>
      </c>
      <c r="T758" s="279">
        <f>IF(AA80&gt;0,ROUND(AA80,2),0)</f>
        <v>0</v>
      </c>
      <c r="U758" s="277"/>
      <c r="V758" s="278"/>
      <c r="W758" s="277"/>
      <c r="X758" s="277"/>
      <c r="Y758" s="277">
        <f t="shared" si="22"/>
        <v>1179995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010*2021*7170*A</v>
      </c>
      <c r="B759" s="277"/>
      <c r="C759" s="279">
        <f>ROUND(AB60,2)</f>
        <v>82.82</v>
      </c>
      <c r="D759" s="277">
        <f>ROUND(AB61,0)</f>
        <v>4847594</v>
      </c>
      <c r="E759" s="277">
        <f>ROUND(AB62,0)</f>
        <v>863088</v>
      </c>
      <c r="F759" s="277">
        <f>ROUND(AB63,0)</f>
        <v>2776</v>
      </c>
      <c r="G759" s="277">
        <f>ROUND(AB64,0)</f>
        <v>20171016</v>
      </c>
      <c r="H759" s="277">
        <f>ROUND(AB65,0)</f>
        <v>18945</v>
      </c>
      <c r="I759" s="277">
        <f>ROUND(AB66,0)</f>
        <v>25311</v>
      </c>
      <c r="J759" s="277">
        <f>ROUND(AB67,0)</f>
        <v>186079</v>
      </c>
      <c r="K759" s="277">
        <f>ROUND(AB68,0)</f>
        <v>92246</v>
      </c>
      <c r="L759" s="277">
        <f>ROUND(AB69,0)</f>
        <v>327390</v>
      </c>
      <c r="M759" s="277">
        <f>ROUND(AB70,0)</f>
        <v>138550</v>
      </c>
      <c r="N759" s="277">
        <f>ROUND(AB75,0)</f>
        <v>37447179</v>
      </c>
      <c r="O759" s="277">
        <f>ROUND(AB73,0)</f>
        <v>20240474</v>
      </c>
      <c r="P759" s="277">
        <f>IF(AB76&gt;0,ROUND(AB76,0),0)</f>
        <v>11046</v>
      </c>
      <c r="Q759" s="277">
        <f>IF(AB77&gt;0,ROUND(AB77,0),0)</f>
        <v>0</v>
      </c>
      <c r="R759" s="277">
        <f>IF(AB78&gt;0,ROUND(AB78,0),0)</f>
        <v>506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>
        <f t="shared" si="22"/>
        <v>2959171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010*2021*7180*A</v>
      </c>
      <c r="B760" s="277">
        <f>ROUND(AC59,0)</f>
        <v>124551</v>
      </c>
      <c r="C760" s="279">
        <f>ROUND(AC60,2)</f>
        <v>19.77</v>
      </c>
      <c r="D760" s="277">
        <f>ROUND(AC61,0)</f>
        <v>893344</v>
      </c>
      <c r="E760" s="277">
        <f>ROUND(AC62,0)</f>
        <v>157059</v>
      </c>
      <c r="F760" s="277">
        <f>ROUND(AC63,0)</f>
        <v>0</v>
      </c>
      <c r="G760" s="277">
        <f>ROUND(AC64,0)</f>
        <v>148164</v>
      </c>
      <c r="H760" s="277">
        <f>ROUND(AC65,0)</f>
        <v>2392</v>
      </c>
      <c r="I760" s="277">
        <f>ROUND(AC66,0)</f>
        <v>2139</v>
      </c>
      <c r="J760" s="277">
        <f>ROUND(AC67,0)</f>
        <v>48009</v>
      </c>
      <c r="K760" s="277">
        <f>ROUND(AC68,0)</f>
        <v>5573</v>
      </c>
      <c r="L760" s="277">
        <f>ROUND(AC69,0)</f>
        <v>79159</v>
      </c>
      <c r="M760" s="277">
        <f>ROUND(AC70,0)</f>
        <v>0</v>
      </c>
      <c r="N760" s="277">
        <f>ROUND(AC75,0)</f>
        <v>9306801</v>
      </c>
      <c r="O760" s="277">
        <f>ROUND(AC73,0)</f>
        <v>8998337</v>
      </c>
      <c r="P760" s="277">
        <f>IF(AC76&gt;0,ROUND(AC76,0),0)</f>
        <v>880</v>
      </c>
      <c r="Q760" s="277">
        <f>IF(AC77&gt;0,ROUND(AC77,0),0)</f>
        <v>0</v>
      </c>
      <c r="R760" s="277">
        <f>IF(AC78&gt;0,ROUND(AC78,0),0)</f>
        <v>40</v>
      </c>
      <c r="S760" s="277">
        <f>IF(AC79&gt;0,ROUND(AC79,0),0)</f>
        <v>5000</v>
      </c>
      <c r="T760" s="279">
        <f>IF(AC80&gt;0,ROUND(AC80,2),0)</f>
        <v>0</v>
      </c>
      <c r="U760" s="277"/>
      <c r="V760" s="278"/>
      <c r="W760" s="277"/>
      <c r="X760" s="277"/>
      <c r="Y760" s="277">
        <f t="shared" si="22"/>
        <v>485540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010*2021*7190*A</v>
      </c>
      <c r="B761" s="277">
        <f>ROUND(AD59,0)</f>
        <v>8556</v>
      </c>
      <c r="C761" s="279">
        <f>ROUND(AD60,2)</f>
        <v>0</v>
      </c>
      <c r="D761" s="277">
        <f>ROUND(AD61,0)</f>
        <v>7665</v>
      </c>
      <c r="E761" s="277">
        <f>ROUND(AD62,0)</f>
        <v>2105</v>
      </c>
      <c r="F761" s="277">
        <f>ROUND(AD63,0)</f>
        <v>0</v>
      </c>
      <c r="G761" s="277">
        <f>ROUND(AD64,0)</f>
        <v>49318</v>
      </c>
      <c r="H761" s="277">
        <f>ROUND(AD65,0)</f>
        <v>1089</v>
      </c>
      <c r="I761" s="277">
        <f>ROUND(AD66,0)</f>
        <v>1264379</v>
      </c>
      <c r="J761" s="277">
        <f>ROUND(AD67,0)</f>
        <v>164</v>
      </c>
      <c r="K761" s="277">
        <f>ROUND(AD68,0)</f>
        <v>1705</v>
      </c>
      <c r="L761" s="277">
        <f>ROUND(AD69,0)</f>
        <v>14875</v>
      </c>
      <c r="M761" s="277">
        <f>ROUND(AD70,0)</f>
        <v>0</v>
      </c>
      <c r="N761" s="277">
        <f>ROUND(AD75,0)</f>
        <v>3605956</v>
      </c>
      <c r="O761" s="277">
        <f>ROUND(AD73,0)</f>
        <v>3369105</v>
      </c>
      <c r="P761" s="277">
        <f>IF(AD76&gt;0,ROUND(AD76,0),0)</f>
        <v>1579</v>
      </c>
      <c r="Q761" s="277">
        <f>IF(AD77&gt;0,ROUND(AD77,0),0)</f>
        <v>0</v>
      </c>
      <c r="R761" s="277">
        <f>IF(AD78&gt;0,ROUND(AD78,0),0)</f>
        <v>72</v>
      </c>
      <c r="S761" s="277">
        <f>IF(AD79&gt;0,ROUND(AD79,0),0)</f>
        <v>1000</v>
      </c>
      <c r="T761" s="279">
        <f>IF(AD80&gt;0,ROUND(AD80,2),0)</f>
        <v>0</v>
      </c>
      <c r="U761" s="277"/>
      <c r="V761" s="278"/>
      <c r="W761" s="277"/>
      <c r="X761" s="277"/>
      <c r="Y761" s="277">
        <f t="shared" si="22"/>
        <v>238859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010*2021*7200*A</v>
      </c>
      <c r="B762" s="277">
        <f>ROUND(AE59,0)</f>
        <v>113199</v>
      </c>
      <c r="C762" s="279">
        <f>ROUND(AE60,2)</f>
        <v>64.77</v>
      </c>
      <c r="D762" s="277">
        <f>ROUND(AE61,0)</f>
        <v>3671795</v>
      </c>
      <c r="E762" s="277">
        <f>ROUND(AE62,0)</f>
        <v>801985</v>
      </c>
      <c r="F762" s="277">
        <f>ROUND(AE63,0)</f>
        <v>0</v>
      </c>
      <c r="G762" s="277">
        <f>ROUND(AE64,0)</f>
        <v>426227</v>
      </c>
      <c r="H762" s="277">
        <f>ROUND(AE65,0)</f>
        <v>15375</v>
      </c>
      <c r="I762" s="277">
        <f>ROUND(AE66,0)</f>
        <v>21406</v>
      </c>
      <c r="J762" s="277">
        <f>ROUND(AE67,0)</f>
        <v>17816</v>
      </c>
      <c r="K762" s="277">
        <f>ROUND(AE68,0)</f>
        <v>10002</v>
      </c>
      <c r="L762" s="277">
        <f>ROUND(AE69,0)</f>
        <v>16844</v>
      </c>
      <c r="M762" s="277">
        <f>ROUND(AE70,0)</f>
        <v>368</v>
      </c>
      <c r="N762" s="277">
        <f>ROUND(AE75,0)</f>
        <v>10919872</v>
      </c>
      <c r="O762" s="277">
        <f>ROUND(AE73,0)</f>
        <v>4171779</v>
      </c>
      <c r="P762" s="277">
        <f>IF(AE76&gt;0,ROUND(AE76,0),0)</f>
        <v>19012</v>
      </c>
      <c r="Q762" s="277">
        <f>IF(AE77&gt;0,ROUND(AE77,0),0)</f>
        <v>0</v>
      </c>
      <c r="R762" s="277">
        <f>IF(AE78&gt;0,ROUND(AE78,0),0)</f>
        <v>872</v>
      </c>
      <c r="S762" s="277">
        <f>IF(AE79&gt;0,ROUND(AE79,0),0)</f>
        <v>7200</v>
      </c>
      <c r="T762" s="279">
        <f>IF(AE80&gt;0,ROUND(AE80,2),0)</f>
        <v>12.29</v>
      </c>
      <c r="U762" s="277"/>
      <c r="V762" s="278"/>
      <c r="W762" s="277"/>
      <c r="X762" s="277"/>
      <c r="Y762" s="277">
        <f t="shared" si="22"/>
        <v>1318588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010*2021*7220*A</v>
      </c>
      <c r="B763" s="277">
        <f>ROUND(AF59,0)</f>
        <v>1185</v>
      </c>
      <c r="C763" s="279">
        <f>ROUND(AF60,2)</f>
        <v>5.38</v>
      </c>
      <c r="D763" s="277">
        <f>ROUND(AF61,0)</f>
        <v>339940</v>
      </c>
      <c r="E763" s="277">
        <f>ROUND(AF62,0)</f>
        <v>96635</v>
      </c>
      <c r="F763" s="277">
        <f>ROUND(AF63,0)</f>
        <v>0</v>
      </c>
      <c r="G763" s="277">
        <f>ROUND(AF64,0)</f>
        <v>325</v>
      </c>
      <c r="H763" s="277">
        <f>ROUND(AF65,0)</f>
        <v>1259</v>
      </c>
      <c r="I763" s="277">
        <f>ROUND(AF66,0)</f>
        <v>208</v>
      </c>
      <c r="J763" s="277">
        <f>ROUND(AF67,0)</f>
        <v>5818</v>
      </c>
      <c r="K763" s="277">
        <f>ROUND(AF68,0)</f>
        <v>0</v>
      </c>
      <c r="L763" s="277">
        <f>ROUND(AF69,0)</f>
        <v>424</v>
      </c>
      <c r="M763" s="277">
        <f>ROUND(AF70,0)</f>
        <v>0</v>
      </c>
      <c r="N763" s="277">
        <f>ROUND(AF75,0)</f>
        <v>319683</v>
      </c>
      <c r="O763" s="277">
        <f>ROUND(AF73,0)</f>
        <v>0</v>
      </c>
      <c r="P763" s="277">
        <f>IF(AF76&gt;0,ROUND(AF76,0),0)</f>
        <v>1035</v>
      </c>
      <c r="Q763" s="277">
        <f>IF(AF77&gt;0,ROUND(AF77,0),0)</f>
        <v>0</v>
      </c>
      <c r="R763" s="277">
        <f>IF(AF78&gt;0,ROUND(AF78,0),0)</f>
        <v>47</v>
      </c>
      <c r="S763" s="277">
        <f>IF(AF79&gt;0,ROUND(AF79,0),0)</f>
        <v>0</v>
      </c>
      <c r="T763" s="279">
        <f>IF(AF80&gt;0,ROUND(AF80,2),0)</f>
        <v>0.72</v>
      </c>
      <c r="U763" s="277"/>
      <c r="V763" s="278"/>
      <c r="W763" s="277"/>
      <c r="X763" s="277"/>
      <c r="Y763" s="277">
        <f t="shared" si="22"/>
        <v>63386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010*2021*7230*A</v>
      </c>
      <c r="B764" s="277">
        <f>ROUND(AG59,0)</f>
        <v>9844</v>
      </c>
      <c r="C764" s="279">
        <f>ROUND(AG60,2)</f>
        <v>67.88</v>
      </c>
      <c r="D764" s="277">
        <f>ROUND(AG61,0)</f>
        <v>4917445</v>
      </c>
      <c r="E764" s="277">
        <f>ROUND(AG62,0)</f>
        <v>1268705</v>
      </c>
      <c r="F764" s="277">
        <f>ROUND(AG63,0)</f>
        <v>257247</v>
      </c>
      <c r="G764" s="277">
        <f>ROUND(AG64,0)</f>
        <v>412386</v>
      </c>
      <c r="H764" s="277">
        <f>ROUND(AG65,0)</f>
        <v>13514</v>
      </c>
      <c r="I764" s="277">
        <f>ROUND(AG66,0)</f>
        <v>20494</v>
      </c>
      <c r="J764" s="277">
        <f>ROUND(AG67,0)</f>
        <v>281561</v>
      </c>
      <c r="K764" s="277">
        <f>ROUND(AG68,0)</f>
        <v>779</v>
      </c>
      <c r="L764" s="277">
        <f>ROUND(AG69,0)</f>
        <v>46122</v>
      </c>
      <c r="M764" s="277">
        <f>ROUND(AG70,0)</f>
        <v>0</v>
      </c>
      <c r="N764" s="277">
        <f>ROUND(AG75,0)</f>
        <v>32704890</v>
      </c>
      <c r="O764" s="277">
        <f>ROUND(AG73,0)</f>
        <v>7730756</v>
      </c>
      <c r="P764" s="277">
        <f>IF(AG76&gt;0,ROUND(AG76,0),0)</f>
        <v>15085</v>
      </c>
      <c r="Q764" s="277">
        <f>IF(AG77&gt;0,ROUND(AG77,0),0)</f>
        <v>14346</v>
      </c>
      <c r="R764" s="277">
        <f>IF(AG78&gt;0,ROUND(AG78,0),0)</f>
        <v>692</v>
      </c>
      <c r="S764" s="277">
        <f>IF(AG79&gt;0,ROUND(AG79,0),0)</f>
        <v>67000</v>
      </c>
      <c r="T764" s="279">
        <f>IF(AG80&gt;0,ROUND(AG80,2),0)</f>
        <v>33.700000000000003</v>
      </c>
      <c r="U764" s="277"/>
      <c r="V764" s="278"/>
      <c r="W764" s="277"/>
      <c r="X764" s="277"/>
      <c r="Y764" s="277">
        <f t="shared" si="22"/>
        <v>2586665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010*2021*7240*A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>
        <f t="shared" si="22"/>
        <v>0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010*2021*7250*A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>
        <f t="shared" si="22"/>
        <v>0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010*2021*7260*A</v>
      </c>
      <c r="B767" s="277">
        <f>ROUND(AJ59,0)</f>
        <v>164612</v>
      </c>
      <c r="C767" s="279">
        <f>ROUND(AJ60,2)</f>
        <v>872.12</v>
      </c>
      <c r="D767" s="277">
        <f>ROUND(AJ61,0)</f>
        <v>71452595</v>
      </c>
      <c r="E767" s="277">
        <f>ROUND(AJ62,0)</f>
        <v>20362432</v>
      </c>
      <c r="F767" s="277">
        <f>ROUND(AJ63,0)</f>
        <v>362626</v>
      </c>
      <c r="G767" s="277">
        <f>ROUND(AJ64,0)</f>
        <v>43923290</v>
      </c>
      <c r="H767" s="277">
        <f>ROUND(AJ65,0)</f>
        <v>342921</v>
      </c>
      <c r="I767" s="277">
        <f>ROUND(AJ66,0)</f>
        <v>1384024</v>
      </c>
      <c r="J767" s="277">
        <f>ROUND(AJ67,0)</f>
        <v>1055169</v>
      </c>
      <c r="K767" s="277">
        <f>ROUND(AJ68,0)</f>
        <v>67720</v>
      </c>
      <c r="L767" s="277">
        <f>ROUND(AJ69,0)</f>
        <v>1626149</v>
      </c>
      <c r="M767" s="277">
        <f>ROUND(AJ70,0)</f>
        <v>1972300</v>
      </c>
      <c r="N767" s="277">
        <f>ROUND(AJ75,0)</f>
        <v>333812786</v>
      </c>
      <c r="O767" s="277">
        <f>ROUND(AJ73,0)</f>
        <v>16433258</v>
      </c>
      <c r="P767" s="277">
        <f>IF(AJ76&gt;0,ROUND(AJ76,0),0)</f>
        <v>217767</v>
      </c>
      <c r="Q767" s="277">
        <f>IF(AJ77&gt;0,ROUND(AJ77,0),0)</f>
        <v>157</v>
      </c>
      <c r="R767" s="277">
        <f>IF(AJ78&gt;0,ROUND(AJ78,0),0)</f>
        <v>9983</v>
      </c>
      <c r="S767" s="277">
        <f>IF(AJ79&gt;0,ROUND(AJ79,0),0)</f>
        <v>142000</v>
      </c>
      <c r="T767" s="279">
        <f>IF(AJ80&gt;0,ROUND(AJ80,2),0)</f>
        <v>298.61</v>
      </c>
      <c r="U767" s="277"/>
      <c r="V767" s="278"/>
      <c r="W767" s="277"/>
      <c r="X767" s="277"/>
      <c r="Y767" s="277">
        <f t="shared" si="22"/>
        <v>27507046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010*2021*7310*A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0</v>
      </c>
      <c r="O768" s="277">
        <f>ROUND(AK73,0)</f>
        <v>0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>
        <f t="shared" si="22"/>
        <v>0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010*2021*7320*A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0</v>
      </c>
      <c r="O769" s="277">
        <f>ROUND(AL73,0)</f>
        <v>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>
        <f t="shared" si="22"/>
        <v>0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010*2021*7330*A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>
        <f t="shared" si="22"/>
        <v>0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010*2021*7340*A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>
        <f t="shared" si="22"/>
        <v>0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010*2021*7350*A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>
        <f t="shared" si="22"/>
        <v>0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010*2021*7380*A</v>
      </c>
      <c r="B773" s="277">
        <f>ROUND(AP59,0)</f>
        <v>283523</v>
      </c>
      <c r="C773" s="279">
        <f>ROUND(AP60,2)</f>
        <v>823.31</v>
      </c>
      <c r="D773" s="277">
        <f>ROUND(AP61,0)</f>
        <v>52284455</v>
      </c>
      <c r="E773" s="277">
        <f>ROUND(AP62,0)</f>
        <v>14020733</v>
      </c>
      <c r="F773" s="277">
        <f>ROUND(AP63,0)</f>
        <v>29732</v>
      </c>
      <c r="G773" s="277">
        <f>ROUND(AP64,0)</f>
        <v>18186961</v>
      </c>
      <c r="H773" s="277">
        <f>ROUND(AP65,0)</f>
        <v>890588</v>
      </c>
      <c r="I773" s="277">
        <f>ROUND(AP66,0)</f>
        <v>1155837</v>
      </c>
      <c r="J773" s="277">
        <f>ROUND(AP67,0)</f>
        <v>2491304</v>
      </c>
      <c r="K773" s="277">
        <f>ROUND(AP68,0)</f>
        <v>5594474</v>
      </c>
      <c r="L773" s="277">
        <f>ROUND(AP69,0)</f>
        <v>2264015</v>
      </c>
      <c r="M773" s="277">
        <f>ROUND(AP70,0)</f>
        <v>1129335</v>
      </c>
      <c r="N773" s="277">
        <f>ROUND(AP75,0)</f>
        <v>226251269</v>
      </c>
      <c r="O773" s="277">
        <f>ROUND(AP73,0)</f>
        <v>13408</v>
      </c>
      <c r="P773" s="277">
        <f>IF(AP76&gt;0,ROUND(AP76,0),0)</f>
        <v>275284</v>
      </c>
      <c r="Q773" s="277">
        <f>IF(AP77&gt;0,ROUND(AP77,0),0)</f>
        <v>0</v>
      </c>
      <c r="R773" s="277">
        <f>IF(AP78&gt;0,ROUND(AP78,0),0)</f>
        <v>12620</v>
      </c>
      <c r="S773" s="277">
        <f>IF(AP79&gt;0,ROUND(AP79,0),0)</f>
        <v>181000</v>
      </c>
      <c r="T773" s="279">
        <f>IF(AP80&gt;0,ROUND(AP80,2),0)</f>
        <v>379.68</v>
      </c>
      <c r="U773" s="277"/>
      <c r="V773" s="278"/>
      <c r="W773" s="277"/>
      <c r="X773" s="277"/>
      <c r="Y773" s="277">
        <f t="shared" si="22"/>
        <v>23739609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010*2021*7390*A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>
        <f t="shared" si="22"/>
        <v>0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010*2021*7400*A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>
        <f t="shared" si="22"/>
        <v>0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010*2021*7410*A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>
        <f t="shared" si="22"/>
        <v>0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010*2021*7420*A</v>
      </c>
      <c r="B777" s="277">
        <f>ROUND(AT59,0)</f>
        <v>52</v>
      </c>
      <c r="C777" s="279">
        <f>ROUND(AT60,2)</f>
        <v>21.53</v>
      </c>
      <c r="D777" s="277">
        <f>ROUND(AT61,0)</f>
        <v>1085776</v>
      </c>
      <c r="E777" s="277">
        <f>ROUND(AT62,0)</f>
        <v>226090</v>
      </c>
      <c r="F777" s="277">
        <f>ROUND(AT63,0)</f>
        <v>157461</v>
      </c>
      <c r="G777" s="277">
        <f>ROUND(AT64,0)</f>
        <v>1727389</v>
      </c>
      <c r="H777" s="277">
        <f>ROUND(AT65,0)</f>
        <v>5194</v>
      </c>
      <c r="I777" s="277">
        <f>ROUND(AT66,0)</f>
        <v>574766</v>
      </c>
      <c r="J777" s="277">
        <f>ROUND(AT67,0)</f>
        <v>427</v>
      </c>
      <c r="K777" s="277">
        <f>ROUND(AT68,0)</f>
        <v>0</v>
      </c>
      <c r="L777" s="277">
        <f>ROUND(AT69,0)</f>
        <v>9091</v>
      </c>
      <c r="M777" s="277">
        <f>ROUND(AT70,0)</f>
        <v>495</v>
      </c>
      <c r="N777" s="277">
        <f>ROUND(AT75,0)</f>
        <v>6467000</v>
      </c>
      <c r="O777" s="277">
        <f>ROUND(AT73,0)</f>
        <v>6467000</v>
      </c>
      <c r="P777" s="277">
        <f>IF(AT76&gt;0,ROUND(AT76,0),0)</f>
        <v>2203</v>
      </c>
      <c r="Q777" s="277">
        <f>IF(AT77&gt;0,ROUND(AT77,0),0)</f>
        <v>0</v>
      </c>
      <c r="R777" s="277">
        <f>IF(AT78&gt;0,ROUND(AT78,0),0)</f>
        <v>101</v>
      </c>
      <c r="S777" s="277">
        <f>IF(AT79&gt;0,ROUND(AT79,0),0)</f>
        <v>0</v>
      </c>
      <c r="T777" s="279">
        <f>IF(AT80&gt;0,ROUND(AT80,2),0)</f>
        <v>8.68</v>
      </c>
      <c r="U777" s="277"/>
      <c r="V777" s="278"/>
      <c r="W777" s="277"/>
      <c r="X777" s="277"/>
      <c r="Y777" s="277">
        <f t="shared" si="22"/>
        <v>517529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010*2021*7430*A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>
        <f t="shared" si="22"/>
        <v>0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010*2021*7490*A</v>
      </c>
      <c r="B779" s="277"/>
      <c r="C779" s="279">
        <f>ROUND(AV60,2)</f>
        <v>52.85</v>
      </c>
      <c r="D779" s="277">
        <f>ROUND(AV61,0)</f>
        <v>3434554</v>
      </c>
      <c r="E779" s="277">
        <f>ROUND(AV62,0)</f>
        <v>753335</v>
      </c>
      <c r="F779" s="277">
        <f>ROUND(AV63,0)</f>
        <v>74582</v>
      </c>
      <c r="G779" s="277">
        <f>ROUND(AV64,0)</f>
        <v>7845320</v>
      </c>
      <c r="H779" s="277">
        <f>ROUND(AV65,0)</f>
        <v>17587</v>
      </c>
      <c r="I779" s="277">
        <f>ROUND(AV66,0)</f>
        <v>24690</v>
      </c>
      <c r="J779" s="277">
        <f>ROUND(AV67,0)</f>
        <v>311244</v>
      </c>
      <c r="K779" s="277">
        <f>ROUND(AV68,0)</f>
        <v>33769</v>
      </c>
      <c r="L779" s="277">
        <f>ROUND(AV69,0)</f>
        <v>688191</v>
      </c>
      <c r="M779" s="277">
        <f>ROUND(AV70,0)</f>
        <v>5347</v>
      </c>
      <c r="N779" s="277">
        <f>ROUND(AV75,0)</f>
        <v>72206244</v>
      </c>
      <c r="O779" s="277">
        <f>ROUND(AV73,0)</f>
        <v>24321008</v>
      </c>
      <c r="P779" s="277">
        <f>IF(AV76&gt;0,ROUND(AV76,0),0)</f>
        <v>21499</v>
      </c>
      <c r="Q779" s="277">
        <f>IF(AV77&gt;0,ROUND(AV77,0),0)</f>
        <v>30</v>
      </c>
      <c r="R779" s="277">
        <f>IF(AV78&gt;0,ROUND(AV78,0),0)</f>
        <v>986</v>
      </c>
      <c r="S779" s="277">
        <f>IF(AV79&gt;0,ROUND(AV79,0),0)</f>
        <v>29200</v>
      </c>
      <c r="T779" s="279">
        <f>IF(AV80&gt;0,ROUND(AV80,2),0)</f>
        <v>27.78</v>
      </c>
      <c r="U779" s="277"/>
      <c r="V779" s="278"/>
      <c r="W779" s="277"/>
      <c r="X779" s="277"/>
      <c r="Y779" s="277">
        <f t="shared" si="22"/>
        <v>4496544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010*2021*8200*A</v>
      </c>
      <c r="B780" s="277"/>
      <c r="C780" s="279">
        <f>ROUND(AW60,2)</f>
        <v>154.94999999999999</v>
      </c>
      <c r="D780" s="277">
        <f>ROUND(AW61,0)</f>
        <v>6937182</v>
      </c>
      <c r="E780" s="277">
        <f>ROUND(AW62,0)</f>
        <v>1569936</v>
      </c>
      <c r="F780" s="277">
        <f>ROUND(AW63,0)</f>
        <v>122315</v>
      </c>
      <c r="G780" s="277">
        <f>ROUND(AW64,0)</f>
        <v>147256</v>
      </c>
      <c r="H780" s="277">
        <f>ROUND(AW65,0)</f>
        <v>20943</v>
      </c>
      <c r="I780" s="277">
        <f>ROUND(AW66,0)</f>
        <v>279793</v>
      </c>
      <c r="J780" s="277">
        <f>ROUND(AW67,0)</f>
        <v>45593</v>
      </c>
      <c r="K780" s="277">
        <f>ROUND(AW68,0)</f>
        <v>176688</v>
      </c>
      <c r="L780" s="277">
        <f>ROUND(AW69,0)</f>
        <v>166696</v>
      </c>
      <c r="M780" s="277">
        <f>ROUND(AW70,0)</f>
        <v>1344</v>
      </c>
      <c r="N780" s="277"/>
      <c r="O780" s="277"/>
      <c r="P780" s="277">
        <f>IF(AW76&gt;0,ROUND(AW76,0),0)</f>
        <v>17575</v>
      </c>
      <c r="Q780" s="277">
        <f>IF(AW77&gt;0,ROUND(AW77,0),0)</f>
        <v>0</v>
      </c>
      <c r="R780" s="277">
        <f>IF(AW78&gt;0,ROUND(AW78,0),0)</f>
        <v>806</v>
      </c>
      <c r="S780" s="277">
        <f>IF(AW79&gt;0,ROUND(AW79,0),0)</f>
        <v>2000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010*2021*8310*A</v>
      </c>
      <c r="B781" s="277"/>
      <c r="C781" s="279">
        <f>ROUND(AX60,2)</f>
        <v>4.03</v>
      </c>
      <c r="D781" s="277">
        <f>ROUND(AX61,0)</f>
        <v>192728</v>
      </c>
      <c r="E781" s="277">
        <f>ROUND(AX62,0)</f>
        <v>33840</v>
      </c>
      <c r="F781" s="277">
        <f>ROUND(AX63,0)</f>
        <v>810648</v>
      </c>
      <c r="G781" s="277">
        <f>ROUND(AX64,0)</f>
        <v>68</v>
      </c>
      <c r="H781" s="277">
        <f>ROUND(AX65,0)</f>
        <v>736</v>
      </c>
      <c r="I781" s="277">
        <f>ROUND(AX66,0)</f>
        <v>51283</v>
      </c>
      <c r="J781" s="277">
        <f>ROUND(AX67,0)</f>
        <v>514</v>
      </c>
      <c r="K781" s="277">
        <f>ROUND(AX68,0)</f>
        <v>0</v>
      </c>
      <c r="L781" s="277">
        <f>ROUND(AX69,0)</f>
        <v>183485</v>
      </c>
      <c r="M781" s="277">
        <f>ROUND(AX70,0)</f>
        <v>112524</v>
      </c>
      <c r="N781" s="277"/>
      <c r="O781" s="277"/>
      <c r="P781" s="277">
        <f>IF(AX76&gt;0,ROUND(AX76,0),0)</f>
        <v>2461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010*2021*8320*A</v>
      </c>
      <c r="B782" s="277">
        <f>ROUND(AY59,0)</f>
        <v>157651</v>
      </c>
      <c r="C782" s="279">
        <f>ROUND(AY60,2)</f>
        <v>44.58</v>
      </c>
      <c r="D782" s="277">
        <f>ROUND(AY61,0)</f>
        <v>1166746</v>
      </c>
      <c r="E782" s="277">
        <f>ROUND(AY62,0)</f>
        <v>205000</v>
      </c>
      <c r="F782" s="277">
        <f>ROUND(AY63,0)</f>
        <v>0</v>
      </c>
      <c r="G782" s="277">
        <f>ROUND(AY64,0)</f>
        <v>298171</v>
      </c>
      <c r="H782" s="277">
        <f>ROUND(AY65,0)</f>
        <v>4737</v>
      </c>
      <c r="I782" s="277">
        <f>ROUND(AY66,0)</f>
        <v>599636</v>
      </c>
      <c r="J782" s="277">
        <f>ROUND(AY67,0)</f>
        <v>4678</v>
      </c>
      <c r="K782" s="277">
        <f>ROUND(AY68,0)</f>
        <v>0</v>
      </c>
      <c r="L782" s="277">
        <f>ROUND(AY69,0)</f>
        <v>52009</v>
      </c>
      <c r="M782" s="277">
        <f>ROUND(AY70,0)</f>
        <v>0</v>
      </c>
      <c r="N782" s="277"/>
      <c r="O782" s="277"/>
      <c r="P782" s="277">
        <f>IF(AY76&gt;0,ROUND(AY76,0),0)</f>
        <v>5502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010*2021*8330*A</v>
      </c>
      <c r="B783" s="277">
        <f>ROUND(AZ59,0)</f>
        <v>333064</v>
      </c>
      <c r="C783" s="279">
        <f>ROUND(AZ60,2)</f>
        <v>23.71</v>
      </c>
      <c r="D783" s="277">
        <f>ROUND(AZ61,0)</f>
        <v>555566</v>
      </c>
      <c r="E783" s="277">
        <f>ROUND(AZ62,0)</f>
        <v>107748</v>
      </c>
      <c r="F783" s="277">
        <f>ROUND(AZ63,0)</f>
        <v>0</v>
      </c>
      <c r="G783" s="277">
        <f>ROUND(AZ64,0)</f>
        <v>917086</v>
      </c>
      <c r="H783" s="277">
        <f>ROUND(AZ65,0)</f>
        <v>16023</v>
      </c>
      <c r="I783" s="277">
        <f>ROUND(AZ66,0)</f>
        <v>25727</v>
      </c>
      <c r="J783" s="277">
        <f>ROUND(AZ67,0)</f>
        <v>32299</v>
      </c>
      <c r="K783" s="277">
        <f>ROUND(AZ68,0)</f>
        <v>0</v>
      </c>
      <c r="L783" s="277">
        <f>ROUND(AZ69,0)</f>
        <v>98546</v>
      </c>
      <c r="M783" s="277">
        <f>ROUND(AZ70,0)</f>
        <v>1317964</v>
      </c>
      <c r="N783" s="277"/>
      <c r="O783" s="277"/>
      <c r="P783" s="277">
        <f>IF(AZ76&gt;0,ROUND(AZ76,0),0)</f>
        <v>17018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010*2021*8350*A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497</v>
      </c>
      <c r="H784" s="277">
        <f>ROUND(BA65,0)</f>
        <v>530</v>
      </c>
      <c r="I784" s="277">
        <f>ROUND(BA66,0)</f>
        <v>1051081</v>
      </c>
      <c r="J784" s="277">
        <f>ROUND(BA67,0)</f>
        <v>2846</v>
      </c>
      <c r="K784" s="277">
        <f>ROUND(BA68,0)</f>
        <v>0</v>
      </c>
      <c r="L784" s="277">
        <f>ROUND(BA69,0)</f>
        <v>39</v>
      </c>
      <c r="M784" s="277">
        <f>ROUND(BA70,0)</f>
        <v>0</v>
      </c>
      <c r="N784" s="277"/>
      <c r="O784" s="277"/>
      <c r="P784" s="277">
        <f>IF(BA76&gt;0,ROUND(BA76,0),0)</f>
        <v>3188</v>
      </c>
      <c r="Q784" s="277">
        <f>IF(BA77&gt;0,ROUND(BA77,0),0)</f>
        <v>0</v>
      </c>
      <c r="R784" s="277">
        <f>IF(BA78&gt;0,ROUND(BA78,0),0)</f>
        <v>146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010*2021*8360*A</v>
      </c>
      <c r="B785" s="277"/>
      <c r="C785" s="279">
        <f>ROUND(BB60,2)</f>
        <v>8.69</v>
      </c>
      <c r="D785" s="277">
        <f>ROUND(BB61,0)</f>
        <v>378698</v>
      </c>
      <c r="E785" s="277">
        <f>ROUND(BB62,0)</f>
        <v>66867</v>
      </c>
      <c r="F785" s="277">
        <f>ROUND(BB63,0)</f>
        <v>701</v>
      </c>
      <c r="G785" s="277">
        <f>ROUND(BB64,0)</f>
        <v>1054</v>
      </c>
      <c r="H785" s="277">
        <f>ROUND(BB65,0)</f>
        <v>4578</v>
      </c>
      <c r="I785" s="277">
        <f>ROUND(BB66,0)</f>
        <v>1479</v>
      </c>
      <c r="J785" s="277">
        <f>ROUND(BB67,0)</f>
        <v>615</v>
      </c>
      <c r="K785" s="277">
        <f>ROUND(BB68,0)</f>
        <v>0</v>
      </c>
      <c r="L785" s="277">
        <f>ROUND(BB69,0)</f>
        <v>5207</v>
      </c>
      <c r="M785" s="277">
        <f>ROUND(BB70,0)</f>
        <v>0</v>
      </c>
      <c r="N785" s="277"/>
      <c r="O785" s="277"/>
      <c r="P785" s="277">
        <f>IF(BB76&gt;0,ROUND(BB76,0),0)</f>
        <v>364</v>
      </c>
      <c r="Q785" s="277">
        <f>IF(BB77&gt;0,ROUND(BB77,0),0)</f>
        <v>0</v>
      </c>
      <c r="R785" s="277">
        <f>IF(BB78&gt;0,ROUND(BB78,0),0)</f>
        <v>17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010*2021*8370*A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77591</v>
      </c>
      <c r="H786" s="277">
        <f>ROUND(BC65,0)</f>
        <v>5962</v>
      </c>
      <c r="I786" s="277">
        <f>ROUND(BC66,0)</f>
        <v>1733505</v>
      </c>
      <c r="J786" s="277">
        <f>ROUND(BC67,0)</f>
        <v>72855</v>
      </c>
      <c r="K786" s="277">
        <f>ROUND(BC68,0)</f>
        <v>0</v>
      </c>
      <c r="L786" s="277">
        <f>ROUND(BC69,0)</f>
        <v>8252</v>
      </c>
      <c r="M786" s="277">
        <f>ROUND(BC70,0)</f>
        <v>0</v>
      </c>
      <c r="N786" s="277"/>
      <c r="O786" s="277"/>
      <c r="P786" s="277">
        <f>IF(BC76&gt;0,ROUND(BC76,0),0)</f>
        <v>676</v>
      </c>
      <c r="Q786" s="277">
        <f>IF(BC77&gt;0,ROUND(BC77,0),0)</f>
        <v>0</v>
      </c>
      <c r="R786" s="277">
        <f>IF(BC78&gt;0,ROUND(BC78,0),0)</f>
        <v>31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010*2021*8420*A</v>
      </c>
      <c r="B787" s="277"/>
      <c r="C787" s="279">
        <f>ROUND(BD60,2)</f>
        <v>43.38</v>
      </c>
      <c r="D787" s="277">
        <f>ROUND(BD61,0)</f>
        <v>2758508</v>
      </c>
      <c r="E787" s="277">
        <f>ROUND(BD62,0)</f>
        <v>538535</v>
      </c>
      <c r="F787" s="277">
        <f>ROUND(BD63,0)</f>
        <v>393431</v>
      </c>
      <c r="G787" s="277">
        <f>ROUND(BD64,0)</f>
        <v>81920</v>
      </c>
      <c r="H787" s="277">
        <f>ROUND(BD65,0)</f>
        <v>39603</v>
      </c>
      <c r="I787" s="277">
        <f>ROUND(BD66,0)</f>
        <v>222990</v>
      </c>
      <c r="J787" s="277">
        <f>ROUND(BD67,0)</f>
        <v>23311</v>
      </c>
      <c r="K787" s="277">
        <f>ROUND(BD68,0)</f>
        <v>123122</v>
      </c>
      <c r="L787" s="277">
        <f>ROUND(BD69,0)</f>
        <v>536506</v>
      </c>
      <c r="M787" s="277">
        <f>ROUND(BD70,0)</f>
        <v>2502871</v>
      </c>
      <c r="N787" s="277"/>
      <c r="O787" s="277"/>
      <c r="P787" s="277">
        <f>IF(BD76&gt;0,ROUND(BD76,0),0)</f>
        <v>13295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010*2021*8430*A</v>
      </c>
      <c r="B788" s="277">
        <f>ROUND(BE59,0)</f>
        <v>1557316</v>
      </c>
      <c r="C788" s="279">
        <f>ROUND(BE60,2)</f>
        <v>32.659999999999997</v>
      </c>
      <c r="D788" s="277">
        <f>ROUND(BE61,0)</f>
        <v>1296051</v>
      </c>
      <c r="E788" s="277">
        <f>ROUND(BE62,0)</f>
        <v>222954</v>
      </c>
      <c r="F788" s="277">
        <f>ROUND(BE63,0)</f>
        <v>13542</v>
      </c>
      <c r="G788" s="277">
        <f>ROUND(BE64,0)</f>
        <v>391690</v>
      </c>
      <c r="H788" s="277">
        <f>ROUND(BE65,0)</f>
        <v>2951044</v>
      </c>
      <c r="I788" s="277">
        <f>ROUND(BE66,0)</f>
        <v>2441930</v>
      </c>
      <c r="J788" s="277">
        <f>ROUND(BE67,0)</f>
        <v>2716487</v>
      </c>
      <c r="K788" s="277">
        <f>ROUND(BE68,0)</f>
        <v>338843</v>
      </c>
      <c r="L788" s="277">
        <f>ROUND(BE69,0)</f>
        <v>1074726</v>
      </c>
      <c r="M788" s="277">
        <f>ROUND(BE70,0)</f>
        <v>141126</v>
      </c>
      <c r="N788" s="277"/>
      <c r="O788" s="277"/>
      <c r="P788" s="277">
        <f>IF(BE76&gt;0,ROUND(BE76,0),0)</f>
        <v>387118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010*2021*8460*A</v>
      </c>
      <c r="B789" s="277"/>
      <c r="C789" s="279">
        <f>ROUND(BF60,2)</f>
        <v>0</v>
      </c>
      <c r="D789" s="277">
        <f>ROUND(BF61,0)</f>
        <v>0</v>
      </c>
      <c r="E789" s="277">
        <f>ROUND(BF62,0)</f>
        <v>0</v>
      </c>
      <c r="F789" s="277">
        <f>ROUND(BF63,0)</f>
        <v>0</v>
      </c>
      <c r="G789" s="277">
        <f>ROUND(BF64,0)</f>
        <v>13820</v>
      </c>
      <c r="H789" s="277">
        <f>ROUND(BF65,0)</f>
        <v>546361</v>
      </c>
      <c r="I789" s="277">
        <f>ROUND(BF66,0)</f>
        <v>4027939</v>
      </c>
      <c r="J789" s="277">
        <f>ROUND(BF67,0)</f>
        <v>32570</v>
      </c>
      <c r="K789" s="277">
        <f>ROUND(BF68,0)</f>
        <v>0</v>
      </c>
      <c r="L789" s="277">
        <f>ROUND(BF69,0)</f>
        <v>-29213</v>
      </c>
      <c r="M789" s="277">
        <f>ROUND(BF70,0)</f>
        <v>0</v>
      </c>
      <c r="N789" s="277"/>
      <c r="O789" s="277"/>
      <c r="P789" s="277">
        <f>IF(BF76&gt;0,ROUND(BF76,0),0)</f>
        <v>8126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010*2021*8470*A</v>
      </c>
      <c r="B790" s="277"/>
      <c r="C790" s="279">
        <f>ROUND(BG60,2)</f>
        <v>97.35</v>
      </c>
      <c r="D790" s="277">
        <f>ROUND(BG61,0)</f>
        <v>2366609</v>
      </c>
      <c r="E790" s="277">
        <f>ROUND(BG62,0)</f>
        <v>417844</v>
      </c>
      <c r="F790" s="277">
        <f>ROUND(BG63,0)</f>
        <v>0</v>
      </c>
      <c r="G790" s="277">
        <f>ROUND(BG64,0)</f>
        <v>1785</v>
      </c>
      <c r="H790" s="277">
        <f>ROUND(BG65,0)</f>
        <v>34857</v>
      </c>
      <c r="I790" s="277">
        <f>ROUND(BG66,0)</f>
        <v>17</v>
      </c>
      <c r="J790" s="277">
        <f>ROUND(BG67,0)</f>
        <v>14876</v>
      </c>
      <c r="K790" s="277">
        <f>ROUND(BG68,0)</f>
        <v>318865</v>
      </c>
      <c r="L790" s="277">
        <f>ROUND(BG69,0)</f>
        <v>99373</v>
      </c>
      <c r="M790" s="277">
        <f>ROUND(BG70,0)</f>
        <v>0</v>
      </c>
      <c r="N790" s="277"/>
      <c r="O790" s="277"/>
      <c r="P790" s="277">
        <f>IF(BG76&gt;0,ROUND(BG76,0),0)</f>
        <v>11809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010*2021*8480*A</v>
      </c>
      <c r="B791" s="277"/>
      <c r="C791" s="279">
        <f>ROUND(BH60,2)</f>
        <v>150.01</v>
      </c>
      <c r="D791" s="277">
        <f>ROUND(BH61,0)</f>
        <v>8957832</v>
      </c>
      <c r="E791" s="277">
        <f>ROUND(BH62,0)</f>
        <v>1406970</v>
      </c>
      <c r="F791" s="277">
        <f>ROUND(BH63,0)</f>
        <v>317</v>
      </c>
      <c r="G791" s="277">
        <f>ROUND(BH64,0)</f>
        <v>-126770</v>
      </c>
      <c r="H791" s="277">
        <f>ROUND(BH65,0)</f>
        <v>397056</v>
      </c>
      <c r="I791" s="277">
        <f>ROUND(BH66,0)</f>
        <v>370774</v>
      </c>
      <c r="J791" s="277">
        <f>ROUND(BH67,0)</f>
        <v>2623442</v>
      </c>
      <c r="K791" s="277">
        <f>ROUND(BH68,0)</f>
        <v>1554507</v>
      </c>
      <c r="L791" s="277">
        <f>ROUND(BH69,0)</f>
        <v>4227948</v>
      </c>
      <c r="M791" s="277">
        <f>ROUND(BH70,0)</f>
        <v>0</v>
      </c>
      <c r="N791" s="277"/>
      <c r="O791" s="277"/>
      <c r="P791" s="277">
        <f>IF(BH76&gt;0,ROUND(BH76,0),0)</f>
        <v>45795</v>
      </c>
      <c r="Q791" s="277">
        <f>IF(BH77&gt;0,ROUND(BH77,0),0)</f>
        <v>0</v>
      </c>
      <c r="R791" s="277">
        <f>IF(BH78&gt;0,ROUND(BH78,0),0)</f>
        <v>2099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010*2021*8490*A</v>
      </c>
      <c r="B792" s="277"/>
      <c r="C792" s="279">
        <f>ROUND(BI60,2)</f>
        <v>5.57</v>
      </c>
      <c r="D792" s="277">
        <f>ROUND(BI61,0)</f>
        <v>467781</v>
      </c>
      <c r="E792" s="277">
        <f>ROUND(BI62,0)</f>
        <v>92621</v>
      </c>
      <c r="F792" s="277">
        <f>ROUND(BI63,0)</f>
        <v>0</v>
      </c>
      <c r="G792" s="277">
        <f>ROUND(BI64,0)</f>
        <v>61721</v>
      </c>
      <c r="H792" s="277">
        <f>ROUND(BI65,0)</f>
        <v>6703</v>
      </c>
      <c r="I792" s="277">
        <f>ROUND(BI66,0)</f>
        <v>328224</v>
      </c>
      <c r="J792" s="277">
        <f>ROUND(BI67,0)</f>
        <v>10379</v>
      </c>
      <c r="K792" s="277">
        <f>ROUND(BI68,0)</f>
        <v>0</v>
      </c>
      <c r="L792" s="277">
        <f>ROUND(BI69,0)</f>
        <v>299679</v>
      </c>
      <c r="M792" s="277">
        <f>ROUND(BI70,0)</f>
        <v>0</v>
      </c>
      <c r="N792" s="277"/>
      <c r="O792" s="277"/>
      <c r="P792" s="277">
        <f>IF(BI76&gt;0,ROUND(BI76,0),0)</f>
        <v>7120</v>
      </c>
      <c r="Q792" s="277">
        <f>IF(BI77&gt;0,ROUND(BI77,0),0)</f>
        <v>0</v>
      </c>
      <c r="R792" s="277">
        <f>IF(BI78&gt;0,ROUND(BI78,0),0)</f>
        <v>326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010*2021*8510*A</v>
      </c>
      <c r="B793" s="277"/>
      <c r="C793" s="279">
        <f>ROUND(BJ60,2)</f>
        <v>20.440000000000001</v>
      </c>
      <c r="D793" s="277">
        <f>ROUND(BJ61,0)</f>
        <v>972401</v>
      </c>
      <c r="E793" s="277">
        <f>ROUND(BJ62,0)</f>
        <v>164187</v>
      </c>
      <c r="F793" s="277">
        <f>ROUND(BJ63,0)</f>
        <v>0</v>
      </c>
      <c r="G793" s="277">
        <f>ROUND(BJ64,0)</f>
        <v>8340</v>
      </c>
      <c r="H793" s="277">
        <f>ROUND(BJ65,0)</f>
        <v>7192</v>
      </c>
      <c r="I793" s="277">
        <f>ROUND(BJ66,0)</f>
        <v>224063</v>
      </c>
      <c r="J793" s="277">
        <f>ROUND(BJ67,0)</f>
        <v>36279</v>
      </c>
      <c r="K793" s="277">
        <f>ROUND(BJ68,0)</f>
        <v>62641</v>
      </c>
      <c r="L793" s="277">
        <f>ROUND(BJ69,0)</f>
        <v>30787</v>
      </c>
      <c r="M793" s="277">
        <f>ROUND(BJ70,0)</f>
        <v>650</v>
      </c>
      <c r="N793" s="277"/>
      <c r="O793" s="277"/>
      <c r="P793" s="277">
        <f>IF(BJ76&gt;0,ROUND(BJ76,0),0)</f>
        <v>3401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010*2021*8530*A</v>
      </c>
      <c r="B794" s="277"/>
      <c r="C794" s="279">
        <f>ROUND(BK60,2)</f>
        <v>195.15</v>
      </c>
      <c r="D794" s="277">
        <f>ROUND(BK61,0)</f>
        <v>6967671</v>
      </c>
      <c r="E794" s="277">
        <f>ROUND(BK62,0)</f>
        <v>1273806</v>
      </c>
      <c r="F794" s="277">
        <f>ROUND(BK63,0)</f>
        <v>2316896</v>
      </c>
      <c r="G794" s="277">
        <f>ROUND(BK64,0)</f>
        <v>208082</v>
      </c>
      <c r="H794" s="277">
        <f>ROUND(BK65,0)</f>
        <v>40094</v>
      </c>
      <c r="I794" s="277">
        <f>ROUND(BK66,0)</f>
        <v>377029</v>
      </c>
      <c r="J794" s="277">
        <f>ROUND(BK67,0)</f>
        <v>105801</v>
      </c>
      <c r="K794" s="277">
        <f>ROUND(BK68,0)</f>
        <v>438620</v>
      </c>
      <c r="L794" s="277">
        <f>ROUND(BK69,0)</f>
        <v>615133</v>
      </c>
      <c r="M794" s="277">
        <f>ROUND(BK70,0)</f>
        <v>0</v>
      </c>
      <c r="N794" s="277"/>
      <c r="O794" s="277"/>
      <c r="P794" s="277">
        <f>IF(BK76&gt;0,ROUND(BK76,0),0)</f>
        <v>23816</v>
      </c>
      <c r="Q794" s="277">
        <f>IF(BK77&gt;0,ROUND(BK77,0),0)</f>
        <v>0</v>
      </c>
      <c r="R794" s="277">
        <f>IF(BK78&gt;0,ROUND(BK78,0),0)</f>
        <v>1092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010*2021*8560*A</v>
      </c>
      <c r="B795" s="277"/>
      <c r="C795" s="279">
        <f>ROUND(BL60,2)</f>
        <v>77.08</v>
      </c>
      <c r="D795" s="277">
        <f>ROUND(BL61,0)</f>
        <v>2669413</v>
      </c>
      <c r="E795" s="277">
        <f>ROUND(BL62,0)</f>
        <v>475505</v>
      </c>
      <c r="F795" s="277">
        <f>ROUND(BL63,0)</f>
        <v>0</v>
      </c>
      <c r="G795" s="277">
        <f>ROUND(BL64,0)</f>
        <v>14813</v>
      </c>
      <c r="H795" s="277">
        <f>ROUND(BL65,0)</f>
        <v>24491</v>
      </c>
      <c r="I795" s="277">
        <f>ROUND(BL66,0)</f>
        <v>2</v>
      </c>
      <c r="J795" s="277">
        <f>ROUND(BL67,0)</f>
        <v>3032</v>
      </c>
      <c r="K795" s="277">
        <f>ROUND(BL68,0)</f>
        <v>0</v>
      </c>
      <c r="L795" s="277">
        <f>ROUND(BL69,0)</f>
        <v>5992</v>
      </c>
      <c r="M795" s="277">
        <f>ROUND(BL70,0)</f>
        <v>0</v>
      </c>
      <c r="N795" s="277"/>
      <c r="O795" s="277"/>
      <c r="P795" s="277">
        <f>IF(BL76&gt;0,ROUND(BL76,0),0)</f>
        <v>7429</v>
      </c>
      <c r="Q795" s="277">
        <f>IF(BL77&gt;0,ROUND(BL77,0),0)</f>
        <v>0</v>
      </c>
      <c r="R795" s="277">
        <f>IF(BL78&gt;0,ROUND(BL78,0),0)</f>
        <v>341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010*2021*8590*A</v>
      </c>
      <c r="B796" s="277"/>
      <c r="C796" s="279">
        <f>ROUND(BM60,2)</f>
        <v>19.440000000000001</v>
      </c>
      <c r="D796" s="277">
        <f>ROUND(BM61,0)</f>
        <v>1139667</v>
      </c>
      <c r="E796" s="277">
        <f>ROUND(BM62,0)</f>
        <v>215651</v>
      </c>
      <c r="F796" s="277">
        <f>ROUND(BM63,0)</f>
        <v>0</v>
      </c>
      <c r="G796" s="277">
        <f>ROUND(BM64,0)</f>
        <v>3612</v>
      </c>
      <c r="H796" s="277">
        <f>ROUND(BM65,0)</f>
        <v>4036</v>
      </c>
      <c r="I796" s="277">
        <f>ROUND(BM66,0)</f>
        <v>142435</v>
      </c>
      <c r="J796" s="277">
        <f>ROUND(BM67,0)</f>
        <v>16796</v>
      </c>
      <c r="K796" s="277">
        <f>ROUND(BM68,0)</f>
        <v>41611</v>
      </c>
      <c r="L796" s="277">
        <f>ROUND(BM69,0)</f>
        <v>33792</v>
      </c>
      <c r="M796" s="277">
        <f>ROUND(BM70,0)</f>
        <v>207235</v>
      </c>
      <c r="N796" s="277"/>
      <c r="O796" s="277"/>
      <c r="P796" s="277">
        <f>IF(BM76&gt;0,ROUND(BM76,0),0)</f>
        <v>4174</v>
      </c>
      <c r="Q796" s="277">
        <f>IF(BM77&gt;0,ROUND(BM77,0),0)</f>
        <v>0</v>
      </c>
      <c r="R796" s="277">
        <f>IF(BM78&gt;0,ROUND(BM78,0),0)</f>
        <v>191</v>
      </c>
      <c r="S796" s="277">
        <f>IF(BM79&gt;0,ROUND(BM79,0),0)</f>
        <v>620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010*2021*8610*A</v>
      </c>
      <c r="B797" s="277"/>
      <c r="C797" s="279">
        <f>ROUND(BN60,2)</f>
        <v>50.29</v>
      </c>
      <c r="D797" s="277">
        <f>ROUND(BN61,0)</f>
        <v>4329162</v>
      </c>
      <c r="E797" s="277">
        <f>ROUND(BN62,0)</f>
        <v>1098960</v>
      </c>
      <c r="F797" s="277">
        <f>ROUND(BN63,0)</f>
        <v>0</v>
      </c>
      <c r="G797" s="277">
        <f>ROUND(BN64,0)</f>
        <v>8896</v>
      </c>
      <c r="H797" s="277">
        <f>ROUND(BN65,0)</f>
        <v>40971</v>
      </c>
      <c r="I797" s="277">
        <f>ROUND(BN66,0)</f>
        <v>85631</v>
      </c>
      <c r="J797" s="277">
        <f>ROUND(BN67,0)</f>
        <v>9767</v>
      </c>
      <c r="K797" s="277">
        <f>ROUND(BN68,0)</f>
        <v>25937</v>
      </c>
      <c r="L797" s="277">
        <f>ROUND(BN69,0)</f>
        <v>556839</v>
      </c>
      <c r="M797" s="277">
        <f>ROUND(BN70,0)</f>
        <v>7691366</v>
      </c>
      <c r="N797" s="277"/>
      <c r="O797" s="277"/>
      <c r="P797" s="277">
        <f>IF(BN76&gt;0,ROUND(BN76,0),0)</f>
        <v>10818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010*2021*8620*A</v>
      </c>
      <c r="B798" s="277"/>
      <c r="C798" s="279">
        <f>ROUND(BO60,2)</f>
        <v>10.220000000000001</v>
      </c>
      <c r="D798" s="277">
        <f>ROUND(BO61,0)</f>
        <v>500625</v>
      </c>
      <c r="E798" s="277">
        <f>ROUND(BO62,0)</f>
        <v>93147</v>
      </c>
      <c r="F798" s="277">
        <f>ROUND(BO63,0)</f>
        <v>0</v>
      </c>
      <c r="G798" s="277">
        <f>ROUND(BO64,0)</f>
        <v>21688</v>
      </c>
      <c r="H798" s="277">
        <f>ROUND(BO65,0)</f>
        <v>5157</v>
      </c>
      <c r="I798" s="277">
        <f>ROUND(BO66,0)</f>
        <v>1791</v>
      </c>
      <c r="J798" s="277">
        <f>ROUND(BO67,0)</f>
        <v>1133</v>
      </c>
      <c r="K798" s="277">
        <f>ROUND(BO68,0)</f>
        <v>0</v>
      </c>
      <c r="L798" s="277">
        <f>ROUND(BO69,0)</f>
        <v>34046</v>
      </c>
      <c r="M798" s="277">
        <f>ROUND(BO70,0)</f>
        <v>0</v>
      </c>
      <c r="N798" s="277"/>
      <c r="O798" s="277"/>
      <c r="P798" s="277">
        <f>IF(BO76&gt;0,ROUND(BO76,0),0)</f>
        <v>1300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010*2021*8630*A</v>
      </c>
      <c r="B799" s="277"/>
      <c r="C799" s="279">
        <f>ROUND(BP60,2)</f>
        <v>12.41</v>
      </c>
      <c r="D799" s="277">
        <f>ROUND(BP61,0)</f>
        <v>766950</v>
      </c>
      <c r="E799" s="277">
        <f>ROUND(BP62,0)</f>
        <v>134676</v>
      </c>
      <c r="F799" s="277">
        <f>ROUND(BP63,0)</f>
        <v>0</v>
      </c>
      <c r="G799" s="277">
        <f>ROUND(BP64,0)</f>
        <v>7353</v>
      </c>
      <c r="H799" s="277">
        <f>ROUND(BP65,0)</f>
        <v>7389</v>
      </c>
      <c r="I799" s="277">
        <f>ROUND(BP66,0)</f>
        <v>47278</v>
      </c>
      <c r="J799" s="277">
        <f>ROUND(BP67,0)</f>
        <v>804701</v>
      </c>
      <c r="K799" s="277">
        <f>ROUND(BP68,0)</f>
        <v>0</v>
      </c>
      <c r="L799" s="277">
        <f>ROUND(BP69,0)</f>
        <v>148640</v>
      </c>
      <c r="M799" s="277">
        <f>ROUND(BP70,0)</f>
        <v>0</v>
      </c>
      <c r="N799" s="277"/>
      <c r="O799" s="277"/>
      <c r="P799" s="277">
        <f>IF(BP76&gt;0,ROUND(BP76,0),0)</f>
        <v>5231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010*2021*8640*A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010*2021*8650*A</v>
      </c>
      <c r="B801" s="277"/>
      <c r="C801" s="279">
        <f>ROUND(BR60,2)</f>
        <v>5.84</v>
      </c>
      <c r="D801" s="277">
        <f>ROUND(BR61,0)</f>
        <v>291179</v>
      </c>
      <c r="E801" s="277">
        <f>ROUND(BR62,0)</f>
        <v>142764</v>
      </c>
      <c r="F801" s="277">
        <f>ROUND(BR63,0)</f>
        <v>80585</v>
      </c>
      <c r="G801" s="277">
        <f>ROUND(BR64,0)</f>
        <v>488</v>
      </c>
      <c r="H801" s="277">
        <f>ROUND(BR65,0)</f>
        <v>3356</v>
      </c>
      <c r="I801" s="277">
        <f>ROUND(BR66,0)</f>
        <v>413336</v>
      </c>
      <c r="J801" s="277">
        <f>ROUND(BR67,0)</f>
        <v>1853</v>
      </c>
      <c r="K801" s="277">
        <f>ROUND(BR68,0)</f>
        <v>0</v>
      </c>
      <c r="L801" s="277">
        <f>ROUND(BR69,0)</f>
        <v>47635</v>
      </c>
      <c r="M801" s="277">
        <f>ROUND(BR70,0)</f>
        <v>0</v>
      </c>
      <c r="N801" s="277"/>
      <c r="O801" s="277"/>
      <c r="P801" s="277">
        <f>IF(BR76&gt;0,ROUND(BR76,0),0)</f>
        <v>0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010*2021*8660*A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0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010*2021*8670*A</v>
      </c>
      <c r="B803" s="277"/>
      <c r="C803" s="279">
        <f>ROUND(BT60,2)</f>
        <v>1.62</v>
      </c>
      <c r="D803" s="277">
        <f>ROUND(BT61,0)</f>
        <v>64875</v>
      </c>
      <c r="E803" s="277">
        <f>ROUND(BT62,0)</f>
        <v>11391</v>
      </c>
      <c r="F803" s="277">
        <f>ROUND(BT63,0)</f>
        <v>0</v>
      </c>
      <c r="G803" s="277">
        <f>ROUND(BT64,0)</f>
        <v>-3</v>
      </c>
      <c r="H803" s="277">
        <f>ROUND(BT65,0)</f>
        <v>312</v>
      </c>
      <c r="I803" s="277">
        <f>ROUND(BT66,0)</f>
        <v>0</v>
      </c>
      <c r="J803" s="277">
        <f>ROUND(BT67,0)</f>
        <v>192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844</v>
      </c>
      <c r="Q803" s="277">
        <f>IF(BT77&gt;0,ROUND(BT77,0),0)</f>
        <v>0</v>
      </c>
      <c r="R803" s="277">
        <f>IF(BT78&gt;0,ROUND(BT78,0),0)</f>
        <v>39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010*2021*8680*A</v>
      </c>
      <c r="B804" s="277"/>
      <c r="C804" s="279">
        <f>ROUND(BU60,2)</f>
        <v>8.59</v>
      </c>
      <c r="D804" s="277">
        <f>ROUND(BU61,0)</f>
        <v>352728</v>
      </c>
      <c r="E804" s="277">
        <f>ROUND(BU62,0)</f>
        <v>60935</v>
      </c>
      <c r="F804" s="277">
        <f>ROUND(BU63,0)</f>
        <v>0</v>
      </c>
      <c r="G804" s="277">
        <f>ROUND(BU64,0)</f>
        <v>3056</v>
      </c>
      <c r="H804" s="277">
        <f>ROUND(BU65,0)</f>
        <v>3178</v>
      </c>
      <c r="I804" s="277">
        <f>ROUND(BU66,0)</f>
        <v>54141</v>
      </c>
      <c r="J804" s="277">
        <f>ROUND(BU67,0)</f>
        <v>36687</v>
      </c>
      <c r="K804" s="277">
        <f>ROUND(BU68,0)</f>
        <v>0</v>
      </c>
      <c r="L804" s="277">
        <f>ROUND(BU69,0)</f>
        <v>407082</v>
      </c>
      <c r="M804" s="277">
        <f>ROUND(BU70,0)</f>
        <v>1258</v>
      </c>
      <c r="N804" s="277"/>
      <c r="O804" s="277"/>
      <c r="P804" s="277">
        <f>IF(BU76&gt;0,ROUND(BU76,0),0)</f>
        <v>5288</v>
      </c>
      <c r="Q804" s="277">
        <f>IF(BU77&gt;0,ROUND(BU77,0),0)</f>
        <v>0</v>
      </c>
      <c r="R804" s="277">
        <f>IF(BU78&gt;0,ROUND(BU78,0),0)</f>
        <v>242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010*2021*8690*A</v>
      </c>
      <c r="B805" s="277"/>
      <c r="C805" s="279">
        <f>ROUND(BV60,2)</f>
        <v>40.520000000000003</v>
      </c>
      <c r="D805" s="277">
        <f>ROUND(BV61,0)</f>
        <v>1263143</v>
      </c>
      <c r="E805" s="277">
        <f>ROUND(BV62,0)</f>
        <v>224025</v>
      </c>
      <c r="F805" s="277">
        <f>ROUND(BV63,0)</f>
        <v>0</v>
      </c>
      <c r="G805" s="277">
        <f>ROUND(BV64,0)</f>
        <v>5494</v>
      </c>
      <c r="H805" s="277">
        <f>ROUND(BV65,0)</f>
        <v>31591</v>
      </c>
      <c r="I805" s="277">
        <f>ROUND(BV66,0)</f>
        <v>299338</v>
      </c>
      <c r="J805" s="277">
        <f>ROUND(BV67,0)</f>
        <v>78488</v>
      </c>
      <c r="K805" s="277">
        <f>ROUND(BV68,0)</f>
        <v>240757</v>
      </c>
      <c r="L805" s="277">
        <f>ROUND(BV69,0)</f>
        <v>127604</v>
      </c>
      <c r="M805" s="277">
        <f>ROUND(BV70,0)</f>
        <v>106517</v>
      </c>
      <c r="N805" s="277"/>
      <c r="O805" s="277"/>
      <c r="P805" s="277">
        <f>IF(BV76&gt;0,ROUND(BV76,0),0)</f>
        <v>13988</v>
      </c>
      <c r="Q805" s="277">
        <f>IF(BV77&gt;0,ROUND(BV77,0),0)</f>
        <v>0</v>
      </c>
      <c r="R805" s="277">
        <f>IF(BV78&gt;0,ROUND(BV78,0),0)</f>
        <v>641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010*2021*8700*A</v>
      </c>
      <c r="B806" s="277"/>
      <c r="C806" s="279">
        <f>ROUND(BW60,2)</f>
        <v>7.19</v>
      </c>
      <c r="D806" s="277">
        <f>ROUND(BW61,0)</f>
        <v>2554203</v>
      </c>
      <c r="E806" s="277">
        <f>ROUND(BW62,0)</f>
        <v>-6800762</v>
      </c>
      <c r="F806" s="277">
        <f>ROUND(BW63,0)</f>
        <v>0</v>
      </c>
      <c r="G806" s="277">
        <f>ROUND(BW64,0)</f>
        <v>2168</v>
      </c>
      <c r="H806" s="277">
        <f>ROUND(BW65,0)</f>
        <v>581</v>
      </c>
      <c r="I806" s="277">
        <f>ROUND(BW66,0)</f>
        <v>52361</v>
      </c>
      <c r="J806" s="277">
        <f>ROUND(BW67,0)</f>
        <v>41</v>
      </c>
      <c r="K806" s="277">
        <f>ROUND(BW68,0)</f>
        <v>0</v>
      </c>
      <c r="L806" s="277">
        <f>ROUND(BW69,0)</f>
        <v>655453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010*2021*8710*A</v>
      </c>
      <c r="B807" s="277"/>
      <c r="C807" s="279">
        <f>ROUND(BX60,2)</f>
        <v>59.54</v>
      </c>
      <c r="D807" s="277">
        <f>ROUND(BX61,0)</f>
        <v>3371545</v>
      </c>
      <c r="E807" s="277">
        <f>ROUND(BX62,0)</f>
        <v>638147</v>
      </c>
      <c r="F807" s="277">
        <f>ROUND(BX63,0)</f>
        <v>44791</v>
      </c>
      <c r="G807" s="277">
        <f>ROUND(BX64,0)</f>
        <v>15747</v>
      </c>
      <c r="H807" s="277">
        <f>ROUND(BX65,0)</f>
        <v>31596</v>
      </c>
      <c r="I807" s="277">
        <f>ROUND(BX66,0)</f>
        <v>1127679</v>
      </c>
      <c r="J807" s="277">
        <f>ROUND(BX67,0)</f>
        <v>58479</v>
      </c>
      <c r="K807" s="277">
        <f>ROUND(BX68,0)</f>
        <v>186214</v>
      </c>
      <c r="L807" s="277">
        <f>ROUND(BX69,0)</f>
        <v>941969</v>
      </c>
      <c r="M807" s="277">
        <f>ROUND(BX70,0)</f>
        <v>408932</v>
      </c>
      <c r="N807" s="277"/>
      <c r="O807" s="277"/>
      <c r="P807" s="277">
        <f>IF(BX76&gt;0,ROUND(BX76,0),0)</f>
        <v>22200</v>
      </c>
      <c r="Q807" s="277">
        <f>IF(BX77&gt;0,ROUND(BX77,0),0)</f>
        <v>0</v>
      </c>
      <c r="R807" s="277">
        <f>IF(BX78&gt;0,ROUND(BX78,0),0)</f>
        <v>1018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010*2021*8720*A</v>
      </c>
      <c r="B808" s="277"/>
      <c r="C808" s="279">
        <f>ROUND(BY60,2)</f>
        <v>50.31</v>
      </c>
      <c r="D808" s="277">
        <f>ROUND(BY61,0)</f>
        <v>2648319</v>
      </c>
      <c r="E808" s="277">
        <f>ROUND(BY62,0)</f>
        <v>466962</v>
      </c>
      <c r="F808" s="277">
        <f>ROUND(BY63,0)</f>
        <v>0</v>
      </c>
      <c r="G808" s="277">
        <f>ROUND(BY64,0)</f>
        <v>83271</v>
      </c>
      <c r="H808" s="277">
        <f>ROUND(BY65,0)</f>
        <v>24873</v>
      </c>
      <c r="I808" s="277">
        <f>ROUND(BY66,0)</f>
        <v>59019</v>
      </c>
      <c r="J808" s="277">
        <f>ROUND(BY67,0)</f>
        <v>94934</v>
      </c>
      <c r="K808" s="277">
        <f>ROUND(BY68,0)</f>
        <v>8298</v>
      </c>
      <c r="L808" s="277">
        <f>ROUND(BY69,0)</f>
        <v>118620</v>
      </c>
      <c r="M808" s="277">
        <f>ROUND(BY70,0)</f>
        <v>9927</v>
      </c>
      <c r="N808" s="277"/>
      <c r="O808" s="277"/>
      <c r="P808" s="277">
        <f>IF(BY76&gt;0,ROUND(BY76,0),0)</f>
        <v>6600</v>
      </c>
      <c r="Q808" s="277">
        <f>IF(BY77&gt;0,ROUND(BY77,0),0)</f>
        <v>0</v>
      </c>
      <c r="R808" s="277">
        <f>IF(BY78&gt;0,ROUND(BY78,0),0)</f>
        <v>303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010*2021*8730*A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010*2021*8740*A</v>
      </c>
      <c r="B810" s="277"/>
      <c r="C810" s="279">
        <f>ROUND(CA60,2)</f>
        <v>54.89</v>
      </c>
      <c r="D810" s="277">
        <f>ROUND(CA61,0)</f>
        <v>2610874</v>
      </c>
      <c r="E810" s="277">
        <f>ROUND(CA62,0)</f>
        <v>486394</v>
      </c>
      <c r="F810" s="277">
        <f>ROUND(CA63,0)</f>
        <v>0</v>
      </c>
      <c r="G810" s="277">
        <f>ROUND(CA64,0)</f>
        <v>3667</v>
      </c>
      <c r="H810" s="277">
        <f>ROUND(CA65,0)</f>
        <v>4393</v>
      </c>
      <c r="I810" s="277">
        <f>ROUND(CA66,0)</f>
        <v>57755</v>
      </c>
      <c r="J810" s="277">
        <f>ROUND(CA67,0)</f>
        <v>3738</v>
      </c>
      <c r="K810" s="277">
        <f>ROUND(CA68,0)</f>
        <v>0</v>
      </c>
      <c r="L810" s="277">
        <f>ROUND(CA69,0)</f>
        <v>25933</v>
      </c>
      <c r="M810" s="277">
        <f>ROUND(CA70,0)</f>
        <v>11948</v>
      </c>
      <c r="N810" s="277"/>
      <c r="O810" s="277"/>
      <c r="P810" s="277">
        <f>IF(CA76&gt;0,ROUND(CA76,0),0)</f>
        <v>4031</v>
      </c>
      <c r="Q810" s="277">
        <f>IF(CA77&gt;0,ROUND(CA77,0),0)</f>
        <v>0</v>
      </c>
      <c r="R810" s="277">
        <f>IF(CA78&gt;0,ROUND(CA78,0),0)</f>
        <v>186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010*2021*8770*A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010*2021*8790*A</v>
      </c>
      <c r="B812" s="277"/>
      <c r="C812" s="279">
        <f>ROUND(CC60,2)</f>
        <v>32.049999999999997</v>
      </c>
      <c r="D812" s="277">
        <f>ROUND(CC61,0)</f>
        <v>1371078</v>
      </c>
      <c r="E812" s="277">
        <f>ROUND(CC62,0)</f>
        <v>135781</v>
      </c>
      <c r="F812" s="277">
        <f>ROUND(CC63,0)</f>
        <v>118483</v>
      </c>
      <c r="G812" s="277">
        <f>ROUND(CC64,0)</f>
        <v>469937</v>
      </c>
      <c r="H812" s="277">
        <f>ROUND(CC65,0)</f>
        <v>84991</v>
      </c>
      <c r="I812" s="277">
        <f>ROUND(CC66,0)</f>
        <v>1859104</v>
      </c>
      <c r="J812" s="277">
        <f>ROUND(CC67,0)</f>
        <v>259723</v>
      </c>
      <c r="K812" s="277">
        <f>ROUND(CC68,0)</f>
        <v>806303</v>
      </c>
      <c r="L812" s="277">
        <f>ROUND(CC69,0)</f>
        <v>345490</v>
      </c>
      <c r="M812" s="277">
        <f>ROUND(CC70,0)</f>
        <v>2523759</v>
      </c>
      <c r="N812" s="277"/>
      <c r="O812" s="277"/>
      <c r="P812" s="277">
        <f>IF(CC76&gt;0,ROUND(CC76,0),0)</f>
        <v>10559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010*2021*9000*A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25011384</v>
      </c>
      <c r="V813" s="278">
        <f>ROUND(CD70,0)</f>
        <v>3513000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3">SUM(C734:C813)</f>
        <v>4752.32</v>
      </c>
      <c r="D815" s="278">
        <f t="shared" si="23"/>
        <v>280618062</v>
      </c>
      <c r="E815" s="278">
        <f t="shared" si="23"/>
        <v>58852014</v>
      </c>
      <c r="F815" s="278">
        <f t="shared" si="23"/>
        <v>6090848</v>
      </c>
      <c r="G815" s="278">
        <f t="shared" si="23"/>
        <v>137076717</v>
      </c>
      <c r="H815" s="278">
        <f t="shared" si="23"/>
        <v>6171902</v>
      </c>
      <c r="I815" s="278">
        <f t="shared" si="23"/>
        <v>24982114</v>
      </c>
      <c r="J815" s="278">
        <f t="shared" si="23"/>
        <v>19211307</v>
      </c>
      <c r="K815" s="278">
        <f t="shared" si="23"/>
        <v>12483988</v>
      </c>
      <c r="L815" s="278">
        <f>SUM(L734:L813)+SUM(U734:U813)</f>
        <v>46515884</v>
      </c>
      <c r="M815" s="278">
        <f>SUM(M734:M813)+SUM(V734:V813)</f>
        <v>25453841</v>
      </c>
      <c r="N815" s="278">
        <f t="shared" ref="N815:Y815" si="24">SUM(N734:N813)</f>
        <v>1390793607</v>
      </c>
      <c r="O815" s="278">
        <f t="shared" si="24"/>
        <v>411248908</v>
      </c>
      <c r="P815" s="278">
        <f t="shared" si="24"/>
        <v>1557316</v>
      </c>
      <c r="Q815" s="278">
        <f t="shared" si="24"/>
        <v>157651</v>
      </c>
      <c r="R815" s="278">
        <f t="shared" si="24"/>
        <v>49542</v>
      </c>
      <c r="S815" s="278">
        <f t="shared" si="24"/>
        <v>1187870</v>
      </c>
      <c r="T815" s="282">
        <f t="shared" si="24"/>
        <v>1532.41</v>
      </c>
      <c r="U815" s="278">
        <f t="shared" si="24"/>
        <v>25011384</v>
      </c>
      <c r="V815" s="278">
        <f t="shared" si="24"/>
        <v>3513000</v>
      </c>
      <c r="W815" s="278">
        <f t="shared" si="24"/>
        <v>0</v>
      </c>
      <c r="X815" s="278">
        <f t="shared" si="24"/>
        <v>0</v>
      </c>
      <c r="Y815" s="278">
        <f t="shared" si="24"/>
        <v>116032044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4752.32</v>
      </c>
      <c r="D816" s="278">
        <f>CE61</f>
        <v>280618062</v>
      </c>
      <c r="E816" s="278">
        <f>CE62</f>
        <v>58852014</v>
      </c>
      <c r="F816" s="278">
        <f>CE63</f>
        <v>6090848</v>
      </c>
      <c r="G816" s="278">
        <f>CE64</f>
        <v>137076717</v>
      </c>
      <c r="H816" s="281">
        <f>CE65</f>
        <v>6171902</v>
      </c>
      <c r="I816" s="281">
        <f>CE66</f>
        <v>24982114</v>
      </c>
      <c r="J816" s="281">
        <f>CE67</f>
        <v>19211307</v>
      </c>
      <c r="K816" s="281">
        <f>CE68</f>
        <v>12483988</v>
      </c>
      <c r="L816" s="281">
        <f>CE69</f>
        <v>46515884</v>
      </c>
      <c r="M816" s="281">
        <f>CE70</f>
        <v>25453841</v>
      </c>
      <c r="N816" s="278">
        <f>CE75</f>
        <v>1390793607</v>
      </c>
      <c r="O816" s="278">
        <f>CE73</f>
        <v>411248908</v>
      </c>
      <c r="P816" s="278">
        <f>CE76</f>
        <v>1557316</v>
      </c>
      <c r="Q816" s="278">
        <f>CE77</f>
        <v>157651</v>
      </c>
      <c r="R816" s="278">
        <f>CE78</f>
        <v>49542</v>
      </c>
      <c r="S816" s="278">
        <f>CE79</f>
        <v>1187870</v>
      </c>
      <c r="T816" s="282">
        <f>CE80</f>
        <v>1532.41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116032045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280618062</v>
      </c>
      <c r="E817" s="180">
        <f>C379</f>
        <v>58852014</v>
      </c>
      <c r="F817" s="180">
        <f>C380</f>
        <v>6090848</v>
      </c>
      <c r="G817" s="241">
        <f>C381</f>
        <v>137076717</v>
      </c>
      <c r="H817" s="241">
        <f>C382</f>
        <v>6171902</v>
      </c>
      <c r="I817" s="241">
        <f>C383</f>
        <v>24982114</v>
      </c>
      <c r="J817" s="241">
        <f>C384</f>
        <v>19211307</v>
      </c>
      <c r="K817" s="241">
        <f>C385</f>
        <v>12483988</v>
      </c>
      <c r="L817" s="241">
        <f>C386+C387+C388+C389</f>
        <v>44003740.43</v>
      </c>
      <c r="M817" s="241">
        <f>C370</f>
        <v>25453841</v>
      </c>
      <c r="N817" s="180">
        <f>D361</f>
        <v>1390793607</v>
      </c>
      <c r="O817" s="180">
        <f>C359</f>
        <v>411248908</v>
      </c>
    </row>
  </sheetData>
  <sheetProtection algorithmName="SHA-512" hashValue="45urTBKoim5ho2TYp8M/VokwRB7+SUWXtDas8RTbHm+ksO2fDkbpLoIHoMP8KpL1GYPRzWr909qhbnNeFz3uLg==" saltValue="/xn9XSm83lYhLh3YtRRGkg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C362" transitionEvaluation="1" transitionEntry="1" codeName="Sheet10">
    <pageSetUpPr autoPageBreaks="0" fitToPage="1"/>
  </sheetPr>
  <dimension ref="A1:CF816"/>
  <sheetViews>
    <sheetView showGridLines="0" topLeftCell="A43" zoomScale="90" zoomScaleNormal="90" workbookViewId="0">
      <pane xSplit="2" ySplit="4" topLeftCell="C362" activePane="bottomRight" state="frozen"/>
      <selection activeCell="A43" sqref="A43"/>
      <selection pane="topRight" activeCell="C43" sqref="C43"/>
      <selection pane="bottomLeft" activeCell="A47" sqref="A47"/>
      <selection pane="bottomRight" activeCell="A47" sqref="A4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4" t="s">
        <v>1265</v>
      </c>
      <c r="C16" s="236"/>
    </row>
    <row r="17" spans="1:7" ht="12.75" customHeight="1" x14ac:dyDescent="0.35">
      <c r="A17" s="294" t="s">
        <v>1264</v>
      </c>
      <c r="C17" s="289"/>
      <c r="F17" s="237"/>
    </row>
    <row r="18" spans="1:7" ht="12.75" customHeight="1" x14ac:dyDescent="0.35">
      <c r="A18" s="292"/>
      <c r="C18" s="236"/>
    </row>
    <row r="19" spans="1:7" ht="12.75" customHeight="1" x14ac:dyDescent="0.35">
      <c r="C19" s="236"/>
    </row>
    <row r="20" spans="1:7" ht="12.75" customHeight="1" x14ac:dyDescent="0.35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5">
      <c r="A21" s="199"/>
      <c r="C21" s="236"/>
    </row>
    <row r="22" spans="1:7" ht="12.65" customHeight="1" x14ac:dyDescent="0.35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4" ht="12.65" customHeight="1" x14ac:dyDescent="0.35">
      <c r="A33" s="198" t="s">
        <v>1236</v>
      </c>
      <c r="C33" s="236"/>
    </row>
    <row r="34" spans="1:84" ht="12.65" customHeight="1" x14ac:dyDescent="0.35">
      <c r="A34" s="199" t="s">
        <v>9</v>
      </c>
      <c r="C34" s="236"/>
    </row>
    <row r="35" spans="1:84" ht="12.65" customHeight="1" x14ac:dyDescent="0.35">
      <c r="A35" s="199"/>
      <c r="C35" s="236"/>
    </row>
    <row r="36" spans="1:84" ht="12.65" customHeight="1" x14ac:dyDescent="0.35">
      <c r="A36" s="198" t="s">
        <v>1237</v>
      </c>
      <c r="C36" s="236"/>
    </row>
    <row r="37" spans="1:84" ht="12.65" customHeight="1" x14ac:dyDescent="0.35">
      <c r="A37" s="199" t="s">
        <v>1229</v>
      </c>
      <c r="C37" s="236"/>
    </row>
    <row r="38" spans="1:84" ht="12" customHeight="1" x14ac:dyDescent="0.35">
      <c r="A38" s="198"/>
      <c r="C38" s="236"/>
    </row>
    <row r="39" spans="1:84" ht="12.65" customHeight="1" x14ac:dyDescent="0.35">
      <c r="A39" s="199"/>
      <c r="C39" s="236"/>
    </row>
    <row r="40" spans="1:84" ht="12" customHeight="1" x14ac:dyDescent="0.35">
      <c r="A40" s="199"/>
      <c r="C40" s="236"/>
    </row>
    <row r="41" spans="1:84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4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4" ht="12" customHeight="1" x14ac:dyDescent="0.35">
      <c r="A43" s="199"/>
      <c r="C43" s="236"/>
      <c r="F43" s="181"/>
    </row>
    <row r="44" spans="1:84" ht="12" customHeight="1" x14ac:dyDescent="0.35">
      <c r="A44" s="297"/>
      <c r="B44" s="297"/>
      <c r="C44" s="298" t="s">
        <v>10</v>
      </c>
      <c r="D44" s="299" t="s">
        <v>11</v>
      </c>
      <c r="E44" s="299" t="s">
        <v>12</v>
      </c>
      <c r="F44" s="299" t="s">
        <v>13</v>
      </c>
      <c r="G44" s="299" t="s">
        <v>14</v>
      </c>
      <c r="H44" s="299" t="s">
        <v>15</v>
      </c>
      <c r="I44" s="299" t="s">
        <v>16</v>
      </c>
      <c r="J44" s="299" t="s">
        <v>17</v>
      </c>
      <c r="K44" s="299" t="s">
        <v>18</v>
      </c>
      <c r="L44" s="299" t="s">
        <v>19</v>
      </c>
      <c r="M44" s="299" t="s">
        <v>20</v>
      </c>
      <c r="N44" s="299" t="s">
        <v>21</v>
      </c>
      <c r="O44" s="299" t="s">
        <v>22</v>
      </c>
      <c r="P44" s="299" t="s">
        <v>23</v>
      </c>
      <c r="Q44" s="299" t="s">
        <v>24</v>
      </c>
      <c r="R44" s="299" t="s">
        <v>25</v>
      </c>
      <c r="S44" s="299" t="s">
        <v>26</v>
      </c>
      <c r="T44" s="299" t="s">
        <v>27</v>
      </c>
      <c r="U44" s="299" t="s">
        <v>28</v>
      </c>
      <c r="V44" s="299" t="s">
        <v>29</v>
      </c>
      <c r="W44" s="299" t="s">
        <v>30</v>
      </c>
      <c r="X44" s="299" t="s">
        <v>31</v>
      </c>
      <c r="Y44" s="299" t="s">
        <v>32</v>
      </c>
      <c r="Z44" s="299" t="s">
        <v>33</v>
      </c>
      <c r="AA44" s="299" t="s">
        <v>34</v>
      </c>
      <c r="AB44" s="299" t="s">
        <v>35</v>
      </c>
      <c r="AC44" s="299" t="s">
        <v>36</v>
      </c>
      <c r="AD44" s="299" t="s">
        <v>37</v>
      </c>
      <c r="AE44" s="299" t="s">
        <v>38</v>
      </c>
      <c r="AF44" s="299" t="s">
        <v>39</v>
      </c>
      <c r="AG44" s="299" t="s">
        <v>40</v>
      </c>
      <c r="AH44" s="299" t="s">
        <v>41</v>
      </c>
      <c r="AI44" s="299" t="s">
        <v>42</v>
      </c>
      <c r="AJ44" s="299" t="s">
        <v>43</v>
      </c>
      <c r="AK44" s="299" t="s">
        <v>44</v>
      </c>
      <c r="AL44" s="299" t="s">
        <v>45</v>
      </c>
      <c r="AM44" s="299" t="s">
        <v>46</v>
      </c>
      <c r="AN44" s="299" t="s">
        <v>47</v>
      </c>
      <c r="AO44" s="299" t="s">
        <v>48</v>
      </c>
      <c r="AP44" s="299" t="s">
        <v>49</v>
      </c>
      <c r="AQ44" s="299" t="s">
        <v>50</v>
      </c>
      <c r="AR44" s="299" t="s">
        <v>51</v>
      </c>
      <c r="AS44" s="299" t="s">
        <v>52</v>
      </c>
      <c r="AT44" s="299" t="s">
        <v>53</v>
      </c>
      <c r="AU44" s="299" t="s">
        <v>54</v>
      </c>
      <c r="AV44" s="299" t="s">
        <v>55</v>
      </c>
      <c r="AW44" s="299" t="s">
        <v>56</v>
      </c>
      <c r="AX44" s="299" t="s">
        <v>57</v>
      </c>
      <c r="AY44" s="299" t="s">
        <v>58</v>
      </c>
      <c r="AZ44" s="299" t="s">
        <v>59</v>
      </c>
      <c r="BA44" s="299" t="s">
        <v>60</v>
      </c>
      <c r="BB44" s="299" t="s">
        <v>61</v>
      </c>
      <c r="BC44" s="299" t="s">
        <v>62</v>
      </c>
      <c r="BD44" s="299" t="s">
        <v>63</v>
      </c>
      <c r="BE44" s="299" t="s">
        <v>64</v>
      </c>
      <c r="BF44" s="299" t="s">
        <v>65</v>
      </c>
      <c r="BG44" s="299" t="s">
        <v>66</v>
      </c>
      <c r="BH44" s="299" t="s">
        <v>67</v>
      </c>
      <c r="BI44" s="299" t="s">
        <v>68</v>
      </c>
      <c r="BJ44" s="299" t="s">
        <v>69</v>
      </c>
      <c r="BK44" s="299" t="s">
        <v>70</v>
      </c>
      <c r="BL44" s="299" t="s">
        <v>71</v>
      </c>
      <c r="BM44" s="299" t="s">
        <v>72</v>
      </c>
      <c r="BN44" s="299" t="s">
        <v>73</v>
      </c>
      <c r="BO44" s="299" t="s">
        <v>74</v>
      </c>
      <c r="BP44" s="299" t="s">
        <v>75</v>
      </c>
      <c r="BQ44" s="299" t="s">
        <v>76</v>
      </c>
      <c r="BR44" s="299" t="s">
        <v>77</v>
      </c>
      <c r="BS44" s="299" t="s">
        <v>78</v>
      </c>
      <c r="BT44" s="299" t="s">
        <v>79</v>
      </c>
      <c r="BU44" s="299" t="s">
        <v>80</v>
      </c>
      <c r="BV44" s="299" t="s">
        <v>81</v>
      </c>
      <c r="BW44" s="299" t="s">
        <v>82</v>
      </c>
      <c r="BX44" s="299" t="s">
        <v>83</v>
      </c>
      <c r="BY44" s="299" t="s">
        <v>84</v>
      </c>
      <c r="BZ44" s="299" t="s">
        <v>85</v>
      </c>
      <c r="CA44" s="299" t="s">
        <v>86</v>
      </c>
      <c r="CB44" s="299" t="s">
        <v>87</v>
      </c>
      <c r="CC44" s="299" t="s">
        <v>88</v>
      </c>
      <c r="CD44" s="299" t="s">
        <v>89</v>
      </c>
      <c r="CE44" s="299" t="s">
        <v>90</v>
      </c>
      <c r="CF44" s="2"/>
    </row>
    <row r="45" spans="1:84" ht="12" customHeight="1" x14ac:dyDescent="0.35">
      <c r="A45" s="297"/>
      <c r="B45" s="300" t="s">
        <v>91</v>
      </c>
      <c r="C45" s="298" t="s">
        <v>92</v>
      </c>
      <c r="D45" s="299" t="s">
        <v>93</v>
      </c>
      <c r="E45" s="299" t="s">
        <v>94</v>
      </c>
      <c r="F45" s="299" t="s">
        <v>95</v>
      </c>
      <c r="G45" s="299" t="s">
        <v>96</v>
      </c>
      <c r="H45" s="299" t="s">
        <v>97</v>
      </c>
      <c r="I45" s="299" t="s">
        <v>98</v>
      </c>
      <c r="J45" s="299" t="s">
        <v>99</v>
      </c>
      <c r="K45" s="299" t="s">
        <v>100</v>
      </c>
      <c r="L45" s="299" t="s">
        <v>101</v>
      </c>
      <c r="M45" s="299" t="s">
        <v>102</v>
      </c>
      <c r="N45" s="299" t="s">
        <v>103</v>
      </c>
      <c r="O45" s="299" t="s">
        <v>104</v>
      </c>
      <c r="P45" s="299" t="s">
        <v>105</v>
      </c>
      <c r="Q45" s="299" t="s">
        <v>106</v>
      </c>
      <c r="R45" s="299" t="s">
        <v>107</v>
      </c>
      <c r="S45" s="299" t="s">
        <v>108</v>
      </c>
      <c r="T45" s="299" t="s">
        <v>1194</v>
      </c>
      <c r="U45" s="299" t="s">
        <v>109</v>
      </c>
      <c r="V45" s="299" t="s">
        <v>110</v>
      </c>
      <c r="W45" s="299" t="s">
        <v>111</v>
      </c>
      <c r="X45" s="299" t="s">
        <v>112</v>
      </c>
      <c r="Y45" s="299" t="s">
        <v>113</v>
      </c>
      <c r="Z45" s="299" t="s">
        <v>113</v>
      </c>
      <c r="AA45" s="299" t="s">
        <v>114</v>
      </c>
      <c r="AB45" s="299" t="s">
        <v>115</v>
      </c>
      <c r="AC45" s="299" t="s">
        <v>116</v>
      </c>
      <c r="AD45" s="299" t="s">
        <v>117</v>
      </c>
      <c r="AE45" s="299" t="s">
        <v>96</v>
      </c>
      <c r="AF45" s="299" t="s">
        <v>97</v>
      </c>
      <c r="AG45" s="299" t="s">
        <v>118</v>
      </c>
      <c r="AH45" s="299" t="s">
        <v>119</v>
      </c>
      <c r="AI45" s="299" t="s">
        <v>120</v>
      </c>
      <c r="AJ45" s="299" t="s">
        <v>121</v>
      </c>
      <c r="AK45" s="299" t="s">
        <v>122</v>
      </c>
      <c r="AL45" s="299" t="s">
        <v>123</v>
      </c>
      <c r="AM45" s="299" t="s">
        <v>124</v>
      </c>
      <c r="AN45" s="299" t="s">
        <v>110</v>
      </c>
      <c r="AO45" s="299" t="s">
        <v>125</v>
      </c>
      <c r="AP45" s="299" t="s">
        <v>126</v>
      </c>
      <c r="AQ45" s="299" t="s">
        <v>127</v>
      </c>
      <c r="AR45" s="299" t="s">
        <v>128</v>
      </c>
      <c r="AS45" s="299" t="s">
        <v>129</v>
      </c>
      <c r="AT45" s="299" t="s">
        <v>130</v>
      </c>
      <c r="AU45" s="299" t="s">
        <v>131</v>
      </c>
      <c r="AV45" s="299" t="s">
        <v>132</v>
      </c>
      <c r="AW45" s="299" t="s">
        <v>133</v>
      </c>
      <c r="AX45" s="299" t="s">
        <v>134</v>
      </c>
      <c r="AY45" s="299" t="s">
        <v>135</v>
      </c>
      <c r="AZ45" s="299" t="s">
        <v>136</v>
      </c>
      <c r="BA45" s="299" t="s">
        <v>137</v>
      </c>
      <c r="BB45" s="299" t="s">
        <v>138</v>
      </c>
      <c r="BC45" s="299" t="s">
        <v>108</v>
      </c>
      <c r="BD45" s="299" t="s">
        <v>139</v>
      </c>
      <c r="BE45" s="299" t="s">
        <v>140</v>
      </c>
      <c r="BF45" s="299" t="s">
        <v>141</v>
      </c>
      <c r="BG45" s="299" t="s">
        <v>142</v>
      </c>
      <c r="BH45" s="299" t="s">
        <v>143</v>
      </c>
      <c r="BI45" s="299" t="s">
        <v>144</v>
      </c>
      <c r="BJ45" s="299" t="s">
        <v>145</v>
      </c>
      <c r="BK45" s="299" t="s">
        <v>146</v>
      </c>
      <c r="BL45" s="299" t="s">
        <v>147</v>
      </c>
      <c r="BM45" s="299" t="s">
        <v>132</v>
      </c>
      <c r="BN45" s="299" t="s">
        <v>148</v>
      </c>
      <c r="BO45" s="299" t="s">
        <v>149</v>
      </c>
      <c r="BP45" s="299" t="s">
        <v>150</v>
      </c>
      <c r="BQ45" s="299" t="s">
        <v>151</v>
      </c>
      <c r="BR45" s="299" t="s">
        <v>152</v>
      </c>
      <c r="BS45" s="299" t="s">
        <v>153</v>
      </c>
      <c r="BT45" s="299" t="s">
        <v>154</v>
      </c>
      <c r="BU45" s="299" t="s">
        <v>155</v>
      </c>
      <c r="BV45" s="299" t="s">
        <v>155</v>
      </c>
      <c r="BW45" s="299" t="s">
        <v>155</v>
      </c>
      <c r="BX45" s="299" t="s">
        <v>156</v>
      </c>
      <c r="BY45" s="299" t="s">
        <v>157</v>
      </c>
      <c r="BZ45" s="299" t="s">
        <v>158</v>
      </c>
      <c r="CA45" s="299" t="s">
        <v>159</v>
      </c>
      <c r="CB45" s="299" t="s">
        <v>160</v>
      </c>
      <c r="CC45" s="299" t="s">
        <v>132</v>
      </c>
      <c r="CD45" s="299"/>
      <c r="CE45" s="299" t="s">
        <v>161</v>
      </c>
      <c r="CF45" s="2"/>
    </row>
    <row r="46" spans="1:84" ht="12.65" customHeight="1" x14ac:dyDescent="0.35">
      <c r="A46" s="297" t="s">
        <v>3</v>
      </c>
      <c r="B46" s="299" t="s">
        <v>162</v>
      </c>
      <c r="C46" s="298" t="s">
        <v>163</v>
      </c>
      <c r="D46" s="299" t="s">
        <v>163</v>
      </c>
      <c r="E46" s="299" t="s">
        <v>163</v>
      </c>
      <c r="F46" s="299" t="s">
        <v>164</v>
      </c>
      <c r="G46" s="299" t="s">
        <v>165</v>
      </c>
      <c r="H46" s="299" t="s">
        <v>163</v>
      </c>
      <c r="I46" s="299" t="s">
        <v>166</v>
      </c>
      <c r="J46" s="299"/>
      <c r="K46" s="299" t="s">
        <v>157</v>
      </c>
      <c r="L46" s="299" t="s">
        <v>167</v>
      </c>
      <c r="M46" s="299" t="s">
        <v>168</v>
      </c>
      <c r="N46" s="299" t="s">
        <v>169</v>
      </c>
      <c r="O46" s="299" t="s">
        <v>170</v>
      </c>
      <c r="P46" s="299" t="s">
        <v>169</v>
      </c>
      <c r="Q46" s="299" t="s">
        <v>171</v>
      </c>
      <c r="R46" s="299"/>
      <c r="S46" s="299" t="s">
        <v>169</v>
      </c>
      <c r="T46" s="299" t="s">
        <v>172</v>
      </c>
      <c r="U46" s="299"/>
      <c r="V46" s="299" t="s">
        <v>173</v>
      </c>
      <c r="W46" s="299" t="s">
        <v>174</v>
      </c>
      <c r="X46" s="299" t="s">
        <v>175</v>
      </c>
      <c r="Y46" s="299" t="s">
        <v>176</v>
      </c>
      <c r="Z46" s="299" t="s">
        <v>177</v>
      </c>
      <c r="AA46" s="299" t="s">
        <v>178</v>
      </c>
      <c r="AB46" s="299"/>
      <c r="AC46" s="299" t="s">
        <v>172</v>
      </c>
      <c r="AD46" s="299"/>
      <c r="AE46" s="299" t="s">
        <v>172</v>
      </c>
      <c r="AF46" s="299" t="s">
        <v>179</v>
      </c>
      <c r="AG46" s="299" t="s">
        <v>171</v>
      </c>
      <c r="AH46" s="299"/>
      <c r="AI46" s="299" t="s">
        <v>180</v>
      </c>
      <c r="AJ46" s="299"/>
      <c r="AK46" s="299" t="s">
        <v>172</v>
      </c>
      <c r="AL46" s="299" t="s">
        <v>172</v>
      </c>
      <c r="AM46" s="299" t="s">
        <v>172</v>
      </c>
      <c r="AN46" s="299" t="s">
        <v>181</v>
      </c>
      <c r="AO46" s="299" t="s">
        <v>182</v>
      </c>
      <c r="AP46" s="299" t="s">
        <v>121</v>
      </c>
      <c r="AQ46" s="299" t="s">
        <v>183</v>
      </c>
      <c r="AR46" s="299" t="s">
        <v>169</v>
      </c>
      <c r="AS46" s="299"/>
      <c r="AT46" s="299" t="s">
        <v>184</v>
      </c>
      <c r="AU46" s="299" t="s">
        <v>185</v>
      </c>
      <c r="AV46" s="299" t="s">
        <v>186</v>
      </c>
      <c r="AW46" s="299" t="s">
        <v>187</v>
      </c>
      <c r="AX46" s="299" t="s">
        <v>188</v>
      </c>
      <c r="AY46" s="299"/>
      <c r="AZ46" s="299"/>
      <c r="BA46" s="299" t="s">
        <v>189</v>
      </c>
      <c r="BB46" s="299" t="s">
        <v>169</v>
      </c>
      <c r="BC46" s="299" t="s">
        <v>183</v>
      </c>
      <c r="BD46" s="299"/>
      <c r="BE46" s="299"/>
      <c r="BF46" s="299"/>
      <c r="BG46" s="299"/>
      <c r="BH46" s="299" t="s">
        <v>190</v>
      </c>
      <c r="BI46" s="299" t="s">
        <v>169</v>
      </c>
      <c r="BJ46" s="299"/>
      <c r="BK46" s="299" t="s">
        <v>191</v>
      </c>
      <c r="BL46" s="299"/>
      <c r="BM46" s="299" t="s">
        <v>192</v>
      </c>
      <c r="BN46" s="299" t="s">
        <v>193</v>
      </c>
      <c r="BO46" s="299" t="s">
        <v>194</v>
      </c>
      <c r="BP46" s="299" t="s">
        <v>195</v>
      </c>
      <c r="BQ46" s="299" t="s">
        <v>196</v>
      </c>
      <c r="BR46" s="299"/>
      <c r="BS46" s="299" t="s">
        <v>197</v>
      </c>
      <c r="BT46" s="299" t="s">
        <v>169</v>
      </c>
      <c r="BU46" s="299" t="s">
        <v>198</v>
      </c>
      <c r="BV46" s="299" t="s">
        <v>199</v>
      </c>
      <c r="BW46" s="299" t="s">
        <v>200</v>
      </c>
      <c r="BX46" s="299" t="s">
        <v>151</v>
      </c>
      <c r="BY46" s="299" t="s">
        <v>193</v>
      </c>
      <c r="BZ46" s="299" t="s">
        <v>152</v>
      </c>
      <c r="CA46" s="299" t="s">
        <v>201</v>
      </c>
      <c r="CB46" s="299" t="s">
        <v>201</v>
      </c>
      <c r="CC46" s="299" t="s">
        <v>202</v>
      </c>
      <c r="CD46" s="299"/>
      <c r="CE46" s="299" t="s">
        <v>203</v>
      </c>
      <c r="CF46" s="2"/>
    </row>
    <row r="47" spans="1:84" ht="12.65" customHeight="1" x14ac:dyDescent="0.35">
      <c r="A47" s="297" t="s">
        <v>204</v>
      </c>
      <c r="B47" s="301">
        <f>SUM(C47:CC47)</f>
        <v>14125912</v>
      </c>
      <c r="C47" s="302">
        <v>7655</v>
      </c>
      <c r="D47" s="302"/>
      <c r="E47" s="302">
        <v>12808</v>
      </c>
      <c r="F47" s="302"/>
      <c r="G47" s="302"/>
      <c r="H47" s="302"/>
      <c r="I47" s="302"/>
      <c r="J47" s="302"/>
      <c r="K47" s="302">
        <v>98850</v>
      </c>
      <c r="L47" s="302"/>
      <c r="M47" s="302"/>
      <c r="N47" s="302"/>
      <c r="O47" s="302"/>
      <c r="P47" s="302">
        <v>1731</v>
      </c>
      <c r="Q47" s="302">
        <v>20954</v>
      </c>
      <c r="R47" s="302">
        <v>1976179</v>
      </c>
      <c r="S47" s="302">
        <v>2249</v>
      </c>
      <c r="T47" s="302"/>
      <c r="U47" s="302">
        <v>854033</v>
      </c>
      <c r="V47" s="302"/>
      <c r="W47" s="302">
        <v>228839</v>
      </c>
      <c r="X47" s="302">
        <v>390845</v>
      </c>
      <c r="Y47" s="302">
        <v>524915</v>
      </c>
      <c r="Z47" s="302">
        <v>633322</v>
      </c>
      <c r="AA47" s="302">
        <v>47157</v>
      </c>
      <c r="AB47" s="302">
        <v>20569</v>
      </c>
      <c r="AC47" s="302">
        <v>185</v>
      </c>
      <c r="AD47" s="302">
        <v>1381</v>
      </c>
      <c r="AE47" s="302">
        <v>291474</v>
      </c>
      <c r="AF47" s="302">
        <v>44666</v>
      </c>
      <c r="AG47" s="302">
        <v>796575</v>
      </c>
      <c r="AH47" s="302"/>
      <c r="AI47" s="302"/>
      <c r="AJ47" s="302">
        <v>14403718</v>
      </c>
      <c r="AK47" s="302"/>
      <c r="AL47" s="302"/>
      <c r="AM47" s="302"/>
      <c r="AN47" s="302"/>
      <c r="AO47" s="302"/>
      <c r="AP47" s="302">
        <v>8722140</v>
      </c>
      <c r="AQ47" s="302"/>
      <c r="AR47" s="302"/>
      <c r="AS47" s="302"/>
      <c r="AT47" s="302">
        <v>62708</v>
      </c>
      <c r="AU47" s="302"/>
      <c r="AV47" s="302">
        <v>284645</v>
      </c>
      <c r="AW47" s="302">
        <v>663598</v>
      </c>
      <c r="AX47" s="302"/>
      <c r="AY47" s="302"/>
      <c r="AZ47" s="302"/>
      <c r="BA47" s="302"/>
      <c r="BB47" s="302">
        <v>1182</v>
      </c>
      <c r="BC47" s="302"/>
      <c r="BD47" s="302">
        <v>229760</v>
      </c>
      <c r="BE47" s="302">
        <v>-11033</v>
      </c>
      <c r="BF47" s="302"/>
      <c r="BG47" s="302">
        <v>608</v>
      </c>
      <c r="BH47" s="302">
        <v>-1919725</v>
      </c>
      <c r="BI47" s="302">
        <v>16879</v>
      </c>
      <c r="BJ47" s="302">
        <v>-13514</v>
      </c>
      <c r="BK47" s="302">
        <v>110355</v>
      </c>
      <c r="BL47" s="302">
        <v>43271</v>
      </c>
      <c r="BM47" s="302">
        <v>42659</v>
      </c>
      <c r="BN47" s="302">
        <v>37592</v>
      </c>
      <c r="BO47" s="302">
        <v>448741</v>
      </c>
      <c r="BP47" s="302">
        <v>449</v>
      </c>
      <c r="BQ47" s="302"/>
      <c r="BR47" s="302">
        <v>98491</v>
      </c>
      <c r="BS47" s="302"/>
      <c r="BT47" s="302"/>
      <c r="BU47" s="302">
        <v>-967</v>
      </c>
      <c r="BV47" s="302">
        <v>261</v>
      </c>
      <c r="BW47" s="302">
        <v>-15200386</v>
      </c>
      <c r="BX47" s="302">
        <v>58927</v>
      </c>
      <c r="BY47" s="302">
        <v>22361</v>
      </c>
      <c r="BZ47" s="302"/>
      <c r="CA47" s="302">
        <v>49824</v>
      </c>
      <c r="CB47" s="302"/>
      <c r="CC47" s="302">
        <f>18987-6</f>
        <v>18981</v>
      </c>
      <c r="CD47" s="297"/>
      <c r="CE47" s="297">
        <f>SUM(C47:CC47)</f>
        <v>14125912</v>
      </c>
      <c r="CF47" s="2"/>
    </row>
    <row r="48" spans="1:84" ht="12.65" customHeight="1" x14ac:dyDescent="0.35">
      <c r="A48" s="297" t="s">
        <v>205</v>
      </c>
      <c r="B48" s="301">
        <f>114985972-B47</f>
        <v>100860060</v>
      </c>
      <c r="C48" s="303">
        <f>ROUND(((B48/CE61)*C61),0)</f>
        <v>1833135</v>
      </c>
      <c r="D48" s="303">
        <f>ROUND(((B48/CE61)*D61),0)</f>
        <v>0</v>
      </c>
      <c r="E48" s="297">
        <f>ROUND(((B48/CE61)*E61),0)</f>
        <v>7983040</v>
      </c>
      <c r="F48" s="297">
        <f>ROUND(((B48/CE61)*F61),0)</f>
        <v>0</v>
      </c>
      <c r="G48" s="297">
        <f>ROUND(((B48/CE61)*G61),0)</f>
        <v>0</v>
      </c>
      <c r="H48" s="297">
        <f>ROUND(((B48/CE61)*H61),0)</f>
        <v>0</v>
      </c>
      <c r="I48" s="297">
        <f>ROUND(((B48/CE61)*I61),0)</f>
        <v>0</v>
      </c>
      <c r="J48" s="297">
        <f>ROUND(((B48/CE61)*J61),0)</f>
        <v>0</v>
      </c>
      <c r="K48" s="297">
        <f>ROUND(((B48/CE61)*K61),0)</f>
        <v>1794596</v>
      </c>
      <c r="L48" s="297">
        <f>ROUND(((B48/CE61)*L61),0)</f>
        <v>0</v>
      </c>
      <c r="M48" s="297">
        <f>ROUND(((B48/CE61)*M61),0)</f>
        <v>0</v>
      </c>
      <c r="N48" s="297">
        <f>ROUND(((B48/CE61)*N61),0)</f>
        <v>0</v>
      </c>
      <c r="O48" s="297">
        <f>ROUND(((B48/CE61)*O61),0)</f>
        <v>0</v>
      </c>
      <c r="P48" s="297">
        <f>ROUND(((B48/CE61)*P61),0)</f>
        <v>2393600</v>
      </c>
      <c r="Q48" s="297">
        <f>ROUND(((B48/CE61)*Q61),0)</f>
        <v>1390945</v>
      </c>
      <c r="R48" s="297">
        <f>ROUND(((B48/CE61)*R61),0)</f>
        <v>3416212</v>
      </c>
      <c r="S48" s="297">
        <f>ROUND(((B48/CE61)*S61),0)</f>
        <v>1345753</v>
      </c>
      <c r="T48" s="297">
        <f>ROUND(((B48/CE61)*T61),0)</f>
        <v>413331</v>
      </c>
      <c r="U48" s="297">
        <f>ROUND(((B48/CE61)*U61),0)</f>
        <v>3016561</v>
      </c>
      <c r="V48" s="297">
        <f>ROUND(((B48/CE61)*V61),0)</f>
        <v>0</v>
      </c>
      <c r="W48" s="297">
        <f>ROUND(((B48/CE61)*W61),0)</f>
        <v>408150</v>
      </c>
      <c r="X48" s="297">
        <f>ROUND(((B48/CE61)*X61),0)</f>
        <v>698227</v>
      </c>
      <c r="Y48" s="297">
        <f>ROUND(((B48/CE61)*Y61),0)</f>
        <v>2375809</v>
      </c>
      <c r="Z48" s="297">
        <f>ROUND(((B48/CE61)*Z61),0)</f>
        <v>1218204</v>
      </c>
      <c r="AA48" s="297">
        <f>ROUND(((B48/CE61)*AA61),0)</f>
        <v>188839</v>
      </c>
      <c r="AB48" s="297">
        <f>ROUND(((B48/CE61)*AB61),0)</f>
        <v>1740621</v>
      </c>
      <c r="AC48" s="297">
        <f>ROUND(((B48/CE61)*AC61),0)</f>
        <v>354862</v>
      </c>
      <c r="AD48" s="297">
        <f>ROUND(((B48/CE61)*AD61),0)</f>
        <v>13248</v>
      </c>
      <c r="AE48" s="297">
        <f>ROUND(((B48/CE61)*AE61),0)</f>
        <v>1343647</v>
      </c>
      <c r="AF48" s="297">
        <f>ROUND(((B48/CE61)*AF61),0)</f>
        <v>103627</v>
      </c>
      <c r="AG48" s="297">
        <f>ROUND(((B48/CE61)*AG61),0)</f>
        <v>1815007</v>
      </c>
      <c r="AH48" s="297">
        <f>ROUND(((B48/CE61)*AH61),0)</f>
        <v>0</v>
      </c>
      <c r="AI48" s="297">
        <f>ROUND(((B48/CE61)*AI61),0)</f>
        <v>0</v>
      </c>
      <c r="AJ48" s="297">
        <f>ROUND(((B48/CE61)*AJ61),0)</f>
        <v>25524786</v>
      </c>
      <c r="AK48" s="297">
        <f>ROUND(((B48/CE61)*AK61),0)</f>
        <v>0</v>
      </c>
      <c r="AL48" s="297">
        <f>ROUND(((B48/CE61)*AL61),0)</f>
        <v>0</v>
      </c>
      <c r="AM48" s="297">
        <f>ROUND(((B48/CE61)*AM61),0)</f>
        <v>0</v>
      </c>
      <c r="AN48" s="297">
        <f>ROUND(((B48/CE61)*AN61),0)</f>
        <v>0</v>
      </c>
      <c r="AO48" s="297">
        <f>ROUND(((B48/CE61)*AO61),0)</f>
        <v>0</v>
      </c>
      <c r="AP48" s="297">
        <f>ROUND(((B48/CE61)*AP61),0)</f>
        <v>18369173</v>
      </c>
      <c r="AQ48" s="297">
        <f>ROUND(((B48/CE61)*AQ61),0)</f>
        <v>0</v>
      </c>
      <c r="AR48" s="297">
        <f>ROUND(((B48/CE61)*AR61),0)</f>
        <v>0</v>
      </c>
      <c r="AS48" s="297">
        <f>ROUND(((B48/CE61)*AS61),0)</f>
        <v>0</v>
      </c>
      <c r="AT48" s="297">
        <f>ROUND(((B48/CE61)*AT61),0)</f>
        <v>381534</v>
      </c>
      <c r="AU48" s="297">
        <f>ROUND(((B48/CE61)*AU61),0)</f>
        <v>0</v>
      </c>
      <c r="AV48" s="297">
        <f>ROUND(((B48/CE61)*AV61),0)</f>
        <v>1313412</v>
      </c>
      <c r="AW48" s="297">
        <f>ROUND(((B48/CE61)*AW61),0)</f>
        <v>2553053</v>
      </c>
      <c r="AX48" s="297">
        <f>ROUND(((B48/CE61)*AX61),0)</f>
        <v>72037</v>
      </c>
      <c r="AY48" s="297">
        <f>ROUND(((B48/CE61)*AY61),0)</f>
        <v>454680</v>
      </c>
      <c r="AZ48" s="297">
        <f>ROUND(((B48/CE61)*AZ61),0)</f>
        <v>221245</v>
      </c>
      <c r="BA48" s="297">
        <f>ROUND(((B48/CE61)*BA61),0)</f>
        <v>0</v>
      </c>
      <c r="BB48" s="297">
        <f>ROUND(((B48/CE61)*BB61),0)</f>
        <v>150271</v>
      </c>
      <c r="BC48" s="297">
        <f>ROUND(((B48/CE61)*BC61),0)</f>
        <v>0</v>
      </c>
      <c r="BD48" s="297">
        <f>ROUND(((B48/CE61)*BD61),0)</f>
        <v>1201415</v>
      </c>
      <c r="BE48" s="297">
        <f>ROUND(((B48/CE61)*BE61),0)</f>
        <v>431378</v>
      </c>
      <c r="BF48" s="297">
        <f>ROUND(((B48/CE61)*BF61),0)</f>
        <v>0</v>
      </c>
      <c r="BG48" s="297">
        <f>ROUND(((B48/CE61)*BG61),0)</f>
        <v>881202</v>
      </c>
      <c r="BH48" s="297">
        <f>ROUND(((B48/CE61)*BH61),0)</f>
        <v>3204007</v>
      </c>
      <c r="BI48" s="297">
        <f>ROUND(((B48/CE61)*BI61),0)</f>
        <v>162232</v>
      </c>
      <c r="BJ48" s="297">
        <f>ROUND(((B48/CE61)*BJ61),0)</f>
        <v>389342</v>
      </c>
      <c r="BK48" s="297">
        <f>ROUND(((B48/CE61)*BK61),0)</f>
        <v>2526649</v>
      </c>
      <c r="BL48" s="297">
        <f>ROUND(((B48/CE61)*BL61),0)</f>
        <v>1003879</v>
      </c>
      <c r="BM48" s="297">
        <f>ROUND(((B48/CE61)*BM61),0)</f>
        <v>504819</v>
      </c>
      <c r="BN48" s="297">
        <f>ROUND(((B48/CE61)*BN61),0)</f>
        <v>1993133</v>
      </c>
      <c r="BO48" s="297">
        <f>ROUND(((B48/CE61)*BO61),0)</f>
        <v>135000</v>
      </c>
      <c r="BP48" s="297">
        <f>ROUND(((B48/CE61)*BP61),0)</f>
        <v>335226</v>
      </c>
      <c r="BQ48" s="297">
        <f>ROUND(((B48/CE61)*BQ61),0)</f>
        <v>0</v>
      </c>
      <c r="BR48" s="297">
        <f>ROUND(((B48/CE61)*BR61),0)</f>
        <v>98885</v>
      </c>
      <c r="BS48" s="297">
        <f>ROUND(((B48/CE61)*BS61),0)</f>
        <v>0</v>
      </c>
      <c r="BT48" s="297">
        <f>ROUND(((B48/CE61)*BT61),0)</f>
        <v>25912</v>
      </c>
      <c r="BU48" s="297">
        <f>ROUND(((B48/CE61)*BU61),0)</f>
        <v>112087</v>
      </c>
      <c r="BV48" s="297">
        <f>ROUND(((B48/CE61)*BV61),0)</f>
        <v>486536</v>
      </c>
      <c r="BW48" s="297">
        <f>ROUND(((B48/CE61)*BW61),0)</f>
        <v>771511</v>
      </c>
      <c r="BX48" s="297">
        <f>ROUND(((B48/CE61)*BX61),0)</f>
        <v>1282530</v>
      </c>
      <c r="BY48" s="297">
        <f>ROUND(((B48/CE61)*BY61),0)</f>
        <v>1016786</v>
      </c>
      <c r="BZ48" s="297">
        <f>ROUND(((B48/CE61)*BZ61),0)</f>
        <v>0</v>
      </c>
      <c r="CA48" s="297">
        <f>ROUND(((B48/CE61)*CA61),0)</f>
        <v>724289</v>
      </c>
      <c r="CB48" s="297">
        <f>ROUND(((B48/CE61)*CB61),0)</f>
        <v>0</v>
      </c>
      <c r="CC48" s="297">
        <f>ROUND(((B48/CE61)*CC61),0)</f>
        <v>685637</v>
      </c>
      <c r="CD48" s="297"/>
      <c r="CE48" s="297">
        <f>SUM(C48:CD48)</f>
        <v>100860060</v>
      </c>
      <c r="CF48" s="2"/>
    </row>
    <row r="49" spans="1:84" ht="12.65" customHeight="1" x14ac:dyDescent="0.35">
      <c r="A49" s="297" t="s">
        <v>206</v>
      </c>
      <c r="B49" s="297">
        <f>B47+B48</f>
        <v>114985972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"/>
    </row>
    <row r="50" spans="1:84" ht="12.65" customHeight="1" x14ac:dyDescent="0.35">
      <c r="A50" s="297" t="s">
        <v>6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"/>
    </row>
    <row r="51" spans="1:84" ht="12.65" customHeight="1" x14ac:dyDescent="0.35">
      <c r="A51" s="304" t="s">
        <v>207</v>
      </c>
      <c r="B51" s="301">
        <f>SUM(C51:CC51)</f>
        <v>42674345</v>
      </c>
      <c r="C51" s="302">
        <v>1600934</v>
      </c>
      <c r="D51" s="302"/>
      <c r="E51" s="302">
        <v>2359905</v>
      </c>
      <c r="F51" s="302"/>
      <c r="G51" s="302"/>
      <c r="H51" s="302"/>
      <c r="I51" s="302"/>
      <c r="J51" s="302"/>
      <c r="K51" s="302">
        <v>419135</v>
      </c>
      <c r="L51" s="302"/>
      <c r="M51" s="302"/>
      <c r="N51" s="302"/>
      <c r="O51" s="302"/>
      <c r="P51" s="302">
        <v>3904245</v>
      </c>
      <c r="Q51" s="302">
        <v>881926</v>
      </c>
      <c r="R51" s="302">
        <v>354714</v>
      </c>
      <c r="S51" s="302">
        <v>704273</v>
      </c>
      <c r="T51" s="302">
        <v>25461</v>
      </c>
      <c r="U51" s="302">
        <v>484568</v>
      </c>
      <c r="V51" s="302"/>
      <c r="W51" s="302">
        <v>519835</v>
      </c>
      <c r="X51" s="302">
        <v>374960</v>
      </c>
      <c r="Y51" s="302">
        <v>2352016</v>
      </c>
      <c r="Z51" s="302">
        <v>612855</v>
      </c>
      <c r="AA51" s="302">
        <v>110893</v>
      </c>
      <c r="AB51" s="302">
        <v>411181</v>
      </c>
      <c r="AC51" s="302">
        <v>80074</v>
      </c>
      <c r="AD51" s="302">
        <v>15865</v>
      </c>
      <c r="AE51" s="302">
        <v>32863</v>
      </c>
      <c r="AF51" s="302">
        <v>5432</v>
      </c>
      <c r="AG51" s="302">
        <v>528576</v>
      </c>
      <c r="AH51" s="302"/>
      <c r="AI51" s="302"/>
      <c r="AJ51" s="302">
        <v>2918145</v>
      </c>
      <c r="AK51" s="302"/>
      <c r="AL51" s="302"/>
      <c r="AM51" s="302"/>
      <c r="AN51" s="302"/>
      <c r="AO51" s="302"/>
      <c r="AP51" s="302">
        <v>5803333</v>
      </c>
      <c r="AQ51" s="302"/>
      <c r="AR51" s="302"/>
      <c r="AS51" s="302"/>
      <c r="AT51" s="302">
        <v>690</v>
      </c>
      <c r="AU51" s="302"/>
      <c r="AV51" s="302">
        <v>1144132</v>
      </c>
      <c r="AW51" s="302">
        <v>69130</v>
      </c>
      <c r="AX51" s="302">
        <v>14259</v>
      </c>
      <c r="AY51" s="302">
        <v>16909</v>
      </c>
      <c r="AZ51" s="302">
        <v>162684</v>
      </c>
      <c r="BA51" s="302">
        <v>5554</v>
      </c>
      <c r="BB51" s="302">
        <v>460</v>
      </c>
      <c r="BC51" s="302">
        <v>78085</v>
      </c>
      <c r="BD51" s="302">
        <v>66112</v>
      </c>
      <c r="BE51" s="302">
        <v>7646652</v>
      </c>
      <c r="BF51" s="302">
        <v>66238</v>
      </c>
      <c r="BG51" s="302">
        <v>7719</v>
      </c>
      <c r="BH51" s="302">
        <v>7676919</v>
      </c>
      <c r="BI51" s="302">
        <v>11269</v>
      </c>
      <c r="BJ51" s="302">
        <v>6471</v>
      </c>
      <c r="BK51" s="302">
        <v>30204</v>
      </c>
      <c r="BL51" s="302">
        <v>15171</v>
      </c>
      <c r="BM51" s="302">
        <v>74297</v>
      </c>
      <c r="BN51" s="302">
        <v>17615</v>
      </c>
      <c r="BO51" s="302">
        <v>77480</v>
      </c>
      <c r="BP51" s="302">
        <v>116452</v>
      </c>
      <c r="BQ51" s="302"/>
      <c r="BR51" s="302">
        <v>3912</v>
      </c>
      <c r="BS51" s="302"/>
      <c r="BT51" s="302">
        <v>8803</v>
      </c>
      <c r="BU51" s="302">
        <v>10806</v>
      </c>
      <c r="BV51" s="302">
        <v>254009</v>
      </c>
      <c r="BW51" s="302">
        <v>40</v>
      </c>
      <c r="BX51" s="302">
        <v>149980</v>
      </c>
      <c r="BY51" s="302">
        <v>261842</v>
      </c>
      <c r="BZ51" s="302"/>
      <c r="CA51" s="302">
        <v>10946</v>
      </c>
      <c r="CB51" s="302"/>
      <c r="CC51" s="302">
        <f>168417-101</f>
        <v>168316</v>
      </c>
      <c r="CD51" s="297"/>
      <c r="CE51" s="297">
        <f>SUM(C51:CD51)</f>
        <v>42674345</v>
      </c>
      <c r="CF51" s="2"/>
    </row>
    <row r="52" spans="1:84" ht="12.65" customHeight="1" x14ac:dyDescent="0.35">
      <c r="A52" s="304" t="s">
        <v>208</v>
      </c>
      <c r="B52" s="302">
        <f>42674345-B51</f>
        <v>0</v>
      </c>
      <c r="C52" s="297">
        <f>ROUND((B52/(CE76+CF76)*C76),0)</f>
        <v>0</v>
      </c>
      <c r="D52" s="297">
        <f>ROUND((B52/(CE76+CF76)*D76),0)</f>
        <v>0</v>
      </c>
      <c r="E52" s="297">
        <f>ROUND((B52/(CE76+CF76)*E76),0)</f>
        <v>0</v>
      </c>
      <c r="F52" s="297">
        <f>ROUND((B52/(CE76+CF76)*F76),0)</f>
        <v>0</v>
      </c>
      <c r="G52" s="297">
        <f>ROUND((B52/(CE76+CF76)*G76),0)</f>
        <v>0</v>
      </c>
      <c r="H52" s="297">
        <f>ROUND((B52/(CE76+CF76)*H76),0)</f>
        <v>0</v>
      </c>
      <c r="I52" s="297">
        <f>ROUND((B52/(CE76+CF76)*I76),0)</f>
        <v>0</v>
      </c>
      <c r="J52" s="297">
        <f>ROUND((B52/(CE76+CF76)*J76),0)</f>
        <v>0</v>
      </c>
      <c r="K52" s="297">
        <f>ROUND((B52/(CE76+CF76)*K76),0)</f>
        <v>0</v>
      </c>
      <c r="L52" s="297">
        <f>ROUND((B52/(CE76+CF76)*L76),0)</f>
        <v>0</v>
      </c>
      <c r="M52" s="297">
        <f>ROUND((B52/(CE76+CF76)*M76),0)</f>
        <v>0</v>
      </c>
      <c r="N52" s="297">
        <f>ROUND((B52/(CE76+CF76)*N76),0)</f>
        <v>0</v>
      </c>
      <c r="O52" s="297">
        <f>ROUND((B52/(CE76+CF76)*O76),0)</f>
        <v>0</v>
      </c>
      <c r="P52" s="297">
        <f>ROUND((B52/(CE76+CF76)*P76),0)</f>
        <v>0</v>
      </c>
      <c r="Q52" s="297">
        <f>ROUND((B52/(CE76+CF76)*Q76),0)</f>
        <v>0</v>
      </c>
      <c r="R52" s="297">
        <f>ROUND((B52/(CE76+CF76)*R76),0)</f>
        <v>0</v>
      </c>
      <c r="S52" s="297">
        <f>ROUND((B52/(CE76+CF76)*S76),0)</f>
        <v>0</v>
      </c>
      <c r="T52" s="297">
        <f>ROUND((B52/(CE76+CF76)*T76),0)</f>
        <v>0</v>
      </c>
      <c r="U52" s="297">
        <f>ROUND((B52/(CE76+CF76)*U76),0)</f>
        <v>0</v>
      </c>
      <c r="V52" s="297">
        <f>ROUND((B52/(CE76+CF76)*V76),0)</f>
        <v>0</v>
      </c>
      <c r="W52" s="297">
        <f>ROUND((B52/(CE76+CF76)*W76),0)</f>
        <v>0</v>
      </c>
      <c r="X52" s="297">
        <f>ROUND((B52/(CE76+CF76)*X76),0)</f>
        <v>0</v>
      </c>
      <c r="Y52" s="297">
        <f>ROUND((B52/(CE76+CF76)*Y76),0)</f>
        <v>0</v>
      </c>
      <c r="Z52" s="297">
        <f>ROUND((B52/(CE76+CF76)*Z76),0)</f>
        <v>0</v>
      </c>
      <c r="AA52" s="297">
        <f>ROUND((B52/(CE76+CF76)*AA76),0)</f>
        <v>0</v>
      </c>
      <c r="AB52" s="297">
        <f>ROUND((B52/(CE76+CF76)*AB76),0)</f>
        <v>0</v>
      </c>
      <c r="AC52" s="297">
        <f>ROUND((B52/(CE76+CF76)*AC76),0)</f>
        <v>0</v>
      </c>
      <c r="AD52" s="297">
        <f>ROUND((B52/(CE76+CF76)*AD76),0)</f>
        <v>0</v>
      </c>
      <c r="AE52" s="297">
        <f>ROUND((B52/(CE76+CF76)*AE76),0)</f>
        <v>0</v>
      </c>
      <c r="AF52" s="297">
        <f>ROUND((B52/(CE76+CF76)*AF76),0)</f>
        <v>0</v>
      </c>
      <c r="AG52" s="297">
        <f>ROUND((B52/(CE76+CF76)*AG76),0)</f>
        <v>0</v>
      </c>
      <c r="AH52" s="297">
        <f>ROUND((B52/(CE76+CF76)*AH76),0)</f>
        <v>0</v>
      </c>
      <c r="AI52" s="297">
        <f>ROUND((B52/(CE76+CF76)*AI76),0)</f>
        <v>0</v>
      </c>
      <c r="AJ52" s="297">
        <f>ROUND((B52/(CE76+CF76)*AJ76),0)</f>
        <v>0</v>
      </c>
      <c r="AK52" s="297">
        <f>ROUND((B52/(CE76+CF76)*AK76),0)</f>
        <v>0</v>
      </c>
      <c r="AL52" s="297">
        <f>ROUND((B52/(CE76+CF76)*AL76),0)</f>
        <v>0</v>
      </c>
      <c r="AM52" s="297">
        <f>ROUND((B52/(CE76+CF76)*AM76),0)</f>
        <v>0</v>
      </c>
      <c r="AN52" s="297">
        <f>ROUND((B52/(CE76+CF76)*AN76),0)</f>
        <v>0</v>
      </c>
      <c r="AO52" s="297">
        <f>ROUND((B52/(CE76+CF76)*AO76),0)</f>
        <v>0</v>
      </c>
      <c r="AP52" s="297">
        <f>ROUND((B52/(CE76+CF76)*AP76),0)</f>
        <v>0</v>
      </c>
      <c r="AQ52" s="297">
        <f>ROUND((B52/(CE76+CF76)*AQ76),0)</f>
        <v>0</v>
      </c>
      <c r="AR52" s="297">
        <f>ROUND((B52/(CE76+CF76)*AR76),0)</f>
        <v>0</v>
      </c>
      <c r="AS52" s="297">
        <f>ROUND((B52/(CE76+CF76)*AS76),0)</f>
        <v>0</v>
      </c>
      <c r="AT52" s="297">
        <f>ROUND((B52/(CE76+CF76)*AT76),0)</f>
        <v>0</v>
      </c>
      <c r="AU52" s="297">
        <f>ROUND((B52/(CE76+CF76)*AU76),0)</f>
        <v>0</v>
      </c>
      <c r="AV52" s="297">
        <f>ROUND((B52/(CE76+CF76)*AV76),0)</f>
        <v>0</v>
      </c>
      <c r="AW52" s="297">
        <f>ROUND((B52/(CE76+CF76)*AW76),0)</f>
        <v>0</v>
      </c>
      <c r="AX52" s="297">
        <f>ROUND((B52/(CE76+CF76)*AX76),0)</f>
        <v>0</v>
      </c>
      <c r="AY52" s="297">
        <f>ROUND((B52/(CE76+CF76)*AY76),0)</f>
        <v>0</v>
      </c>
      <c r="AZ52" s="297">
        <f>ROUND((B52/(CE76+CF76)*AZ76),0)</f>
        <v>0</v>
      </c>
      <c r="BA52" s="297">
        <f>ROUND((B52/(CE76+CF76)*BA76),0)</f>
        <v>0</v>
      </c>
      <c r="BB52" s="297">
        <f>ROUND((B52/(CE76+CF76)*BB76),0)</f>
        <v>0</v>
      </c>
      <c r="BC52" s="297">
        <f>ROUND((B52/(CE76+CF76)*BC76),0)</f>
        <v>0</v>
      </c>
      <c r="BD52" s="297">
        <f>ROUND((B52/(CE76+CF76)*BD76),0)</f>
        <v>0</v>
      </c>
      <c r="BE52" s="297">
        <f>ROUND((B52/(CE76+CF76)*BE76),0)</f>
        <v>0</v>
      </c>
      <c r="BF52" s="297">
        <f>ROUND((B52/(CE76+CF76)*BF76),0)</f>
        <v>0</v>
      </c>
      <c r="BG52" s="297">
        <f>ROUND((B52/(CE76+CF76)*BG76),0)</f>
        <v>0</v>
      </c>
      <c r="BH52" s="297">
        <f>ROUND((B52/(CE76+CF76)*BH76),0)</f>
        <v>0</v>
      </c>
      <c r="BI52" s="297">
        <f>ROUND((B52/(CE76+CF76)*BI76),0)</f>
        <v>0</v>
      </c>
      <c r="BJ52" s="297">
        <f>ROUND((B52/(CE76+CF76)*BJ76),0)</f>
        <v>0</v>
      </c>
      <c r="BK52" s="297">
        <f>ROUND((B52/(CE76+CF76)*BK76),0)</f>
        <v>0</v>
      </c>
      <c r="BL52" s="297">
        <f>ROUND((B52/(CE76+CF76)*BL76),0)</f>
        <v>0</v>
      </c>
      <c r="BM52" s="297">
        <f>ROUND((B52/(CE76+CF76)*BM76),0)</f>
        <v>0</v>
      </c>
      <c r="BN52" s="297">
        <f>ROUND((B52/(CE76+CF76)*BN76),0)</f>
        <v>0</v>
      </c>
      <c r="BO52" s="297">
        <f>ROUND((B52/(CE76+CF76)*BO76),0)</f>
        <v>0</v>
      </c>
      <c r="BP52" s="297">
        <f>ROUND((B52/(CE76+CF76)*BP76),0)</f>
        <v>0</v>
      </c>
      <c r="BQ52" s="297">
        <f>ROUND((B52/(CE76+CF76)*BQ76),0)</f>
        <v>0</v>
      </c>
      <c r="BR52" s="297">
        <f>ROUND((B52/(CE76+CF76)*BR76),0)</f>
        <v>0</v>
      </c>
      <c r="BS52" s="297">
        <f>ROUND((B52/(CE76+CF76)*BS76),0)</f>
        <v>0</v>
      </c>
      <c r="BT52" s="297">
        <f>ROUND((B52/(CE76+CF76)*BT76),0)</f>
        <v>0</v>
      </c>
      <c r="BU52" s="297">
        <f>ROUND((B52/(CE76+CF76)*BU76),0)</f>
        <v>0</v>
      </c>
      <c r="BV52" s="297">
        <f>ROUND((B52/(CE76+CF76)*BV76),0)</f>
        <v>0</v>
      </c>
      <c r="BW52" s="297">
        <f>ROUND((B52/(CE76+CF76)*BW76),0)</f>
        <v>0</v>
      </c>
      <c r="BX52" s="297">
        <f>ROUND((B52/(CE76+CF76)*BX76),0)</f>
        <v>0</v>
      </c>
      <c r="BY52" s="297">
        <f>ROUND((B52/(CE76+CF76)*BY76),0)</f>
        <v>0</v>
      </c>
      <c r="BZ52" s="297">
        <f>ROUND((B52/(CE76+CF76)*BZ76),0)</f>
        <v>0</v>
      </c>
      <c r="CA52" s="297">
        <f>ROUND((B52/(CE76+CF76)*CA76),0)</f>
        <v>0</v>
      </c>
      <c r="CB52" s="297">
        <f>ROUND((B52/(CE76+CF76)*CB76),0)</f>
        <v>0</v>
      </c>
      <c r="CC52" s="297">
        <f>ROUND((B52/(CE76+CF76)*CC76),0)</f>
        <v>0</v>
      </c>
      <c r="CD52" s="297"/>
      <c r="CE52" s="297">
        <f>SUM(C52:CD52)</f>
        <v>0</v>
      </c>
      <c r="CF52" s="2"/>
    </row>
    <row r="53" spans="1:84" ht="12.65" customHeight="1" x14ac:dyDescent="0.35">
      <c r="A53" s="297" t="s">
        <v>206</v>
      </c>
      <c r="B53" s="297">
        <f>B51+B52</f>
        <v>42674345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"/>
    </row>
    <row r="54" spans="1:84" ht="15.75" customHeight="1" x14ac:dyDescent="0.35">
      <c r="A54" s="297"/>
      <c r="B54" s="297"/>
      <c r="C54" s="305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"/>
    </row>
    <row r="55" spans="1:84" ht="12.65" customHeight="1" x14ac:dyDescent="0.35">
      <c r="A55" s="304" t="s">
        <v>209</v>
      </c>
      <c r="B55" s="297"/>
      <c r="C55" s="298" t="s">
        <v>10</v>
      </c>
      <c r="D55" s="299" t="s">
        <v>11</v>
      </c>
      <c r="E55" s="299" t="s">
        <v>12</v>
      </c>
      <c r="F55" s="299" t="s">
        <v>13</v>
      </c>
      <c r="G55" s="299" t="s">
        <v>14</v>
      </c>
      <c r="H55" s="299" t="s">
        <v>15</v>
      </c>
      <c r="I55" s="299" t="s">
        <v>16</v>
      </c>
      <c r="J55" s="299" t="s">
        <v>17</v>
      </c>
      <c r="K55" s="299" t="s">
        <v>18</v>
      </c>
      <c r="L55" s="299" t="s">
        <v>19</v>
      </c>
      <c r="M55" s="299" t="s">
        <v>20</v>
      </c>
      <c r="N55" s="299" t="s">
        <v>21</v>
      </c>
      <c r="O55" s="299" t="s">
        <v>22</v>
      </c>
      <c r="P55" s="299" t="s">
        <v>23</v>
      </c>
      <c r="Q55" s="299" t="s">
        <v>24</v>
      </c>
      <c r="R55" s="299" t="s">
        <v>25</v>
      </c>
      <c r="S55" s="299" t="s">
        <v>26</v>
      </c>
      <c r="T55" s="306" t="s">
        <v>27</v>
      </c>
      <c r="U55" s="299" t="s">
        <v>28</v>
      </c>
      <c r="V55" s="299" t="s">
        <v>29</v>
      </c>
      <c r="W55" s="299" t="s">
        <v>30</v>
      </c>
      <c r="X55" s="299" t="s">
        <v>31</v>
      </c>
      <c r="Y55" s="299" t="s">
        <v>32</v>
      </c>
      <c r="Z55" s="299" t="s">
        <v>33</v>
      </c>
      <c r="AA55" s="299" t="s">
        <v>34</v>
      </c>
      <c r="AB55" s="299" t="s">
        <v>35</v>
      </c>
      <c r="AC55" s="299" t="s">
        <v>36</v>
      </c>
      <c r="AD55" s="299" t="s">
        <v>37</v>
      </c>
      <c r="AE55" s="299" t="s">
        <v>38</v>
      </c>
      <c r="AF55" s="299" t="s">
        <v>39</v>
      </c>
      <c r="AG55" s="299" t="s">
        <v>40</v>
      </c>
      <c r="AH55" s="299" t="s">
        <v>41</v>
      </c>
      <c r="AI55" s="299" t="s">
        <v>42</v>
      </c>
      <c r="AJ55" s="299" t="s">
        <v>43</v>
      </c>
      <c r="AK55" s="299" t="s">
        <v>44</v>
      </c>
      <c r="AL55" s="299" t="s">
        <v>45</v>
      </c>
      <c r="AM55" s="299" t="s">
        <v>46</v>
      </c>
      <c r="AN55" s="299" t="s">
        <v>47</v>
      </c>
      <c r="AO55" s="299" t="s">
        <v>48</v>
      </c>
      <c r="AP55" s="299" t="s">
        <v>49</v>
      </c>
      <c r="AQ55" s="299" t="s">
        <v>50</v>
      </c>
      <c r="AR55" s="299" t="s">
        <v>51</v>
      </c>
      <c r="AS55" s="299" t="s">
        <v>52</v>
      </c>
      <c r="AT55" s="299" t="s">
        <v>53</v>
      </c>
      <c r="AU55" s="299" t="s">
        <v>54</v>
      </c>
      <c r="AV55" s="299" t="s">
        <v>55</v>
      </c>
      <c r="AW55" s="299" t="s">
        <v>56</v>
      </c>
      <c r="AX55" s="299" t="s">
        <v>57</v>
      </c>
      <c r="AY55" s="299" t="s">
        <v>58</v>
      </c>
      <c r="AZ55" s="299" t="s">
        <v>59</v>
      </c>
      <c r="BA55" s="299" t="s">
        <v>60</v>
      </c>
      <c r="BB55" s="299" t="s">
        <v>61</v>
      </c>
      <c r="BC55" s="299" t="s">
        <v>62</v>
      </c>
      <c r="BD55" s="299" t="s">
        <v>63</v>
      </c>
      <c r="BE55" s="299" t="s">
        <v>64</v>
      </c>
      <c r="BF55" s="299" t="s">
        <v>65</v>
      </c>
      <c r="BG55" s="299" t="s">
        <v>66</v>
      </c>
      <c r="BH55" s="299" t="s">
        <v>67</v>
      </c>
      <c r="BI55" s="299" t="s">
        <v>68</v>
      </c>
      <c r="BJ55" s="299" t="s">
        <v>69</v>
      </c>
      <c r="BK55" s="299" t="s">
        <v>70</v>
      </c>
      <c r="BL55" s="299" t="s">
        <v>71</v>
      </c>
      <c r="BM55" s="299" t="s">
        <v>72</v>
      </c>
      <c r="BN55" s="299" t="s">
        <v>73</v>
      </c>
      <c r="BO55" s="299" t="s">
        <v>74</v>
      </c>
      <c r="BP55" s="299" t="s">
        <v>75</v>
      </c>
      <c r="BQ55" s="299" t="s">
        <v>76</v>
      </c>
      <c r="BR55" s="299" t="s">
        <v>77</v>
      </c>
      <c r="BS55" s="299" t="s">
        <v>78</v>
      </c>
      <c r="BT55" s="299" t="s">
        <v>79</v>
      </c>
      <c r="BU55" s="299" t="s">
        <v>80</v>
      </c>
      <c r="BV55" s="299" t="s">
        <v>81</v>
      </c>
      <c r="BW55" s="299" t="s">
        <v>82</v>
      </c>
      <c r="BX55" s="299" t="s">
        <v>83</v>
      </c>
      <c r="BY55" s="299" t="s">
        <v>84</v>
      </c>
      <c r="BZ55" s="299" t="s">
        <v>85</v>
      </c>
      <c r="CA55" s="299" t="s">
        <v>86</v>
      </c>
      <c r="CB55" s="299" t="s">
        <v>87</v>
      </c>
      <c r="CC55" s="299" t="s">
        <v>88</v>
      </c>
      <c r="CD55" s="299" t="s">
        <v>89</v>
      </c>
      <c r="CE55" s="299" t="s">
        <v>90</v>
      </c>
      <c r="CF55" s="2"/>
    </row>
    <row r="56" spans="1:84" ht="12.65" customHeight="1" x14ac:dyDescent="0.35">
      <c r="A56" s="304" t="s">
        <v>210</v>
      </c>
      <c r="B56" s="297"/>
      <c r="C56" s="298" t="s">
        <v>92</v>
      </c>
      <c r="D56" s="299" t="s">
        <v>93</v>
      </c>
      <c r="E56" s="299" t="s">
        <v>94</v>
      </c>
      <c r="F56" s="299" t="s">
        <v>95</v>
      </c>
      <c r="G56" s="299" t="s">
        <v>96</v>
      </c>
      <c r="H56" s="299" t="s">
        <v>97</v>
      </c>
      <c r="I56" s="299" t="s">
        <v>98</v>
      </c>
      <c r="J56" s="299" t="s">
        <v>99</v>
      </c>
      <c r="K56" s="299" t="s">
        <v>100</v>
      </c>
      <c r="L56" s="299" t="s">
        <v>101</v>
      </c>
      <c r="M56" s="299" t="s">
        <v>102</v>
      </c>
      <c r="N56" s="299" t="s">
        <v>103</v>
      </c>
      <c r="O56" s="299" t="s">
        <v>104</v>
      </c>
      <c r="P56" s="299" t="s">
        <v>105</v>
      </c>
      <c r="Q56" s="299" t="s">
        <v>106</v>
      </c>
      <c r="R56" s="299" t="s">
        <v>107</v>
      </c>
      <c r="S56" s="299" t="s">
        <v>108</v>
      </c>
      <c r="T56" s="299" t="s">
        <v>1194</v>
      </c>
      <c r="U56" s="299" t="s">
        <v>109</v>
      </c>
      <c r="V56" s="299" t="s">
        <v>110</v>
      </c>
      <c r="W56" s="299" t="s">
        <v>111</v>
      </c>
      <c r="X56" s="299" t="s">
        <v>112</v>
      </c>
      <c r="Y56" s="299" t="s">
        <v>113</v>
      </c>
      <c r="Z56" s="299" t="s">
        <v>113</v>
      </c>
      <c r="AA56" s="299" t="s">
        <v>114</v>
      </c>
      <c r="AB56" s="299" t="s">
        <v>115</v>
      </c>
      <c r="AC56" s="299" t="s">
        <v>116</v>
      </c>
      <c r="AD56" s="299" t="s">
        <v>117</v>
      </c>
      <c r="AE56" s="299" t="s">
        <v>96</v>
      </c>
      <c r="AF56" s="299" t="s">
        <v>97</v>
      </c>
      <c r="AG56" s="299" t="s">
        <v>118</v>
      </c>
      <c r="AH56" s="299" t="s">
        <v>119</v>
      </c>
      <c r="AI56" s="299" t="s">
        <v>120</v>
      </c>
      <c r="AJ56" s="299" t="s">
        <v>121</v>
      </c>
      <c r="AK56" s="299" t="s">
        <v>122</v>
      </c>
      <c r="AL56" s="299" t="s">
        <v>123</v>
      </c>
      <c r="AM56" s="299" t="s">
        <v>124</v>
      </c>
      <c r="AN56" s="299" t="s">
        <v>110</v>
      </c>
      <c r="AO56" s="299" t="s">
        <v>125</v>
      </c>
      <c r="AP56" s="299" t="s">
        <v>126</v>
      </c>
      <c r="AQ56" s="299" t="s">
        <v>127</v>
      </c>
      <c r="AR56" s="299" t="s">
        <v>128</v>
      </c>
      <c r="AS56" s="299" t="s">
        <v>129</v>
      </c>
      <c r="AT56" s="299" t="s">
        <v>130</v>
      </c>
      <c r="AU56" s="299" t="s">
        <v>131</v>
      </c>
      <c r="AV56" s="299" t="s">
        <v>132</v>
      </c>
      <c r="AW56" s="299" t="s">
        <v>133</v>
      </c>
      <c r="AX56" s="299" t="s">
        <v>134</v>
      </c>
      <c r="AY56" s="299" t="s">
        <v>135</v>
      </c>
      <c r="AZ56" s="299" t="s">
        <v>136</v>
      </c>
      <c r="BA56" s="299" t="s">
        <v>137</v>
      </c>
      <c r="BB56" s="299" t="s">
        <v>138</v>
      </c>
      <c r="BC56" s="299" t="s">
        <v>108</v>
      </c>
      <c r="BD56" s="299" t="s">
        <v>139</v>
      </c>
      <c r="BE56" s="299" t="s">
        <v>140</v>
      </c>
      <c r="BF56" s="299" t="s">
        <v>141</v>
      </c>
      <c r="BG56" s="299" t="s">
        <v>142</v>
      </c>
      <c r="BH56" s="299" t="s">
        <v>143</v>
      </c>
      <c r="BI56" s="299" t="s">
        <v>144</v>
      </c>
      <c r="BJ56" s="299" t="s">
        <v>145</v>
      </c>
      <c r="BK56" s="299" t="s">
        <v>146</v>
      </c>
      <c r="BL56" s="299" t="s">
        <v>147</v>
      </c>
      <c r="BM56" s="299" t="s">
        <v>132</v>
      </c>
      <c r="BN56" s="299" t="s">
        <v>148</v>
      </c>
      <c r="BO56" s="299" t="s">
        <v>149</v>
      </c>
      <c r="BP56" s="299" t="s">
        <v>150</v>
      </c>
      <c r="BQ56" s="299" t="s">
        <v>151</v>
      </c>
      <c r="BR56" s="299" t="s">
        <v>152</v>
      </c>
      <c r="BS56" s="299" t="s">
        <v>153</v>
      </c>
      <c r="BT56" s="299" t="s">
        <v>154</v>
      </c>
      <c r="BU56" s="299" t="s">
        <v>155</v>
      </c>
      <c r="BV56" s="299" t="s">
        <v>155</v>
      </c>
      <c r="BW56" s="299" t="s">
        <v>155</v>
      </c>
      <c r="BX56" s="299" t="s">
        <v>156</v>
      </c>
      <c r="BY56" s="299" t="s">
        <v>157</v>
      </c>
      <c r="BZ56" s="299" t="s">
        <v>158</v>
      </c>
      <c r="CA56" s="299" t="s">
        <v>159</v>
      </c>
      <c r="CB56" s="299" t="s">
        <v>160</v>
      </c>
      <c r="CC56" s="299" t="s">
        <v>132</v>
      </c>
      <c r="CD56" s="299" t="s">
        <v>211</v>
      </c>
      <c r="CE56" s="299" t="s">
        <v>161</v>
      </c>
      <c r="CF56" s="2"/>
    </row>
    <row r="57" spans="1:84" ht="12.65" customHeight="1" x14ac:dyDescent="0.35">
      <c r="A57" s="304" t="s">
        <v>212</v>
      </c>
      <c r="B57" s="297"/>
      <c r="C57" s="298" t="s">
        <v>163</v>
      </c>
      <c r="D57" s="299" t="s">
        <v>163</v>
      </c>
      <c r="E57" s="299" t="s">
        <v>163</v>
      </c>
      <c r="F57" s="299" t="s">
        <v>164</v>
      </c>
      <c r="G57" s="299" t="s">
        <v>165</v>
      </c>
      <c r="H57" s="299" t="s">
        <v>163</v>
      </c>
      <c r="I57" s="299" t="s">
        <v>166</v>
      </c>
      <c r="J57" s="299"/>
      <c r="K57" s="299" t="s">
        <v>157</v>
      </c>
      <c r="L57" s="299" t="s">
        <v>167</v>
      </c>
      <c r="M57" s="299" t="s">
        <v>168</v>
      </c>
      <c r="N57" s="299" t="s">
        <v>169</v>
      </c>
      <c r="O57" s="299" t="s">
        <v>170</v>
      </c>
      <c r="P57" s="299" t="s">
        <v>169</v>
      </c>
      <c r="Q57" s="299" t="s">
        <v>171</v>
      </c>
      <c r="R57" s="299"/>
      <c r="S57" s="299" t="s">
        <v>169</v>
      </c>
      <c r="T57" s="299" t="s">
        <v>172</v>
      </c>
      <c r="U57" s="299"/>
      <c r="V57" s="299" t="s">
        <v>173</v>
      </c>
      <c r="W57" s="299" t="s">
        <v>174</v>
      </c>
      <c r="X57" s="299" t="s">
        <v>175</v>
      </c>
      <c r="Y57" s="299" t="s">
        <v>176</v>
      </c>
      <c r="Z57" s="299" t="s">
        <v>177</v>
      </c>
      <c r="AA57" s="299" t="s">
        <v>178</v>
      </c>
      <c r="AB57" s="299"/>
      <c r="AC57" s="299" t="s">
        <v>172</v>
      </c>
      <c r="AD57" s="299"/>
      <c r="AE57" s="299" t="s">
        <v>172</v>
      </c>
      <c r="AF57" s="299" t="s">
        <v>179</v>
      </c>
      <c r="AG57" s="299" t="s">
        <v>171</v>
      </c>
      <c r="AH57" s="299"/>
      <c r="AI57" s="299" t="s">
        <v>180</v>
      </c>
      <c r="AJ57" s="299"/>
      <c r="AK57" s="299" t="s">
        <v>172</v>
      </c>
      <c r="AL57" s="299" t="s">
        <v>172</v>
      </c>
      <c r="AM57" s="299" t="s">
        <v>172</v>
      </c>
      <c r="AN57" s="299" t="s">
        <v>181</v>
      </c>
      <c r="AO57" s="299" t="s">
        <v>182</v>
      </c>
      <c r="AP57" s="299" t="s">
        <v>121</v>
      </c>
      <c r="AQ57" s="299" t="s">
        <v>183</v>
      </c>
      <c r="AR57" s="299" t="s">
        <v>169</v>
      </c>
      <c r="AS57" s="299"/>
      <c r="AT57" s="299" t="s">
        <v>184</v>
      </c>
      <c r="AU57" s="299" t="s">
        <v>185</v>
      </c>
      <c r="AV57" s="299" t="s">
        <v>186</v>
      </c>
      <c r="AW57" s="299" t="s">
        <v>187</v>
      </c>
      <c r="AX57" s="299" t="s">
        <v>188</v>
      </c>
      <c r="AY57" s="299"/>
      <c r="AZ57" s="299"/>
      <c r="BA57" s="299" t="s">
        <v>189</v>
      </c>
      <c r="BB57" s="299" t="s">
        <v>169</v>
      </c>
      <c r="BC57" s="299" t="s">
        <v>183</v>
      </c>
      <c r="BD57" s="299"/>
      <c r="BE57" s="299"/>
      <c r="BF57" s="299"/>
      <c r="BG57" s="299"/>
      <c r="BH57" s="299" t="s">
        <v>190</v>
      </c>
      <c r="BI57" s="299" t="s">
        <v>169</v>
      </c>
      <c r="BJ57" s="299"/>
      <c r="BK57" s="299" t="s">
        <v>191</v>
      </c>
      <c r="BL57" s="299"/>
      <c r="BM57" s="299" t="s">
        <v>192</v>
      </c>
      <c r="BN57" s="299" t="s">
        <v>193</v>
      </c>
      <c r="BO57" s="299" t="s">
        <v>194</v>
      </c>
      <c r="BP57" s="299" t="s">
        <v>195</v>
      </c>
      <c r="BQ57" s="299" t="s">
        <v>196</v>
      </c>
      <c r="BR57" s="299"/>
      <c r="BS57" s="299" t="s">
        <v>197</v>
      </c>
      <c r="BT57" s="299" t="s">
        <v>169</v>
      </c>
      <c r="BU57" s="299" t="s">
        <v>198</v>
      </c>
      <c r="BV57" s="299" t="s">
        <v>199</v>
      </c>
      <c r="BW57" s="299" t="s">
        <v>200</v>
      </c>
      <c r="BX57" s="299" t="s">
        <v>151</v>
      </c>
      <c r="BY57" s="299" t="s">
        <v>193</v>
      </c>
      <c r="BZ57" s="299" t="s">
        <v>152</v>
      </c>
      <c r="CA57" s="299" t="s">
        <v>201</v>
      </c>
      <c r="CB57" s="299" t="s">
        <v>201</v>
      </c>
      <c r="CC57" s="299" t="s">
        <v>202</v>
      </c>
      <c r="CD57" s="299" t="s">
        <v>213</v>
      </c>
      <c r="CE57" s="299" t="s">
        <v>203</v>
      </c>
      <c r="CF57" s="2"/>
    </row>
    <row r="58" spans="1:84" ht="12.65" customHeight="1" x14ac:dyDescent="0.35">
      <c r="A58" s="304" t="s">
        <v>214</v>
      </c>
      <c r="B58" s="297"/>
      <c r="C58" s="298" t="s">
        <v>215</v>
      </c>
      <c r="D58" s="299" t="s">
        <v>215</v>
      </c>
      <c r="E58" s="299" t="s">
        <v>215</v>
      </c>
      <c r="F58" s="299" t="s">
        <v>215</v>
      </c>
      <c r="G58" s="299" t="s">
        <v>215</v>
      </c>
      <c r="H58" s="299" t="s">
        <v>215</v>
      </c>
      <c r="I58" s="299" t="s">
        <v>215</v>
      </c>
      <c r="J58" s="299" t="s">
        <v>216</v>
      </c>
      <c r="K58" s="299" t="s">
        <v>215</v>
      </c>
      <c r="L58" s="299" t="s">
        <v>215</v>
      </c>
      <c r="M58" s="299" t="s">
        <v>215</v>
      </c>
      <c r="N58" s="299" t="s">
        <v>215</v>
      </c>
      <c r="O58" s="299" t="s">
        <v>217</v>
      </c>
      <c r="P58" s="299" t="s">
        <v>218</v>
      </c>
      <c r="Q58" s="299" t="s">
        <v>219</v>
      </c>
      <c r="R58" s="300" t="s">
        <v>220</v>
      </c>
      <c r="S58" s="307" t="s">
        <v>221</v>
      </c>
      <c r="T58" s="307" t="s">
        <v>221</v>
      </c>
      <c r="U58" s="299" t="s">
        <v>222</v>
      </c>
      <c r="V58" s="299" t="s">
        <v>222</v>
      </c>
      <c r="W58" s="299" t="s">
        <v>223</v>
      </c>
      <c r="X58" s="299" t="s">
        <v>224</v>
      </c>
      <c r="Y58" s="299" t="s">
        <v>225</v>
      </c>
      <c r="Z58" s="299" t="s">
        <v>225</v>
      </c>
      <c r="AA58" s="299" t="s">
        <v>225</v>
      </c>
      <c r="AB58" s="307" t="s">
        <v>221</v>
      </c>
      <c r="AC58" s="299" t="s">
        <v>226</v>
      </c>
      <c r="AD58" s="299" t="s">
        <v>227</v>
      </c>
      <c r="AE58" s="299" t="s">
        <v>226</v>
      </c>
      <c r="AF58" s="299" t="s">
        <v>228</v>
      </c>
      <c r="AG58" s="299" t="s">
        <v>228</v>
      </c>
      <c r="AH58" s="299" t="s">
        <v>229</v>
      </c>
      <c r="AI58" s="299" t="s">
        <v>230</v>
      </c>
      <c r="AJ58" s="299" t="s">
        <v>228</v>
      </c>
      <c r="AK58" s="299" t="s">
        <v>226</v>
      </c>
      <c r="AL58" s="299" t="s">
        <v>226</v>
      </c>
      <c r="AM58" s="299" t="s">
        <v>226</v>
      </c>
      <c r="AN58" s="299" t="s">
        <v>217</v>
      </c>
      <c r="AO58" s="299" t="s">
        <v>227</v>
      </c>
      <c r="AP58" s="299" t="s">
        <v>228</v>
      </c>
      <c r="AQ58" s="299" t="s">
        <v>229</v>
      </c>
      <c r="AR58" s="299" t="s">
        <v>228</v>
      </c>
      <c r="AS58" s="299" t="s">
        <v>226</v>
      </c>
      <c r="AT58" s="299" t="s">
        <v>1212</v>
      </c>
      <c r="AU58" s="299" t="s">
        <v>228</v>
      </c>
      <c r="AV58" s="307" t="s">
        <v>221</v>
      </c>
      <c r="AW58" s="307" t="s">
        <v>221</v>
      </c>
      <c r="AX58" s="307" t="s">
        <v>221</v>
      </c>
      <c r="AY58" s="299" t="s">
        <v>231</v>
      </c>
      <c r="AZ58" s="299" t="s">
        <v>231</v>
      </c>
      <c r="BA58" s="307" t="s">
        <v>221</v>
      </c>
      <c r="BB58" s="307" t="s">
        <v>221</v>
      </c>
      <c r="BC58" s="307" t="s">
        <v>221</v>
      </c>
      <c r="BD58" s="307" t="s">
        <v>221</v>
      </c>
      <c r="BE58" s="299" t="s">
        <v>232</v>
      </c>
      <c r="BF58" s="307" t="s">
        <v>221</v>
      </c>
      <c r="BG58" s="307" t="s">
        <v>221</v>
      </c>
      <c r="BH58" s="307" t="s">
        <v>221</v>
      </c>
      <c r="BI58" s="307" t="s">
        <v>221</v>
      </c>
      <c r="BJ58" s="307" t="s">
        <v>221</v>
      </c>
      <c r="BK58" s="307" t="s">
        <v>221</v>
      </c>
      <c r="BL58" s="307" t="s">
        <v>221</v>
      </c>
      <c r="BM58" s="307" t="s">
        <v>221</v>
      </c>
      <c r="BN58" s="307" t="s">
        <v>221</v>
      </c>
      <c r="BO58" s="307" t="s">
        <v>221</v>
      </c>
      <c r="BP58" s="307" t="s">
        <v>221</v>
      </c>
      <c r="BQ58" s="307" t="s">
        <v>221</v>
      </c>
      <c r="BR58" s="307" t="s">
        <v>221</v>
      </c>
      <c r="BS58" s="307" t="s">
        <v>221</v>
      </c>
      <c r="BT58" s="307" t="s">
        <v>221</v>
      </c>
      <c r="BU58" s="307" t="s">
        <v>221</v>
      </c>
      <c r="BV58" s="307" t="s">
        <v>221</v>
      </c>
      <c r="BW58" s="307" t="s">
        <v>221</v>
      </c>
      <c r="BX58" s="307" t="s">
        <v>221</v>
      </c>
      <c r="BY58" s="307" t="s">
        <v>221</v>
      </c>
      <c r="BZ58" s="307" t="s">
        <v>221</v>
      </c>
      <c r="CA58" s="307" t="s">
        <v>221</v>
      </c>
      <c r="CB58" s="307" t="s">
        <v>221</v>
      </c>
      <c r="CC58" s="307" t="s">
        <v>221</v>
      </c>
      <c r="CD58" s="307" t="s">
        <v>221</v>
      </c>
      <c r="CE58" s="307" t="s">
        <v>221</v>
      </c>
      <c r="CF58" s="2"/>
    </row>
    <row r="59" spans="1:84" ht="12.65" customHeight="1" x14ac:dyDescent="0.35">
      <c r="A59" s="304" t="s">
        <v>233</v>
      </c>
      <c r="B59" s="297"/>
      <c r="C59" s="302">
        <v>5990</v>
      </c>
      <c r="D59" s="302"/>
      <c r="E59" s="302">
        <v>54174</v>
      </c>
      <c r="F59" s="302"/>
      <c r="G59" s="302"/>
      <c r="H59" s="302"/>
      <c r="I59" s="302"/>
      <c r="J59" s="302"/>
      <c r="K59" s="302">
        <v>12126</v>
      </c>
      <c r="L59" s="302"/>
      <c r="M59" s="302"/>
      <c r="N59" s="302"/>
      <c r="O59" s="302"/>
      <c r="P59" s="185">
        <v>2066830</v>
      </c>
      <c r="Q59" s="185">
        <v>1895448</v>
      </c>
      <c r="R59" s="185">
        <v>2207576</v>
      </c>
      <c r="S59" s="249"/>
      <c r="T59" s="249"/>
      <c r="U59" s="224">
        <v>2080691</v>
      </c>
      <c r="V59" s="185"/>
      <c r="W59" s="185">
        <v>87644</v>
      </c>
      <c r="X59" s="185">
        <v>147031</v>
      </c>
      <c r="Y59" s="185">
        <v>143531</v>
      </c>
      <c r="Z59" s="185">
        <v>198252</v>
      </c>
      <c r="AA59" s="185">
        <v>19736</v>
      </c>
      <c r="AB59" s="249"/>
      <c r="AC59" s="185">
        <v>228498</v>
      </c>
      <c r="AD59" s="185">
        <v>17156</v>
      </c>
      <c r="AE59" s="185">
        <v>194611</v>
      </c>
      <c r="AF59" s="185">
        <v>2244</v>
      </c>
      <c r="AG59" s="185">
        <v>19330</v>
      </c>
      <c r="AH59" s="185"/>
      <c r="AI59" s="185"/>
      <c r="AJ59" s="185">
        <v>310186</v>
      </c>
      <c r="AK59" s="185"/>
      <c r="AL59" s="185"/>
      <c r="AM59" s="185"/>
      <c r="AN59" s="185"/>
      <c r="AO59" s="185"/>
      <c r="AP59" s="185">
        <v>515093</v>
      </c>
      <c r="AQ59" s="185"/>
      <c r="AR59" s="185"/>
      <c r="AS59" s="185"/>
      <c r="AT59" s="185">
        <v>72</v>
      </c>
      <c r="AU59" s="185"/>
      <c r="AV59" s="249"/>
      <c r="AW59" s="249"/>
      <c r="AX59" s="249"/>
      <c r="AY59" s="185">
        <v>295450</v>
      </c>
      <c r="AZ59" s="185">
        <v>688175</v>
      </c>
      <c r="BA59" s="249"/>
      <c r="BB59" s="249"/>
      <c r="BC59" s="249"/>
      <c r="BD59" s="249"/>
      <c r="BE59" s="185">
        <v>1528631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307"/>
      <c r="CE59" s="297"/>
      <c r="CF59" s="2"/>
    </row>
    <row r="60" spans="1:84" ht="12.65" customHeight="1" x14ac:dyDescent="0.35">
      <c r="A60" s="308" t="s">
        <v>234</v>
      </c>
      <c r="B60" s="297"/>
      <c r="C60" s="186">
        <v>92.65</v>
      </c>
      <c r="D60" s="187"/>
      <c r="E60" s="187">
        <v>512.66999999999996</v>
      </c>
      <c r="F60" s="223"/>
      <c r="G60" s="187"/>
      <c r="H60" s="187"/>
      <c r="I60" s="187"/>
      <c r="J60" s="223"/>
      <c r="K60" s="187">
        <v>124.67</v>
      </c>
      <c r="L60" s="187"/>
      <c r="M60" s="187"/>
      <c r="N60" s="187"/>
      <c r="O60" s="187"/>
      <c r="P60" s="221">
        <v>132.47999999999999</v>
      </c>
      <c r="Q60" s="221">
        <v>71.760000000000005</v>
      </c>
      <c r="R60" s="221">
        <v>80.67</v>
      </c>
      <c r="S60" s="221">
        <v>123.48</v>
      </c>
      <c r="T60" s="221">
        <v>17.760000000000002</v>
      </c>
      <c r="U60" s="221">
        <v>160.66999999999999</v>
      </c>
      <c r="V60" s="221"/>
      <c r="W60" s="221">
        <v>11.45</v>
      </c>
      <c r="X60" s="221">
        <v>19.8</v>
      </c>
      <c r="Y60" s="221">
        <v>114.26</v>
      </c>
      <c r="Z60" s="221">
        <v>36.86</v>
      </c>
      <c r="AA60" s="221">
        <v>7.26</v>
      </c>
      <c r="AB60" s="221">
        <v>82.25</v>
      </c>
      <c r="AC60" s="221">
        <v>20.309999999999999</v>
      </c>
      <c r="AD60" s="221"/>
      <c r="AE60" s="221">
        <v>67.739999999999995</v>
      </c>
      <c r="AF60" s="221">
        <v>5.0199999999999996</v>
      </c>
      <c r="AG60" s="221">
        <v>72.260000000000005</v>
      </c>
      <c r="AH60" s="221"/>
      <c r="AI60" s="221"/>
      <c r="AJ60" s="221">
        <v>849.14</v>
      </c>
      <c r="AK60" s="221"/>
      <c r="AL60" s="221"/>
      <c r="AM60" s="221"/>
      <c r="AN60" s="221"/>
      <c r="AO60" s="221"/>
      <c r="AP60" s="221">
        <v>795.08</v>
      </c>
      <c r="AQ60" s="221"/>
      <c r="AR60" s="221"/>
      <c r="AS60" s="221"/>
      <c r="AT60" s="221">
        <v>20.12</v>
      </c>
      <c r="AU60" s="221"/>
      <c r="AV60" s="221">
        <v>52.31</v>
      </c>
      <c r="AW60" s="221">
        <v>154.69</v>
      </c>
      <c r="AX60" s="221">
        <v>4</v>
      </c>
      <c r="AY60" s="221">
        <v>46.75</v>
      </c>
      <c r="AZ60" s="221">
        <v>25.22</v>
      </c>
      <c r="BA60" s="221"/>
      <c r="BB60" s="221">
        <v>9.06</v>
      </c>
      <c r="BC60" s="221"/>
      <c r="BD60" s="221">
        <v>49.43</v>
      </c>
      <c r="BE60" s="221">
        <v>31.98</v>
      </c>
      <c r="BF60" s="221"/>
      <c r="BG60" s="221">
        <v>96.69</v>
      </c>
      <c r="BH60" s="221">
        <v>153.61000000000001</v>
      </c>
      <c r="BI60" s="221">
        <v>6.46</v>
      </c>
      <c r="BJ60" s="221">
        <v>22.01</v>
      </c>
      <c r="BK60" s="221">
        <v>193.41</v>
      </c>
      <c r="BL60" s="221">
        <v>75.19</v>
      </c>
      <c r="BM60" s="221">
        <v>20.29</v>
      </c>
      <c r="BN60" s="221">
        <v>55.81</v>
      </c>
      <c r="BO60" s="221">
        <v>7.24</v>
      </c>
      <c r="BP60" s="221">
        <v>14.8</v>
      </c>
      <c r="BQ60" s="221"/>
      <c r="BR60" s="221">
        <v>4.87</v>
      </c>
      <c r="BS60" s="221"/>
      <c r="BT60" s="221">
        <v>1.6</v>
      </c>
      <c r="BU60" s="221">
        <v>7.38</v>
      </c>
      <c r="BV60" s="221">
        <v>40.97</v>
      </c>
      <c r="BW60" s="221">
        <v>8.07</v>
      </c>
      <c r="BX60" s="221">
        <v>61.57</v>
      </c>
      <c r="BY60" s="221">
        <v>51.02</v>
      </c>
      <c r="BZ60" s="221"/>
      <c r="CA60" s="221">
        <v>40.799999999999997</v>
      </c>
      <c r="CB60" s="221"/>
      <c r="CC60" s="221">
        <v>37.11</v>
      </c>
      <c r="CD60" s="307" t="s">
        <v>221</v>
      </c>
      <c r="CE60" s="309">
        <f t="shared" ref="CE60:CE70" si="0">SUM(C60:CD60)</f>
        <v>4690.7</v>
      </c>
      <c r="CF60" s="2"/>
    </row>
    <row r="61" spans="1:84" ht="12.65" customHeight="1" x14ac:dyDescent="0.35">
      <c r="A61" s="304" t="s">
        <v>235</v>
      </c>
      <c r="B61" s="297"/>
      <c r="C61" s="302">
        <v>9691471</v>
      </c>
      <c r="D61" s="302"/>
      <c r="E61" s="302">
        <v>42204975</v>
      </c>
      <c r="F61" s="185"/>
      <c r="G61" s="302"/>
      <c r="H61" s="302"/>
      <c r="I61" s="185"/>
      <c r="J61" s="185"/>
      <c r="K61" s="185">
        <v>9487723</v>
      </c>
      <c r="L61" s="185"/>
      <c r="M61" s="302"/>
      <c r="N61" s="302"/>
      <c r="O61" s="302"/>
      <c r="P61" s="185">
        <v>12654555</v>
      </c>
      <c r="Q61" s="185">
        <v>7353687</v>
      </c>
      <c r="R61" s="185">
        <v>18060932</v>
      </c>
      <c r="S61" s="185">
        <v>7114768</v>
      </c>
      <c r="T61" s="185">
        <v>2185210</v>
      </c>
      <c r="U61" s="185">
        <v>15948045</v>
      </c>
      <c r="V61" s="185"/>
      <c r="W61" s="185">
        <v>2157822</v>
      </c>
      <c r="X61" s="185">
        <v>3691405</v>
      </c>
      <c r="Y61" s="185">
        <v>12560497</v>
      </c>
      <c r="Z61" s="185">
        <v>6440438</v>
      </c>
      <c r="AA61" s="185">
        <v>998361</v>
      </c>
      <c r="AB61" s="185">
        <v>9202368</v>
      </c>
      <c r="AC61" s="185">
        <v>1876093</v>
      </c>
      <c r="AD61" s="185">
        <v>70038</v>
      </c>
      <c r="AE61" s="185">
        <v>7103633</v>
      </c>
      <c r="AF61" s="185">
        <v>547857</v>
      </c>
      <c r="AG61" s="185">
        <v>9595635</v>
      </c>
      <c r="AH61" s="185"/>
      <c r="AI61" s="185"/>
      <c r="AJ61" s="185">
        <v>134945202</v>
      </c>
      <c r="AK61" s="185"/>
      <c r="AL61" s="185"/>
      <c r="AM61" s="185"/>
      <c r="AN61" s="185"/>
      <c r="AO61" s="185"/>
      <c r="AP61" s="185">
        <v>97114694</v>
      </c>
      <c r="AQ61" s="185"/>
      <c r="AR61" s="185"/>
      <c r="AS61" s="185"/>
      <c r="AT61" s="185">
        <v>2017104</v>
      </c>
      <c r="AU61" s="185"/>
      <c r="AV61" s="185">
        <v>6943786</v>
      </c>
      <c r="AW61" s="185">
        <v>13497559</v>
      </c>
      <c r="AX61" s="185">
        <v>380845</v>
      </c>
      <c r="AY61" s="185">
        <v>2403818</v>
      </c>
      <c r="AZ61" s="185">
        <v>1169683</v>
      </c>
      <c r="BA61" s="185"/>
      <c r="BB61" s="185">
        <v>794457</v>
      </c>
      <c r="BC61" s="185"/>
      <c r="BD61" s="185">
        <v>6351675</v>
      </c>
      <c r="BE61" s="185">
        <v>2280622</v>
      </c>
      <c r="BF61" s="185"/>
      <c r="BG61" s="185">
        <v>4658767</v>
      </c>
      <c r="BH61" s="185">
        <v>16939040</v>
      </c>
      <c r="BI61" s="185">
        <v>857694</v>
      </c>
      <c r="BJ61" s="185">
        <v>2058385</v>
      </c>
      <c r="BK61" s="185">
        <v>13357966</v>
      </c>
      <c r="BL61" s="185">
        <v>5307339</v>
      </c>
      <c r="BM61" s="185">
        <v>2668893</v>
      </c>
      <c r="BN61" s="185">
        <v>10537354</v>
      </c>
      <c r="BO61" s="185">
        <v>713723</v>
      </c>
      <c r="BP61" s="185">
        <v>1772282</v>
      </c>
      <c r="BQ61" s="185"/>
      <c r="BR61" s="185">
        <v>522787</v>
      </c>
      <c r="BS61" s="185"/>
      <c r="BT61" s="185">
        <v>136992</v>
      </c>
      <c r="BU61" s="185">
        <v>592583</v>
      </c>
      <c r="BV61" s="185">
        <v>2572234</v>
      </c>
      <c r="BW61" s="185">
        <v>4078850</v>
      </c>
      <c r="BX61" s="185">
        <v>6780516</v>
      </c>
      <c r="BY61" s="185">
        <v>5375574</v>
      </c>
      <c r="BZ61" s="185"/>
      <c r="CA61" s="185">
        <v>3829194</v>
      </c>
      <c r="CB61" s="185"/>
      <c r="CC61" s="185">
        <v>3624846</v>
      </c>
      <c r="CD61" s="307" t="s">
        <v>221</v>
      </c>
      <c r="CE61" s="297">
        <f t="shared" si="0"/>
        <v>533229977</v>
      </c>
      <c r="CF61" s="2"/>
    </row>
    <row r="62" spans="1:84" ht="12.65" customHeight="1" x14ac:dyDescent="0.35">
      <c r="A62" s="304" t="s">
        <v>3</v>
      </c>
      <c r="B62" s="297"/>
      <c r="C62" s="297">
        <f t="shared" ref="C62:BN62" si="1">ROUND(C47+C48,0)</f>
        <v>1840790</v>
      </c>
      <c r="D62" s="297">
        <f t="shared" si="1"/>
        <v>0</v>
      </c>
      <c r="E62" s="297">
        <f t="shared" si="1"/>
        <v>7995848</v>
      </c>
      <c r="F62" s="297">
        <f t="shared" si="1"/>
        <v>0</v>
      </c>
      <c r="G62" s="297">
        <f t="shared" si="1"/>
        <v>0</v>
      </c>
      <c r="H62" s="297">
        <f t="shared" si="1"/>
        <v>0</v>
      </c>
      <c r="I62" s="297">
        <f t="shared" si="1"/>
        <v>0</v>
      </c>
      <c r="J62" s="297">
        <f>ROUND(J47+J48,0)</f>
        <v>0</v>
      </c>
      <c r="K62" s="297">
        <f t="shared" si="1"/>
        <v>1893446</v>
      </c>
      <c r="L62" s="297">
        <f t="shared" si="1"/>
        <v>0</v>
      </c>
      <c r="M62" s="297">
        <f t="shared" si="1"/>
        <v>0</v>
      </c>
      <c r="N62" s="297">
        <f t="shared" si="1"/>
        <v>0</v>
      </c>
      <c r="O62" s="297">
        <f t="shared" si="1"/>
        <v>0</v>
      </c>
      <c r="P62" s="297">
        <f t="shared" si="1"/>
        <v>2395331</v>
      </c>
      <c r="Q62" s="297">
        <f t="shared" si="1"/>
        <v>1411899</v>
      </c>
      <c r="R62" s="297">
        <f t="shared" si="1"/>
        <v>5392391</v>
      </c>
      <c r="S62" s="297">
        <f t="shared" si="1"/>
        <v>1348002</v>
      </c>
      <c r="T62" s="297">
        <f t="shared" si="1"/>
        <v>413331</v>
      </c>
      <c r="U62" s="297">
        <f t="shared" si="1"/>
        <v>3870594</v>
      </c>
      <c r="V62" s="297">
        <f t="shared" si="1"/>
        <v>0</v>
      </c>
      <c r="W62" s="297">
        <f t="shared" si="1"/>
        <v>636989</v>
      </c>
      <c r="X62" s="297">
        <f t="shared" si="1"/>
        <v>1089072</v>
      </c>
      <c r="Y62" s="297">
        <f t="shared" si="1"/>
        <v>2900724</v>
      </c>
      <c r="Z62" s="297">
        <f t="shared" si="1"/>
        <v>1851526</v>
      </c>
      <c r="AA62" s="297">
        <f t="shared" si="1"/>
        <v>235996</v>
      </c>
      <c r="AB62" s="297">
        <f t="shared" si="1"/>
        <v>1761190</v>
      </c>
      <c r="AC62" s="297">
        <f t="shared" si="1"/>
        <v>355047</v>
      </c>
      <c r="AD62" s="297">
        <f t="shared" si="1"/>
        <v>14629</v>
      </c>
      <c r="AE62" s="297">
        <f t="shared" si="1"/>
        <v>1635121</v>
      </c>
      <c r="AF62" s="297">
        <f t="shared" si="1"/>
        <v>148293</v>
      </c>
      <c r="AG62" s="297">
        <f t="shared" si="1"/>
        <v>2611582</v>
      </c>
      <c r="AH62" s="297">
        <f t="shared" si="1"/>
        <v>0</v>
      </c>
      <c r="AI62" s="297">
        <f t="shared" si="1"/>
        <v>0</v>
      </c>
      <c r="AJ62" s="297">
        <f t="shared" si="1"/>
        <v>39928504</v>
      </c>
      <c r="AK62" s="297">
        <f t="shared" si="1"/>
        <v>0</v>
      </c>
      <c r="AL62" s="297">
        <f t="shared" si="1"/>
        <v>0</v>
      </c>
      <c r="AM62" s="297">
        <f t="shared" si="1"/>
        <v>0</v>
      </c>
      <c r="AN62" s="297">
        <f t="shared" si="1"/>
        <v>0</v>
      </c>
      <c r="AO62" s="297">
        <f t="shared" si="1"/>
        <v>0</v>
      </c>
      <c r="AP62" s="297">
        <f t="shared" si="1"/>
        <v>27091313</v>
      </c>
      <c r="AQ62" s="297">
        <f t="shared" si="1"/>
        <v>0</v>
      </c>
      <c r="AR62" s="297">
        <f t="shared" si="1"/>
        <v>0</v>
      </c>
      <c r="AS62" s="297">
        <f t="shared" si="1"/>
        <v>0</v>
      </c>
      <c r="AT62" s="297">
        <f t="shared" si="1"/>
        <v>444242</v>
      </c>
      <c r="AU62" s="297">
        <f t="shared" si="1"/>
        <v>0</v>
      </c>
      <c r="AV62" s="297">
        <f t="shared" si="1"/>
        <v>1598057</v>
      </c>
      <c r="AW62" s="297">
        <f t="shared" si="1"/>
        <v>3216651</v>
      </c>
      <c r="AX62" s="297">
        <f t="shared" si="1"/>
        <v>72037</v>
      </c>
      <c r="AY62" s="297">
        <f>ROUND(AY47+AY48,0)</f>
        <v>454680</v>
      </c>
      <c r="AZ62" s="297">
        <f>ROUND(AZ47+AZ48,0)</f>
        <v>221245</v>
      </c>
      <c r="BA62" s="297">
        <f>ROUND(BA47+BA48,0)</f>
        <v>0</v>
      </c>
      <c r="BB62" s="297">
        <f t="shared" si="1"/>
        <v>151453</v>
      </c>
      <c r="BC62" s="297">
        <f t="shared" si="1"/>
        <v>0</v>
      </c>
      <c r="BD62" s="297">
        <f t="shared" si="1"/>
        <v>1431175</v>
      </c>
      <c r="BE62" s="297">
        <f t="shared" si="1"/>
        <v>420345</v>
      </c>
      <c r="BF62" s="297">
        <f t="shared" si="1"/>
        <v>0</v>
      </c>
      <c r="BG62" s="297">
        <f t="shared" si="1"/>
        <v>881810</v>
      </c>
      <c r="BH62" s="297">
        <f t="shared" si="1"/>
        <v>1284282</v>
      </c>
      <c r="BI62" s="297">
        <f t="shared" si="1"/>
        <v>179111</v>
      </c>
      <c r="BJ62" s="297">
        <f t="shared" si="1"/>
        <v>375828</v>
      </c>
      <c r="BK62" s="297">
        <f t="shared" si="1"/>
        <v>2637004</v>
      </c>
      <c r="BL62" s="297">
        <f t="shared" si="1"/>
        <v>1047150</v>
      </c>
      <c r="BM62" s="297">
        <f t="shared" si="1"/>
        <v>547478</v>
      </c>
      <c r="BN62" s="297">
        <f t="shared" si="1"/>
        <v>2030725</v>
      </c>
      <c r="BO62" s="297">
        <f t="shared" ref="BO62:CC62" si="2">ROUND(BO47+BO48,0)</f>
        <v>583741</v>
      </c>
      <c r="BP62" s="297">
        <f t="shared" si="2"/>
        <v>335675</v>
      </c>
      <c r="BQ62" s="297">
        <f t="shared" si="2"/>
        <v>0</v>
      </c>
      <c r="BR62" s="297">
        <f t="shared" si="2"/>
        <v>197376</v>
      </c>
      <c r="BS62" s="297">
        <f t="shared" si="2"/>
        <v>0</v>
      </c>
      <c r="BT62" s="297">
        <f t="shared" si="2"/>
        <v>25912</v>
      </c>
      <c r="BU62" s="297">
        <f t="shared" si="2"/>
        <v>111120</v>
      </c>
      <c r="BV62" s="297">
        <f t="shared" si="2"/>
        <v>486797</v>
      </c>
      <c r="BW62" s="297">
        <f t="shared" si="2"/>
        <v>-14428875</v>
      </c>
      <c r="BX62" s="297">
        <f t="shared" si="2"/>
        <v>1341457</v>
      </c>
      <c r="BY62" s="297">
        <f t="shared" si="2"/>
        <v>1039147</v>
      </c>
      <c r="BZ62" s="297">
        <f t="shared" si="2"/>
        <v>0</v>
      </c>
      <c r="CA62" s="297">
        <f t="shared" si="2"/>
        <v>774113</v>
      </c>
      <c r="CB62" s="297">
        <f t="shared" si="2"/>
        <v>0</v>
      </c>
      <c r="CC62" s="297">
        <f t="shared" si="2"/>
        <v>704618</v>
      </c>
      <c r="CD62" s="307" t="s">
        <v>221</v>
      </c>
      <c r="CE62" s="297">
        <f t="shared" si="0"/>
        <v>114985972</v>
      </c>
      <c r="CF62" s="2"/>
    </row>
    <row r="63" spans="1:84" ht="12.65" customHeight="1" x14ac:dyDescent="0.35">
      <c r="A63" s="304" t="s">
        <v>236</v>
      </c>
      <c r="B63" s="297"/>
      <c r="C63" s="302"/>
      <c r="D63" s="302"/>
      <c r="E63" s="302">
        <v>6803</v>
      </c>
      <c r="F63" s="185"/>
      <c r="G63" s="302"/>
      <c r="H63" s="302"/>
      <c r="I63" s="185"/>
      <c r="J63" s="185"/>
      <c r="K63" s="185"/>
      <c r="L63" s="185"/>
      <c r="M63" s="302"/>
      <c r="N63" s="302"/>
      <c r="O63" s="302"/>
      <c r="P63" s="185">
        <v>1908415</v>
      </c>
      <c r="Q63" s="185"/>
      <c r="R63" s="185">
        <v>-182</v>
      </c>
      <c r="S63" s="185"/>
      <c r="T63" s="185">
        <v>951</v>
      </c>
      <c r="U63" s="185">
        <v>17147</v>
      </c>
      <c r="V63" s="185"/>
      <c r="W63" s="185">
        <v>1164</v>
      </c>
      <c r="X63" s="185">
        <v>205</v>
      </c>
      <c r="Y63" s="185">
        <v>42445</v>
      </c>
      <c r="Z63" s="185">
        <v>343319</v>
      </c>
      <c r="AA63" s="185">
        <v>5260</v>
      </c>
      <c r="AB63" s="185">
        <v>6839</v>
      </c>
      <c r="AC63" s="185"/>
      <c r="AD63" s="185"/>
      <c r="AE63" s="185"/>
      <c r="AF63" s="185"/>
      <c r="AG63" s="185">
        <v>252845</v>
      </c>
      <c r="AH63" s="185"/>
      <c r="AI63" s="185"/>
      <c r="AJ63" s="185">
        <v>562975</v>
      </c>
      <c r="AK63" s="185"/>
      <c r="AL63" s="185"/>
      <c r="AM63" s="185"/>
      <c r="AN63" s="185"/>
      <c r="AO63" s="185"/>
      <c r="AP63" s="185">
        <v>128624</v>
      </c>
      <c r="AQ63" s="185"/>
      <c r="AR63" s="185"/>
      <c r="AS63" s="185"/>
      <c r="AT63" s="185">
        <v>395605</v>
      </c>
      <c r="AU63" s="185"/>
      <c r="AV63" s="185">
        <v>121705</v>
      </c>
      <c r="AW63" s="185">
        <v>130394</v>
      </c>
      <c r="AX63" s="185">
        <v>737298</v>
      </c>
      <c r="AY63" s="185"/>
      <c r="AZ63" s="185"/>
      <c r="BA63" s="185"/>
      <c r="BB63" s="185">
        <v>7899</v>
      </c>
      <c r="BC63" s="185"/>
      <c r="BD63" s="185">
        <v>296826</v>
      </c>
      <c r="BE63" s="185">
        <v>80125</v>
      </c>
      <c r="BF63" s="185"/>
      <c r="BG63" s="185"/>
      <c r="BH63" s="185">
        <v>57600</v>
      </c>
      <c r="BI63" s="185"/>
      <c r="BJ63" s="185"/>
      <c r="BK63" s="185">
        <v>2609985</v>
      </c>
      <c r="BL63" s="185"/>
      <c r="BM63" s="185"/>
      <c r="BN63" s="185">
        <v>38689</v>
      </c>
      <c r="BO63" s="185"/>
      <c r="BP63" s="185"/>
      <c r="BQ63" s="185"/>
      <c r="BR63" s="185">
        <v>263177</v>
      </c>
      <c r="BS63" s="185"/>
      <c r="BT63" s="185"/>
      <c r="BU63" s="185"/>
      <c r="BV63" s="185"/>
      <c r="BW63" s="185"/>
      <c r="BX63" s="185">
        <v>109178</v>
      </c>
      <c r="BY63" s="185"/>
      <c r="BZ63" s="185"/>
      <c r="CA63" s="185">
        <v>4739</v>
      </c>
      <c r="CB63" s="185"/>
      <c r="CC63" s="185">
        <f>3530563+2</f>
        <v>3530565</v>
      </c>
      <c r="CD63" s="307" t="s">
        <v>221</v>
      </c>
      <c r="CE63" s="297">
        <f t="shared" si="0"/>
        <v>11660595</v>
      </c>
      <c r="CF63" s="2"/>
    </row>
    <row r="64" spans="1:84" ht="12.65" customHeight="1" x14ac:dyDescent="0.35">
      <c r="A64" s="304" t="s">
        <v>237</v>
      </c>
      <c r="B64" s="297"/>
      <c r="C64" s="302">
        <v>1535048</v>
      </c>
      <c r="D64" s="302"/>
      <c r="E64" s="185">
        <v>3455009</v>
      </c>
      <c r="F64" s="185"/>
      <c r="G64" s="302"/>
      <c r="H64" s="302"/>
      <c r="I64" s="185"/>
      <c r="J64" s="185"/>
      <c r="K64" s="185">
        <v>1217290</v>
      </c>
      <c r="L64" s="185"/>
      <c r="M64" s="302"/>
      <c r="N64" s="302">
        <v>11148</v>
      </c>
      <c r="O64" s="302"/>
      <c r="P64" s="185">
        <v>47494579</v>
      </c>
      <c r="Q64" s="185">
        <v>1050683</v>
      </c>
      <c r="R64" s="185">
        <v>3093491</v>
      </c>
      <c r="S64" s="185">
        <v>1194221</v>
      </c>
      <c r="T64" s="185">
        <v>554024</v>
      </c>
      <c r="U64" s="185">
        <v>16055656</v>
      </c>
      <c r="V64" s="185"/>
      <c r="W64" s="185">
        <v>425653</v>
      </c>
      <c r="X64" s="185">
        <v>631998</v>
      </c>
      <c r="Y64" s="185">
        <v>6140966</v>
      </c>
      <c r="Z64" s="185">
        <v>333687</v>
      </c>
      <c r="AA64" s="185">
        <v>8895146</v>
      </c>
      <c r="AB64" s="185">
        <v>37001972</v>
      </c>
      <c r="AC64" s="185">
        <v>349893</v>
      </c>
      <c r="AD64" s="185">
        <v>38682</v>
      </c>
      <c r="AE64" s="185">
        <v>724809</v>
      </c>
      <c r="AF64" s="185">
        <v>1808</v>
      </c>
      <c r="AG64" s="185">
        <v>879255</v>
      </c>
      <c r="AH64" s="185"/>
      <c r="AI64" s="185"/>
      <c r="AJ64" s="185">
        <v>94410290</v>
      </c>
      <c r="AK64" s="185"/>
      <c r="AL64" s="185"/>
      <c r="AM64" s="185"/>
      <c r="AN64" s="185"/>
      <c r="AO64" s="185"/>
      <c r="AP64" s="185">
        <v>36970491</v>
      </c>
      <c r="AQ64" s="185"/>
      <c r="AR64" s="185"/>
      <c r="AS64" s="185"/>
      <c r="AT64" s="185">
        <v>2309167</v>
      </c>
      <c r="AU64" s="185"/>
      <c r="AV64" s="185">
        <v>14651011</v>
      </c>
      <c r="AW64" s="185">
        <v>331831</v>
      </c>
      <c r="AX64" s="185">
        <v>33315</v>
      </c>
      <c r="AY64" s="185">
        <v>751557</v>
      </c>
      <c r="AZ64" s="185">
        <v>2140137</v>
      </c>
      <c r="BA64" s="185">
        <v>851</v>
      </c>
      <c r="BB64" s="185">
        <v>1445</v>
      </c>
      <c r="BC64" s="185">
        <v>165298</v>
      </c>
      <c r="BD64" s="185">
        <v>45018</v>
      </c>
      <c r="BE64" s="185">
        <v>420625</v>
      </c>
      <c r="BF64" s="185">
        <v>36196</v>
      </c>
      <c r="BG64" s="185">
        <v>6460</v>
      </c>
      <c r="BH64" s="185">
        <v>10482</v>
      </c>
      <c r="BI64" s="185">
        <v>201855</v>
      </c>
      <c r="BJ64" s="185">
        <v>13190</v>
      </c>
      <c r="BK64" s="185">
        <v>300428</v>
      </c>
      <c r="BL64" s="185">
        <v>24836</v>
      </c>
      <c r="BM64" s="185">
        <v>-6459</v>
      </c>
      <c r="BN64" s="185">
        <v>18565</v>
      </c>
      <c r="BO64" s="185">
        <v>513071</v>
      </c>
      <c r="BP64" s="185">
        <v>17344</v>
      </c>
      <c r="BQ64" s="185"/>
      <c r="BR64" s="185">
        <v>1843</v>
      </c>
      <c r="BS64" s="185"/>
      <c r="BT64" s="185">
        <v>598</v>
      </c>
      <c r="BU64" s="185">
        <v>3631</v>
      </c>
      <c r="BV64" s="185">
        <v>14688</v>
      </c>
      <c r="BW64" s="185">
        <v>5723</v>
      </c>
      <c r="BX64" s="185">
        <v>69593</v>
      </c>
      <c r="BY64" s="185">
        <v>125935</v>
      </c>
      <c r="BZ64" s="185"/>
      <c r="CA64" s="185">
        <v>5773</v>
      </c>
      <c r="CB64" s="185"/>
      <c r="CC64" s="185">
        <f>3336615+590+3</f>
        <v>3337208</v>
      </c>
      <c r="CD64" s="307" t="s">
        <v>221</v>
      </c>
      <c r="CE64" s="297">
        <f t="shared" si="0"/>
        <v>288017014</v>
      </c>
      <c r="CF64" s="2"/>
    </row>
    <row r="65" spans="1:84" ht="12.65" customHeight="1" x14ac:dyDescent="0.35">
      <c r="A65" s="304" t="s">
        <v>238</v>
      </c>
      <c r="B65" s="297"/>
      <c r="C65" s="302">
        <v>32054</v>
      </c>
      <c r="D65" s="302"/>
      <c r="E65" s="302">
        <v>190393</v>
      </c>
      <c r="F65" s="302"/>
      <c r="G65" s="302"/>
      <c r="H65" s="302"/>
      <c r="I65" s="185"/>
      <c r="J65" s="302"/>
      <c r="K65" s="185">
        <v>408100</v>
      </c>
      <c r="L65" s="185"/>
      <c r="M65" s="302"/>
      <c r="N65" s="302">
        <v>15</v>
      </c>
      <c r="O65" s="302"/>
      <c r="P65" s="185">
        <v>108844</v>
      </c>
      <c r="Q65" s="185">
        <v>37478</v>
      </c>
      <c r="R65" s="185">
        <v>32556</v>
      </c>
      <c r="S65" s="185">
        <v>27182</v>
      </c>
      <c r="T65" s="185">
        <v>3158</v>
      </c>
      <c r="U65" s="185">
        <v>53773</v>
      </c>
      <c r="V65" s="185"/>
      <c r="W65" s="185">
        <v>16080</v>
      </c>
      <c r="X65" s="185">
        <v>11021</v>
      </c>
      <c r="Y65" s="185">
        <v>61336</v>
      </c>
      <c r="Z65" s="185">
        <v>33693</v>
      </c>
      <c r="AA65" s="185">
        <v>5338</v>
      </c>
      <c r="AB65" s="185">
        <v>34894</v>
      </c>
      <c r="AC65" s="185">
        <v>5568</v>
      </c>
      <c r="AD65" s="185">
        <v>1808</v>
      </c>
      <c r="AE65" s="185">
        <v>30392</v>
      </c>
      <c r="AF65" s="185">
        <v>2506</v>
      </c>
      <c r="AG65" s="185">
        <v>26082</v>
      </c>
      <c r="AH65" s="185"/>
      <c r="AI65" s="185"/>
      <c r="AJ65" s="185">
        <v>670274</v>
      </c>
      <c r="AK65" s="185"/>
      <c r="AL65" s="185"/>
      <c r="AM65" s="185"/>
      <c r="AN65" s="185"/>
      <c r="AO65" s="185"/>
      <c r="AP65" s="185">
        <v>1780702</v>
      </c>
      <c r="AQ65" s="185"/>
      <c r="AR65" s="185"/>
      <c r="AS65" s="185"/>
      <c r="AT65" s="185">
        <v>9376</v>
      </c>
      <c r="AU65" s="185"/>
      <c r="AV65" s="185">
        <v>37053</v>
      </c>
      <c r="AW65" s="185">
        <v>39467</v>
      </c>
      <c r="AX65" s="185">
        <v>1417</v>
      </c>
      <c r="AY65" s="185">
        <v>9144</v>
      </c>
      <c r="AZ65" s="185">
        <v>38772</v>
      </c>
      <c r="BA65" s="185">
        <v>1041</v>
      </c>
      <c r="BB65" s="185">
        <v>9114</v>
      </c>
      <c r="BC65" s="185">
        <v>11699</v>
      </c>
      <c r="BD65" s="185">
        <v>89519</v>
      </c>
      <c r="BE65" s="185">
        <v>6412647</v>
      </c>
      <c r="BF65" s="185">
        <v>1475886</v>
      </c>
      <c r="BG65" s="185">
        <v>65072</v>
      </c>
      <c r="BH65" s="185">
        <v>232282</v>
      </c>
      <c r="BI65" s="185">
        <v>13735</v>
      </c>
      <c r="BJ65" s="185">
        <v>9757</v>
      </c>
      <c r="BK65" s="185">
        <v>80383</v>
      </c>
      <c r="BL65" s="185">
        <v>50003</v>
      </c>
      <c r="BM65" s="185">
        <v>9526</v>
      </c>
      <c r="BN65" s="185">
        <v>86156</v>
      </c>
      <c r="BO65" s="185">
        <v>6104</v>
      </c>
      <c r="BP65" s="185">
        <v>14710</v>
      </c>
      <c r="BQ65" s="185"/>
      <c r="BR65" s="185">
        <v>10583</v>
      </c>
      <c r="BS65" s="185"/>
      <c r="BT65" s="185">
        <v>486</v>
      </c>
      <c r="BU65" s="185">
        <v>6239</v>
      </c>
      <c r="BV65" s="185">
        <v>67482</v>
      </c>
      <c r="BW65" s="185">
        <v>533</v>
      </c>
      <c r="BX65" s="185">
        <v>67553</v>
      </c>
      <c r="BY65" s="185">
        <v>52196</v>
      </c>
      <c r="BZ65" s="185"/>
      <c r="CA65" s="185">
        <v>8467</v>
      </c>
      <c r="CB65" s="185"/>
      <c r="CC65" s="185">
        <f>191843+325</f>
        <v>192168</v>
      </c>
      <c r="CD65" s="307" t="s">
        <v>221</v>
      </c>
      <c r="CE65" s="297">
        <f t="shared" si="0"/>
        <v>12681817</v>
      </c>
      <c r="CF65" s="2"/>
    </row>
    <row r="66" spans="1:84" ht="12.65" customHeight="1" x14ac:dyDescent="0.35">
      <c r="A66" s="304" t="s">
        <v>239</v>
      </c>
      <c r="B66" s="297"/>
      <c r="C66" s="302">
        <v>35848</v>
      </c>
      <c r="D66" s="302"/>
      <c r="E66" s="302">
        <v>277619</v>
      </c>
      <c r="F66" s="302"/>
      <c r="G66" s="302"/>
      <c r="H66" s="302"/>
      <c r="I66" s="302"/>
      <c r="J66" s="302"/>
      <c r="K66" s="185">
        <v>1155781</v>
      </c>
      <c r="L66" s="185"/>
      <c r="M66" s="302"/>
      <c r="N66" s="302"/>
      <c r="O66" s="185"/>
      <c r="P66" s="185">
        <v>568424</v>
      </c>
      <c r="Q66" s="185">
        <v>110319</v>
      </c>
      <c r="R66" s="185">
        <v>19520</v>
      </c>
      <c r="S66" s="302">
        <v>55347</v>
      </c>
      <c r="T66" s="302">
        <v>2674</v>
      </c>
      <c r="U66" s="185">
        <v>3954941</v>
      </c>
      <c r="V66" s="185"/>
      <c r="W66" s="185">
        <v>179621</v>
      </c>
      <c r="X66" s="185">
        <v>57224</v>
      </c>
      <c r="Y66" s="185">
        <v>198825</v>
      </c>
      <c r="Z66" s="185">
        <v>239129</v>
      </c>
      <c r="AA66" s="185">
        <v>120909</v>
      </c>
      <c r="AB66" s="185">
        <v>68642</v>
      </c>
      <c r="AC66" s="185"/>
      <c r="AD66" s="185">
        <v>2463511</v>
      </c>
      <c r="AE66" s="185">
        <v>28466</v>
      </c>
      <c r="AF66" s="185">
        <v>439</v>
      </c>
      <c r="AG66" s="185">
        <v>30081</v>
      </c>
      <c r="AH66" s="185"/>
      <c r="AI66" s="185"/>
      <c r="AJ66" s="185">
        <v>2228491</v>
      </c>
      <c r="AK66" s="185"/>
      <c r="AL66" s="185"/>
      <c r="AM66" s="185"/>
      <c r="AN66" s="185"/>
      <c r="AO66" s="185"/>
      <c r="AP66" s="185">
        <v>1900872</v>
      </c>
      <c r="AQ66" s="185"/>
      <c r="AR66" s="185"/>
      <c r="AS66" s="185"/>
      <c r="AT66" s="185">
        <v>1169486</v>
      </c>
      <c r="AU66" s="185"/>
      <c r="AV66" s="185">
        <v>82546</v>
      </c>
      <c r="AW66" s="185">
        <v>130026</v>
      </c>
      <c r="AX66" s="185">
        <v>3613</v>
      </c>
      <c r="AY66" s="185">
        <v>1244526</v>
      </c>
      <c r="AZ66" s="185">
        <v>143418</v>
      </c>
      <c r="BA66" s="185">
        <v>1979103</v>
      </c>
      <c r="BB66" s="185">
        <v>3027</v>
      </c>
      <c r="BC66" s="185">
        <v>3287433</v>
      </c>
      <c r="BD66" s="185">
        <v>441192</v>
      </c>
      <c r="BE66" s="185">
        <v>4815460</v>
      </c>
      <c r="BF66" s="185">
        <v>8259261</v>
      </c>
      <c r="BG66" s="185">
        <v>1979</v>
      </c>
      <c r="BH66" s="185">
        <v>971701</v>
      </c>
      <c r="BI66" s="185">
        <v>673802</v>
      </c>
      <c r="BJ66" s="185">
        <v>543019</v>
      </c>
      <c r="BK66" s="185">
        <v>1048058</v>
      </c>
      <c r="BL66" s="185">
        <v>1268</v>
      </c>
      <c r="BM66" s="185">
        <v>278349</v>
      </c>
      <c r="BN66" s="185">
        <v>353445</v>
      </c>
      <c r="BO66" s="185">
        <v>14776</v>
      </c>
      <c r="BP66" s="185">
        <v>144422</v>
      </c>
      <c r="BQ66" s="185"/>
      <c r="BR66" s="185">
        <v>517153</v>
      </c>
      <c r="BS66" s="185"/>
      <c r="BT66" s="185">
        <v>2087</v>
      </c>
      <c r="BU66" s="185">
        <v>34000</v>
      </c>
      <c r="BV66" s="185">
        <v>757343</v>
      </c>
      <c r="BW66" s="185">
        <v>38757</v>
      </c>
      <c r="BX66" s="185">
        <v>2766245</v>
      </c>
      <c r="BY66" s="185">
        <v>90462</v>
      </c>
      <c r="BZ66" s="185"/>
      <c r="CA66" s="185">
        <v>95058</v>
      </c>
      <c r="CB66" s="185"/>
      <c r="CC66" s="185">
        <v>3719723</v>
      </c>
      <c r="CD66" s="307" t="s">
        <v>221</v>
      </c>
      <c r="CE66" s="297">
        <f t="shared" si="0"/>
        <v>47307421</v>
      </c>
      <c r="CF66" s="2"/>
    </row>
    <row r="67" spans="1:84" ht="12.65" customHeight="1" x14ac:dyDescent="0.35">
      <c r="A67" s="304" t="s">
        <v>6</v>
      </c>
      <c r="B67" s="297"/>
      <c r="C67" s="297">
        <f>ROUND(C51+C52,0)</f>
        <v>1600934</v>
      </c>
      <c r="D67" s="297">
        <f>ROUND(D51+D52,0)</f>
        <v>0</v>
      </c>
      <c r="E67" s="297">
        <f t="shared" ref="E67:BP67" si="3">ROUND(E51+E52,0)</f>
        <v>2359905</v>
      </c>
      <c r="F67" s="297">
        <f t="shared" si="3"/>
        <v>0</v>
      </c>
      <c r="G67" s="297">
        <f t="shared" si="3"/>
        <v>0</v>
      </c>
      <c r="H67" s="297">
        <f t="shared" si="3"/>
        <v>0</v>
      </c>
      <c r="I67" s="297">
        <f t="shared" si="3"/>
        <v>0</v>
      </c>
      <c r="J67" s="297">
        <f>ROUND(J51+J52,0)</f>
        <v>0</v>
      </c>
      <c r="K67" s="297">
        <f t="shared" si="3"/>
        <v>419135</v>
      </c>
      <c r="L67" s="297">
        <f t="shared" si="3"/>
        <v>0</v>
      </c>
      <c r="M67" s="297">
        <f t="shared" si="3"/>
        <v>0</v>
      </c>
      <c r="N67" s="297">
        <f t="shared" si="3"/>
        <v>0</v>
      </c>
      <c r="O67" s="297">
        <f t="shared" si="3"/>
        <v>0</v>
      </c>
      <c r="P67" s="297">
        <f t="shared" si="3"/>
        <v>3904245</v>
      </c>
      <c r="Q67" s="297">
        <f t="shared" si="3"/>
        <v>881926</v>
      </c>
      <c r="R67" s="297">
        <f t="shared" si="3"/>
        <v>354714</v>
      </c>
      <c r="S67" s="297">
        <f t="shared" si="3"/>
        <v>704273</v>
      </c>
      <c r="T67" s="297">
        <f t="shared" si="3"/>
        <v>25461</v>
      </c>
      <c r="U67" s="297">
        <f t="shared" si="3"/>
        <v>484568</v>
      </c>
      <c r="V67" s="297">
        <f t="shared" si="3"/>
        <v>0</v>
      </c>
      <c r="W67" s="297">
        <f t="shared" si="3"/>
        <v>519835</v>
      </c>
      <c r="X67" s="297">
        <f t="shared" si="3"/>
        <v>374960</v>
      </c>
      <c r="Y67" s="297">
        <f t="shared" si="3"/>
        <v>2352016</v>
      </c>
      <c r="Z67" s="297">
        <f t="shared" si="3"/>
        <v>612855</v>
      </c>
      <c r="AA67" s="297">
        <f t="shared" si="3"/>
        <v>110893</v>
      </c>
      <c r="AB67" s="297">
        <f t="shared" si="3"/>
        <v>411181</v>
      </c>
      <c r="AC67" s="297">
        <f t="shared" si="3"/>
        <v>80074</v>
      </c>
      <c r="AD67" s="297">
        <f t="shared" si="3"/>
        <v>15865</v>
      </c>
      <c r="AE67" s="297">
        <f t="shared" si="3"/>
        <v>32863</v>
      </c>
      <c r="AF67" s="297">
        <f t="shared" si="3"/>
        <v>5432</v>
      </c>
      <c r="AG67" s="297">
        <f t="shared" si="3"/>
        <v>528576</v>
      </c>
      <c r="AH67" s="297">
        <f t="shared" si="3"/>
        <v>0</v>
      </c>
      <c r="AI67" s="297">
        <f t="shared" si="3"/>
        <v>0</v>
      </c>
      <c r="AJ67" s="297">
        <f t="shared" si="3"/>
        <v>2918145</v>
      </c>
      <c r="AK67" s="297">
        <f t="shared" si="3"/>
        <v>0</v>
      </c>
      <c r="AL67" s="297">
        <f t="shared" si="3"/>
        <v>0</v>
      </c>
      <c r="AM67" s="297">
        <f t="shared" si="3"/>
        <v>0</v>
      </c>
      <c r="AN67" s="297">
        <f t="shared" si="3"/>
        <v>0</v>
      </c>
      <c r="AO67" s="297">
        <f t="shared" si="3"/>
        <v>0</v>
      </c>
      <c r="AP67" s="297">
        <f t="shared" si="3"/>
        <v>5803333</v>
      </c>
      <c r="AQ67" s="297">
        <f t="shared" si="3"/>
        <v>0</v>
      </c>
      <c r="AR67" s="297">
        <f t="shared" si="3"/>
        <v>0</v>
      </c>
      <c r="AS67" s="297">
        <f t="shared" si="3"/>
        <v>0</v>
      </c>
      <c r="AT67" s="297">
        <f t="shared" si="3"/>
        <v>690</v>
      </c>
      <c r="AU67" s="297">
        <f t="shared" si="3"/>
        <v>0</v>
      </c>
      <c r="AV67" s="297">
        <f t="shared" si="3"/>
        <v>1144132</v>
      </c>
      <c r="AW67" s="297">
        <f t="shared" si="3"/>
        <v>69130</v>
      </c>
      <c r="AX67" s="297">
        <f t="shared" si="3"/>
        <v>14259</v>
      </c>
      <c r="AY67" s="297">
        <f t="shared" si="3"/>
        <v>16909</v>
      </c>
      <c r="AZ67" s="297">
        <f>ROUND(AZ51+AZ52,0)</f>
        <v>162684</v>
      </c>
      <c r="BA67" s="297">
        <f>ROUND(BA51+BA52,0)</f>
        <v>5554</v>
      </c>
      <c r="BB67" s="297">
        <f t="shared" si="3"/>
        <v>460</v>
      </c>
      <c r="BC67" s="297">
        <f t="shared" si="3"/>
        <v>78085</v>
      </c>
      <c r="BD67" s="297">
        <f t="shared" si="3"/>
        <v>66112</v>
      </c>
      <c r="BE67" s="297">
        <f t="shared" si="3"/>
        <v>7646652</v>
      </c>
      <c r="BF67" s="297">
        <f t="shared" si="3"/>
        <v>66238</v>
      </c>
      <c r="BG67" s="297">
        <f t="shared" si="3"/>
        <v>7719</v>
      </c>
      <c r="BH67" s="297">
        <f t="shared" si="3"/>
        <v>7676919</v>
      </c>
      <c r="BI67" s="297">
        <f t="shared" si="3"/>
        <v>11269</v>
      </c>
      <c r="BJ67" s="297">
        <f t="shared" si="3"/>
        <v>6471</v>
      </c>
      <c r="BK67" s="297">
        <f t="shared" si="3"/>
        <v>30204</v>
      </c>
      <c r="BL67" s="297">
        <f t="shared" si="3"/>
        <v>15171</v>
      </c>
      <c r="BM67" s="297">
        <f t="shared" si="3"/>
        <v>74297</v>
      </c>
      <c r="BN67" s="297">
        <f t="shared" si="3"/>
        <v>17615</v>
      </c>
      <c r="BO67" s="297">
        <f t="shared" si="3"/>
        <v>77480</v>
      </c>
      <c r="BP67" s="297">
        <f t="shared" si="3"/>
        <v>116452</v>
      </c>
      <c r="BQ67" s="297">
        <f t="shared" ref="BQ67:CC67" si="4">ROUND(BQ51+BQ52,0)</f>
        <v>0</v>
      </c>
      <c r="BR67" s="297">
        <f t="shared" si="4"/>
        <v>3912</v>
      </c>
      <c r="BS67" s="297">
        <f t="shared" si="4"/>
        <v>0</v>
      </c>
      <c r="BT67" s="297">
        <f t="shared" si="4"/>
        <v>8803</v>
      </c>
      <c r="BU67" s="297">
        <f t="shared" si="4"/>
        <v>10806</v>
      </c>
      <c r="BV67" s="297">
        <f t="shared" si="4"/>
        <v>254009</v>
      </c>
      <c r="BW67" s="297">
        <f t="shared" si="4"/>
        <v>40</v>
      </c>
      <c r="BX67" s="297">
        <f t="shared" si="4"/>
        <v>149980</v>
      </c>
      <c r="BY67" s="297">
        <f t="shared" si="4"/>
        <v>261842</v>
      </c>
      <c r="BZ67" s="297">
        <f t="shared" si="4"/>
        <v>0</v>
      </c>
      <c r="CA67" s="297">
        <f t="shared" si="4"/>
        <v>10946</v>
      </c>
      <c r="CB67" s="297">
        <f t="shared" si="4"/>
        <v>0</v>
      </c>
      <c r="CC67" s="297">
        <f t="shared" si="4"/>
        <v>168316</v>
      </c>
      <c r="CD67" s="307" t="s">
        <v>221</v>
      </c>
      <c r="CE67" s="297">
        <f t="shared" si="0"/>
        <v>42674345</v>
      </c>
      <c r="CF67" s="2"/>
    </row>
    <row r="68" spans="1:84" ht="12.65" customHeight="1" x14ac:dyDescent="0.35">
      <c r="A68" s="304" t="s">
        <v>240</v>
      </c>
      <c r="B68" s="297"/>
      <c r="C68" s="302">
        <v>13324</v>
      </c>
      <c r="D68" s="302"/>
      <c r="E68" s="302">
        <v>2187716</v>
      </c>
      <c r="F68" s="302"/>
      <c r="G68" s="302"/>
      <c r="H68" s="302"/>
      <c r="I68" s="302"/>
      <c r="J68" s="302"/>
      <c r="K68" s="185">
        <v>815129</v>
      </c>
      <c r="L68" s="185"/>
      <c r="M68" s="302"/>
      <c r="N68" s="302">
        <v>490</v>
      </c>
      <c r="O68" s="302"/>
      <c r="P68" s="185">
        <v>398173</v>
      </c>
      <c r="Q68" s="185">
        <v>205604</v>
      </c>
      <c r="R68" s="185">
        <v>21573</v>
      </c>
      <c r="S68" s="185"/>
      <c r="T68" s="185"/>
      <c r="U68" s="185">
        <v>619436</v>
      </c>
      <c r="V68" s="185"/>
      <c r="W68" s="185">
        <v>411</v>
      </c>
      <c r="X68" s="185">
        <v>675</v>
      </c>
      <c r="Y68" s="185">
        <v>11362</v>
      </c>
      <c r="Z68" s="185">
        <v>0</v>
      </c>
      <c r="AA68" s="185">
        <v>396</v>
      </c>
      <c r="AB68" s="185">
        <v>310100</v>
      </c>
      <c r="AC68" s="185">
        <v>11530</v>
      </c>
      <c r="AD68" s="185">
        <v>4891</v>
      </c>
      <c r="AE68" s="185">
        <v>6454</v>
      </c>
      <c r="AF68" s="185"/>
      <c r="AG68" s="185">
        <v>10145</v>
      </c>
      <c r="AH68" s="185"/>
      <c r="AI68" s="185"/>
      <c r="AJ68" s="185">
        <v>283170</v>
      </c>
      <c r="AK68" s="185"/>
      <c r="AL68" s="185"/>
      <c r="AM68" s="185"/>
      <c r="AN68" s="185"/>
      <c r="AO68" s="185"/>
      <c r="AP68" s="185">
        <v>10488033</v>
      </c>
      <c r="AQ68" s="185"/>
      <c r="AR68" s="185"/>
      <c r="AS68" s="185"/>
      <c r="AT68" s="185">
        <v>0</v>
      </c>
      <c r="AU68" s="185"/>
      <c r="AV68" s="185">
        <v>78945</v>
      </c>
      <c r="AW68" s="185">
        <v>331926</v>
      </c>
      <c r="AX68" s="185"/>
      <c r="AY68" s="185"/>
      <c r="AZ68" s="185"/>
      <c r="BA68" s="185"/>
      <c r="BB68" s="185"/>
      <c r="BC68" s="185"/>
      <c r="BD68" s="185">
        <v>146031</v>
      </c>
      <c r="BE68" s="185">
        <v>638363</v>
      </c>
      <c r="BF68" s="185"/>
      <c r="BG68" s="185">
        <v>466448</v>
      </c>
      <c r="BH68" s="185">
        <v>2971601</v>
      </c>
      <c r="BI68" s="185"/>
      <c r="BJ68" s="185">
        <v>117678</v>
      </c>
      <c r="BK68" s="185">
        <v>823992</v>
      </c>
      <c r="BL68" s="185"/>
      <c r="BM68" s="185">
        <v>78171</v>
      </c>
      <c r="BN68" s="185">
        <v>48725</v>
      </c>
      <c r="BO68" s="185">
        <v>162</v>
      </c>
      <c r="BP68" s="185"/>
      <c r="BQ68" s="185"/>
      <c r="BR68" s="185">
        <v>11</v>
      </c>
      <c r="BS68" s="185"/>
      <c r="BT68" s="185"/>
      <c r="BU68" s="185"/>
      <c r="BV68" s="185">
        <v>250641</v>
      </c>
      <c r="BW68" s="185"/>
      <c r="BX68" s="185">
        <v>377532</v>
      </c>
      <c r="BY68" s="185">
        <v>17430</v>
      </c>
      <c r="BZ68" s="185"/>
      <c r="CA68" s="185"/>
      <c r="CB68" s="185"/>
      <c r="CC68" s="185">
        <v>965948</v>
      </c>
      <c r="CD68" s="307" t="s">
        <v>221</v>
      </c>
      <c r="CE68" s="297">
        <f t="shared" si="0"/>
        <v>22702216</v>
      </c>
      <c r="CF68" s="2"/>
    </row>
    <row r="69" spans="1:84" ht="12.65" customHeight="1" x14ac:dyDescent="0.35">
      <c r="A69" s="304" t="s">
        <v>241</v>
      </c>
      <c r="B69" s="297"/>
      <c r="C69" s="302">
        <v>102084</v>
      </c>
      <c r="D69" s="302"/>
      <c r="E69" s="185">
        <v>583739</v>
      </c>
      <c r="F69" s="185"/>
      <c r="G69" s="302"/>
      <c r="H69" s="302"/>
      <c r="I69" s="185"/>
      <c r="J69" s="185"/>
      <c r="K69" s="185">
        <v>731367</v>
      </c>
      <c r="L69" s="185"/>
      <c r="M69" s="302"/>
      <c r="N69" s="302">
        <v>-11845</v>
      </c>
      <c r="O69" s="302"/>
      <c r="P69" s="185">
        <v>2464345</v>
      </c>
      <c r="Q69" s="185">
        <v>99533</v>
      </c>
      <c r="R69" s="224">
        <v>834651</v>
      </c>
      <c r="S69" s="185">
        <v>540646</v>
      </c>
      <c r="T69" s="302">
        <v>5792</v>
      </c>
      <c r="U69" s="185">
        <v>871072</v>
      </c>
      <c r="V69" s="185"/>
      <c r="W69" s="302">
        <v>524002</v>
      </c>
      <c r="X69" s="185">
        <v>581141</v>
      </c>
      <c r="Y69" s="185">
        <v>2813404</v>
      </c>
      <c r="Z69" s="185">
        <v>960837</v>
      </c>
      <c r="AA69" s="185">
        <v>264025</v>
      </c>
      <c r="AB69" s="185">
        <v>561491</v>
      </c>
      <c r="AC69" s="185">
        <v>107400</v>
      </c>
      <c r="AD69" s="185">
        <v>10978</v>
      </c>
      <c r="AE69" s="185">
        <v>36725</v>
      </c>
      <c r="AF69" s="185">
        <v>4737</v>
      </c>
      <c r="AG69" s="185">
        <v>96487</v>
      </c>
      <c r="AH69" s="185"/>
      <c r="AI69" s="185"/>
      <c r="AJ69" s="185">
        <v>3240970</v>
      </c>
      <c r="AK69" s="185"/>
      <c r="AL69" s="185"/>
      <c r="AM69" s="185"/>
      <c r="AN69" s="185"/>
      <c r="AO69" s="302"/>
      <c r="AP69" s="185">
        <v>4039661</v>
      </c>
      <c r="AQ69" s="302"/>
      <c r="AR69" s="302"/>
      <c r="AS69" s="302"/>
      <c r="AT69" s="302">
        <v>10777</v>
      </c>
      <c r="AU69" s="185"/>
      <c r="AV69" s="185">
        <v>1351595</v>
      </c>
      <c r="AW69" s="185">
        <v>346756</v>
      </c>
      <c r="AX69" s="185">
        <v>90697</v>
      </c>
      <c r="AY69" s="185">
        <v>35271</v>
      </c>
      <c r="AZ69" s="185">
        <v>168373</v>
      </c>
      <c r="BA69" s="185">
        <v>168</v>
      </c>
      <c r="BB69" s="185">
        <v>19426</v>
      </c>
      <c r="BC69" s="185">
        <v>1666</v>
      </c>
      <c r="BD69" s="185">
        <v>1090571</v>
      </c>
      <c r="BE69" s="185">
        <v>2386082</v>
      </c>
      <c r="BF69" s="185">
        <v>87758</v>
      </c>
      <c r="BG69" s="185">
        <v>162943</v>
      </c>
      <c r="BH69" s="224">
        <v>13613955</v>
      </c>
      <c r="BI69" s="185">
        <v>740993</v>
      </c>
      <c r="BJ69" s="185">
        <v>44914</v>
      </c>
      <c r="BK69" s="185">
        <v>1336400</v>
      </c>
      <c r="BL69" s="185">
        <v>13244</v>
      </c>
      <c r="BM69" s="185">
        <v>182874</v>
      </c>
      <c r="BN69" s="185">
        <v>2325111</v>
      </c>
      <c r="BO69" s="185">
        <v>-60038</v>
      </c>
      <c r="BP69" s="185">
        <v>352500</v>
      </c>
      <c r="BQ69" s="185"/>
      <c r="BR69" s="185">
        <v>99086</v>
      </c>
      <c r="BS69" s="185"/>
      <c r="BT69" s="185">
        <v>280</v>
      </c>
      <c r="BU69" s="185">
        <v>703013</v>
      </c>
      <c r="BV69" s="185">
        <v>818143</v>
      </c>
      <c r="BW69" s="185">
        <v>1490586</v>
      </c>
      <c r="BX69" s="185">
        <v>2146398</v>
      </c>
      <c r="BY69" s="185">
        <v>317936</v>
      </c>
      <c r="BZ69" s="185"/>
      <c r="CA69" s="185">
        <v>64087</v>
      </c>
      <c r="CB69" s="185"/>
      <c r="CC69" s="185">
        <v>860835</v>
      </c>
      <c r="CD69" s="310">
        <f>43303980-2050857</f>
        <v>41253123</v>
      </c>
      <c r="CE69" s="297">
        <f t="shared" si="0"/>
        <v>91518765</v>
      </c>
      <c r="CF69" s="2"/>
    </row>
    <row r="70" spans="1:84" ht="12.65" customHeight="1" x14ac:dyDescent="0.35">
      <c r="A70" s="304" t="s">
        <v>242</v>
      </c>
      <c r="B70" s="297"/>
      <c r="C70" s="302">
        <v>500</v>
      </c>
      <c r="D70" s="302"/>
      <c r="E70" s="302">
        <v>13049</v>
      </c>
      <c r="F70" s="185"/>
      <c r="G70" s="302"/>
      <c r="H70" s="302"/>
      <c r="I70" s="302"/>
      <c r="J70" s="185"/>
      <c r="K70" s="185">
        <v>7259469</v>
      </c>
      <c r="L70" s="185"/>
      <c r="M70" s="302"/>
      <c r="N70" s="302"/>
      <c r="O70" s="302"/>
      <c r="P70" s="302">
        <v>233297</v>
      </c>
      <c r="Q70" s="302"/>
      <c r="R70" s="302">
        <v>30298</v>
      </c>
      <c r="S70" s="302">
        <v>14192</v>
      </c>
      <c r="T70" s="302"/>
      <c r="U70" s="185">
        <v>364509</v>
      </c>
      <c r="V70" s="302"/>
      <c r="W70" s="302"/>
      <c r="X70" s="185"/>
      <c r="Y70" s="185">
        <v>16515</v>
      </c>
      <c r="Z70" s="185">
        <v>2210153</v>
      </c>
      <c r="AA70" s="185"/>
      <c r="AB70" s="185">
        <v>193547</v>
      </c>
      <c r="AC70" s="185"/>
      <c r="AD70" s="185"/>
      <c r="AE70" s="185">
        <v>150</v>
      </c>
      <c r="AF70" s="185"/>
      <c r="AG70" s="185"/>
      <c r="AH70" s="185"/>
      <c r="AI70" s="185"/>
      <c r="AJ70" s="185">
        <v>3997826</v>
      </c>
      <c r="AK70" s="185"/>
      <c r="AL70" s="185"/>
      <c r="AM70" s="185"/>
      <c r="AN70" s="185"/>
      <c r="AO70" s="185"/>
      <c r="AP70" s="185">
        <v>2031394</v>
      </c>
      <c r="AQ70" s="185"/>
      <c r="AR70" s="185"/>
      <c r="AS70" s="185"/>
      <c r="AT70" s="185">
        <v>163</v>
      </c>
      <c r="AU70" s="185"/>
      <c r="AV70" s="185">
        <v>343361</v>
      </c>
      <c r="AW70" s="185">
        <v>132092</v>
      </c>
      <c r="AX70" s="185"/>
      <c r="AY70" s="185"/>
      <c r="AZ70" s="185">
        <v>2926356</v>
      </c>
      <c r="BA70" s="185"/>
      <c r="BB70" s="185"/>
      <c r="BC70" s="185"/>
      <c r="BD70" s="185">
        <v>10597329</v>
      </c>
      <c r="BE70" s="185">
        <v>273392</v>
      </c>
      <c r="BF70" s="185"/>
      <c r="BG70" s="185"/>
      <c r="BH70" s="185">
        <v>9500</v>
      </c>
      <c r="BI70" s="185"/>
      <c r="BJ70" s="185">
        <v>103243</v>
      </c>
      <c r="BK70" s="185"/>
      <c r="BL70" s="185"/>
      <c r="BM70" s="185">
        <v>287109</v>
      </c>
      <c r="BN70" s="185">
        <v>17432851</v>
      </c>
      <c r="BO70" s="185">
        <v>5731</v>
      </c>
      <c r="BP70" s="185"/>
      <c r="BQ70" s="185"/>
      <c r="BR70" s="185">
        <v>83181</v>
      </c>
      <c r="BS70" s="185"/>
      <c r="BT70" s="185"/>
      <c r="BU70" s="185">
        <v>528800</v>
      </c>
      <c r="BV70" s="185">
        <v>211907</v>
      </c>
      <c r="BW70" s="185">
        <v>3500</v>
      </c>
      <c r="BX70" s="185">
        <v>3600698</v>
      </c>
      <c r="BY70" s="185">
        <v>88363</v>
      </c>
      <c r="BZ70" s="185"/>
      <c r="CA70" s="185">
        <v>85607</v>
      </c>
      <c r="CB70" s="185"/>
      <c r="CC70" s="185">
        <v>5536458</v>
      </c>
      <c r="CD70" s="310">
        <v>52628526</v>
      </c>
      <c r="CE70" s="297">
        <f t="shared" si="0"/>
        <v>111243066</v>
      </c>
      <c r="CF70" s="2"/>
    </row>
    <row r="71" spans="1:84" ht="12.65" customHeight="1" x14ac:dyDescent="0.35">
      <c r="A71" s="304" t="s">
        <v>243</v>
      </c>
      <c r="B71" s="297"/>
      <c r="C71" s="297">
        <f>SUM(C61:C68)+C69-C70</f>
        <v>14851053</v>
      </c>
      <c r="D71" s="297">
        <f t="shared" ref="D71:AI71" si="5">SUM(D61:D69)-D70</f>
        <v>0</v>
      </c>
      <c r="E71" s="297">
        <f t="shared" si="5"/>
        <v>59248958</v>
      </c>
      <c r="F71" s="297">
        <f t="shared" si="5"/>
        <v>0</v>
      </c>
      <c r="G71" s="297">
        <f t="shared" si="5"/>
        <v>0</v>
      </c>
      <c r="H71" s="297">
        <f t="shared" si="5"/>
        <v>0</v>
      </c>
      <c r="I71" s="297">
        <f t="shared" si="5"/>
        <v>0</v>
      </c>
      <c r="J71" s="297">
        <f t="shared" si="5"/>
        <v>0</v>
      </c>
      <c r="K71" s="297">
        <f t="shared" si="5"/>
        <v>8868502</v>
      </c>
      <c r="L71" s="297">
        <f t="shared" si="5"/>
        <v>0</v>
      </c>
      <c r="M71" s="297">
        <f t="shared" si="5"/>
        <v>0</v>
      </c>
      <c r="N71" s="297">
        <f t="shared" si="5"/>
        <v>-192</v>
      </c>
      <c r="O71" s="297">
        <f t="shared" si="5"/>
        <v>0</v>
      </c>
      <c r="P71" s="297">
        <f t="shared" si="5"/>
        <v>71663614</v>
      </c>
      <c r="Q71" s="297">
        <f t="shared" si="5"/>
        <v>11151129</v>
      </c>
      <c r="R71" s="297">
        <f t="shared" si="5"/>
        <v>27779348</v>
      </c>
      <c r="S71" s="297">
        <f t="shared" si="5"/>
        <v>10970247</v>
      </c>
      <c r="T71" s="297">
        <f t="shared" si="5"/>
        <v>3190601</v>
      </c>
      <c r="U71" s="297">
        <f t="shared" si="5"/>
        <v>41510723</v>
      </c>
      <c r="V71" s="297">
        <f t="shared" si="5"/>
        <v>0</v>
      </c>
      <c r="W71" s="297">
        <f t="shared" si="5"/>
        <v>4461577</v>
      </c>
      <c r="X71" s="297">
        <f t="shared" si="5"/>
        <v>6437701</v>
      </c>
      <c r="Y71" s="297">
        <f t="shared" si="5"/>
        <v>27065060</v>
      </c>
      <c r="Z71" s="297">
        <f t="shared" si="5"/>
        <v>8605331</v>
      </c>
      <c r="AA71" s="297">
        <f t="shared" si="5"/>
        <v>10636324</v>
      </c>
      <c r="AB71" s="297">
        <f t="shared" si="5"/>
        <v>49165130</v>
      </c>
      <c r="AC71" s="297">
        <f t="shared" si="5"/>
        <v>2785605</v>
      </c>
      <c r="AD71" s="297">
        <f t="shared" si="5"/>
        <v>2620402</v>
      </c>
      <c r="AE71" s="297">
        <f t="shared" si="5"/>
        <v>9598313</v>
      </c>
      <c r="AF71" s="297">
        <f t="shared" si="5"/>
        <v>711072</v>
      </c>
      <c r="AG71" s="297">
        <f t="shared" si="5"/>
        <v>14030688</v>
      </c>
      <c r="AH71" s="297">
        <f t="shared" si="5"/>
        <v>0</v>
      </c>
      <c r="AI71" s="297">
        <f t="shared" si="5"/>
        <v>0</v>
      </c>
      <c r="AJ71" s="297">
        <f t="shared" ref="AJ71:BO71" si="6">SUM(AJ61:AJ69)-AJ70</f>
        <v>275190195</v>
      </c>
      <c r="AK71" s="297">
        <f t="shared" si="6"/>
        <v>0</v>
      </c>
      <c r="AL71" s="297">
        <f t="shared" si="6"/>
        <v>0</v>
      </c>
      <c r="AM71" s="297">
        <f t="shared" si="6"/>
        <v>0</v>
      </c>
      <c r="AN71" s="297">
        <f t="shared" si="6"/>
        <v>0</v>
      </c>
      <c r="AO71" s="297">
        <f t="shared" si="6"/>
        <v>0</v>
      </c>
      <c r="AP71" s="297">
        <f t="shared" si="6"/>
        <v>183286329</v>
      </c>
      <c r="AQ71" s="297">
        <f t="shared" si="6"/>
        <v>0</v>
      </c>
      <c r="AR71" s="297">
        <f t="shared" si="6"/>
        <v>0</v>
      </c>
      <c r="AS71" s="297">
        <f t="shared" si="6"/>
        <v>0</v>
      </c>
      <c r="AT71" s="297">
        <f t="shared" si="6"/>
        <v>6356284</v>
      </c>
      <c r="AU71" s="297">
        <f t="shared" si="6"/>
        <v>0</v>
      </c>
      <c r="AV71" s="297">
        <f t="shared" si="6"/>
        <v>25665469</v>
      </c>
      <c r="AW71" s="297">
        <f t="shared" si="6"/>
        <v>17961648</v>
      </c>
      <c r="AX71" s="297">
        <f t="shared" si="6"/>
        <v>1333481</v>
      </c>
      <c r="AY71" s="297">
        <f t="shared" si="6"/>
        <v>4915905</v>
      </c>
      <c r="AZ71" s="297">
        <f t="shared" si="6"/>
        <v>1117956</v>
      </c>
      <c r="BA71" s="297">
        <f t="shared" si="6"/>
        <v>1986717</v>
      </c>
      <c r="BB71" s="297">
        <f t="shared" si="6"/>
        <v>987281</v>
      </c>
      <c r="BC71" s="297">
        <f t="shared" si="6"/>
        <v>3544181</v>
      </c>
      <c r="BD71" s="297">
        <f t="shared" si="6"/>
        <v>-639210</v>
      </c>
      <c r="BE71" s="297">
        <f t="shared" si="6"/>
        <v>24827529</v>
      </c>
      <c r="BF71" s="297">
        <f t="shared" si="6"/>
        <v>9925339</v>
      </c>
      <c r="BG71" s="297">
        <f t="shared" si="6"/>
        <v>6251198</v>
      </c>
      <c r="BH71" s="297">
        <f t="shared" si="6"/>
        <v>43748362</v>
      </c>
      <c r="BI71" s="297">
        <f t="shared" si="6"/>
        <v>2678459</v>
      </c>
      <c r="BJ71" s="297">
        <f t="shared" si="6"/>
        <v>3065999</v>
      </c>
      <c r="BK71" s="297">
        <f t="shared" si="6"/>
        <v>22224420</v>
      </c>
      <c r="BL71" s="297">
        <f t="shared" si="6"/>
        <v>6459011</v>
      </c>
      <c r="BM71" s="297">
        <f t="shared" si="6"/>
        <v>3546020</v>
      </c>
      <c r="BN71" s="297">
        <f t="shared" si="6"/>
        <v>-1976466</v>
      </c>
      <c r="BO71" s="297">
        <f t="shared" si="6"/>
        <v>1843288</v>
      </c>
      <c r="BP71" s="297">
        <f t="shared" ref="BP71:CC71" si="7">SUM(BP61:BP69)-BP70</f>
        <v>2753385</v>
      </c>
      <c r="BQ71" s="297">
        <f t="shared" si="7"/>
        <v>0</v>
      </c>
      <c r="BR71" s="297">
        <f t="shared" si="7"/>
        <v>1532747</v>
      </c>
      <c r="BS71" s="297">
        <f t="shared" si="7"/>
        <v>0</v>
      </c>
      <c r="BT71" s="297">
        <f t="shared" si="7"/>
        <v>175158</v>
      </c>
      <c r="BU71" s="297">
        <f t="shared" si="7"/>
        <v>932592</v>
      </c>
      <c r="BV71" s="297">
        <f t="shared" si="7"/>
        <v>5009430</v>
      </c>
      <c r="BW71" s="297">
        <f t="shared" si="7"/>
        <v>-8817886</v>
      </c>
      <c r="BX71" s="297">
        <f t="shared" si="7"/>
        <v>10207754</v>
      </c>
      <c r="BY71" s="297">
        <f t="shared" si="7"/>
        <v>7192159</v>
      </c>
      <c r="BZ71" s="297">
        <f t="shared" si="7"/>
        <v>0</v>
      </c>
      <c r="CA71" s="297">
        <f t="shared" si="7"/>
        <v>4706770</v>
      </c>
      <c r="CB71" s="297">
        <f t="shared" si="7"/>
        <v>0</v>
      </c>
      <c r="CC71" s="297">
        <f t="shared" si="7"/>
        <v>11567769</v>
      </c>
      <c r="CD71" s="303">
        <f>CD69-CD70</f>
        <v>-11375403</v>
      </c>
      <c r="CE71" s="297">
        <f>SUM(CE61:CE69)-CE70</f>
        <v>1053535056</v>
      </c>
      <c r="CF71" s="2"/>
    </row>
    <row r="72" spans="1:84" ht="12.65" customHeight="1" x14ac:dyDescent="0.35">
      <c r="A72" s="304" t="s">
        <v>244</v>
      </c>
      <c r="B72" s="297"/>
      <c r="C72" s="307" t="s">
        <v>221</v>
      </c>
      <c r="D72" s="307" t="s">
        <v>221</v>
      </c>
      <c r="E72" s="307" t="s">
        <v>221</v>
      </c>
      <c r="F72" s="307" t="s">
        <v>221</v>
      </c>
      <c r="G72" s="307" t="s">
        <v>221</v>
      </c>
      <c r="H72" s="307" t="s">
        <v>221</v>
      </c>
      <c r="I72" s="307" t="s">
        <v>221</v>
      </c>
      <c r="J72" s="307" t="s">
        <v>221</v>
      </c>
      <c r="K72" s="254" t="s">
        <v>221</v>
      </c>
      <c r="L72" s="307" t="s">
        <v>221</v>
      </c>
      <c r="M72" s="307" t="s">
        <v>221</v>
      </c>
      <c r="N72" s="307" t="s">
        <v>221</v>
      </c>
      <c r="O72" s="307" t="s">
        <v>221</v>
      </c>
      <c r="P72" s="307" t="s">
        <v>221</v>
      </c>
      <c r="Q72" s="307" t="s">
        <v>221</v>
      </c>
      <c r="R72" s="307" t="s">
        <v>221</v>
      </c>
      <c r="S72" s="307" t="s">
        <v>221</v>
      </c>
      <c r="T72" s="307" t="s">
        <v>221</v>
      </c>
      <c r="U72" s="307" t="s">
        <v>221</v>
      </c>
      <c r="V72" s="307" t="s">
        <v>221</v>
      </c>
      <c r="W72" s="307" t="s">
        <v>221</v>
      </c>
      <c r="X72" s="307" t="s">
        <v>221</v>
      </c>
      <c r="Y72" s="307" t="s">
        <v>221</v>
      </c>
      <c r="Z72" s="307" t="s">
        <v>221</v>
      </c>
      <c r="AA72" s="307" t="s">
        <v>221</v>
      </c>
      <c r="AB72" s="307" t="s">
        <v>221</v>
      </c>
      <c r="AC72" s="307" t="s">
        <v>221</v>
      </c>
      <c r="AD72" s="307" t="s">
        <v>221</v>
      </c>
      <c r="AE72" s="307" t="s">
        <v>221</v>
      </c>
      <c r="AF72" s="307" t="s">
        <v>221</v>
      </c>
      <c r="AG72" s="307" t="s">
        <v>221</v>
      </c>
      <c r="AH72" s="307" t="s">
        <v>221</v>
      </c>
      <c r="AI72" s="307" t="s">
        <v>221</v>
      </c>
      <c r="AJ72" s="307" t="s">
        <v>221</v>
      </c>
      <c r="AK72" s="307" t="s">
        <v>221</v>
      </c>
      <c r="AL72" s="307" t="s">
        <v>221</v>
      </c>
      <c r="AM72" s="307" t="s">
        <v>221</v>
      </c>
      <c r="AN72" s="307" t="s">
        <v>221</v>
      </c>
      <c r="AO72" s="307" t="s">
        <v>221</v>
      </c>
      <c r="AP72" s="307" t="s">
        <v>221</v>
      </c>
      <c r="AQ72" s="307" t="s">
        <v>221</v>
      </c>
      <c r="AR72" s="307" t="s">
        <v>221</v>
      </c>
      <c r="AS72" s="307" t="s">
        <v>221</v>
      </c>
      <c r="AT72" s="307" t="s">
        <v>221</v>
      </c>
      <c r="AU72" s="307" t="s">
        <v>221</v>
      </c>
      <c r="AV72" s="307" t="s">
        <v>221</v>
      </c>
      <c r="AW72" s="307" t="s">
        <v>221</v>
      </c>
      <c r="AX72" s="307" t="s">
        <v>221</v>
      </c>
      <c r="AY72" s="307" t="s">
        <v>221</v>
      </c>
      <c r="AZ72" s="307" t="s">
        <v>221</v>
      </c>
      <c r="BA72" s="307" t="s">
        <v>221</v>
      </c>
      <c r="BB72" s="307" t="s">
        <v>221</v>
      </c>
      <c r="BC72" s="307" t="s">
        <v>221</v>
      </c>
      <c r="BD72" s="307" t="s">
        <v>221</v>
      </c>
      <c r="BE72" s="307" t="s">
        <v>221</v>
      </c>
      <c r="BF72" s="307" t="s">
        <v>221</v>
      </c>
      <c r="BG72" s="307" t="s">
        <v>221</v>
      </c>
      <c r="BH72" s="307" t="s">
        <v>221</v>
      </c>
      <c r="BI72" s="307" t="s">
        <v>221</v>
      </c>
      <c r="BJ72" s="307" t="s">
        <v>221</v>
      </c>
      <c r="BK72" s="307" t="s">
        <v>221</v>
      </c>
      <c r="BL72" s="307" t="s">
        <v>221</v>
      </c>
      <c r="BM72" s="307" t="s">
        <v>221</v>
      </c>
      <c r="BN72" s="307" t="s">
        <v>221</v>
      </c>
      <c r="BO72" s="307" t="s">
        <v>221</v>
      </c>
      <c r="BP72" s="307" t="s">
        <v>221</v>
      </c>
      <c r="BQ72" s="307" t="s">
        <v>221</v>
      </c>
      <c r="BR72" s="307" t="s">
        <v>221</v>
      </c>
      <c r="BS72" s="307" t="s">
        <v>221</v>
      </c>
      <c r="BT72" s="307" t="s">
        <v>221</v>
      </c>
      <c r="BU72" s="307" t="s">
        <v>221</v>
      </c>
      <c r="BV72" s="307" t="s">
        <v>221</v>
      </c>
      <c r="BW72" s="307" t="s">
        <v>221</v>
      </c>
      <c r="BX72" s="307" t="s">
        <v>221</v>
      </c>
      <c r="BY72" s="307" t="s">
        <v>221</v>
      </c>
      <c r="BZ72" s="307" t="s">
        <v>221</v>
      </c>
      <c r="CA72" s="307" t="s">
        <v>221</v>
      </c>
      <c r="CB72" s="307" t="s">
        <v>221</v>
      </c>
      <c r="CC72" s="307" t="s">
        <v>221</v>
      </c>
      <c r="CD72" s="307" t="s">
        <v>221</v>
      </c>
      <c r="CE72" s="310"/>
      <c r="CF72" s="2"/>
    </row>
    <row r="73" spans="1:84" ht="12.65" customHeight="1" x14ac:dyDescent="0.35">
      <c r="A73" s="304" t="s">
        <v>245</v>
      </c>
      <c r="B73" s="297"/>
      <c r="C73" s="302">
        <v>44736174</v>
      </c>
      <c r="D73" s="302"/>
      <c r="E73" s="302">
        <v>186147224</v>
      </c>
      <c r="F73" s="185"/>
      <c r="G73" s="302"/>
      <c r="H73" s="302"/>
      <c r="I73" s="185"/>
      <c r="J73" s="185"/>
      <c r="K73" s="185">
        <v>10741968</v>
      </c>
      <c r="L73" s="185"/>
      <c r="M73" s="302"/>
      <c r="N73" s="302"/>
      <c r="O73" s="302"/>
      <c r="P73" s="185">
        <v>251676205</v>
      </c>
      <c r="Q73" s="185">
        <v>6386974</v>
      </c>
      <c r="R73" s="185">
        <v>9618650</v>
      </c>
      <c r="S73" s="185"/>
      <c r="T73" s="185">
        <v>3043653</v>
      </c>
      <c r="U73" s="185">
        <v>38566478</v>
      </c>
      <c r="V73" s="185"/>
      <c r="W73" s="185">
        <v>3794987</v>
      </c>
      <c r="X73" s="185">
        <v>14421114</v>
      </c>
      <c r="Y73" s="185">
        <v>37013972</v>
      </c>
      <c r="Z73" s="185">
        <v>859358</v>
      </c>
      <c r="AA73" s="185">
        <v>1063631</v>
      </c>
      <c r="AB73" s="185">
        <v>32410370</v>
      </c>
      <c r="AC73" s="185">
        <v>16963281</v>
      </c>
      <c r="AD73" s="185">
        <v>6156525</v>
      </c>
      <c r="AE73" s="185">
        <v>11916030</v>
      </c>
      <c r="AF73" s="185"/>
      <c r="AG73" s="185">
        <v>11804876</v>
      </c>
      <c r="AH73" s="185"/>
      <c r="AI73" s="185"/>
      <c r="AJ73" s="185">
        <v>29766937</v>
      </c>
      <c r="AK73" s="185"/>
      <c r="AL73" s="185"/>
      <c r="AM73" s="185"/>
      <c r="AN73" s="185"/>
      <c r="AO73" s="185"/>
      <c r="AP73" s="185">
        <v>38632</v>
      </c>
      <c r="AQ73" s="185"/>
      <c r="AR73" s="185"/>
      <c r="AS73" s="185"/>
      <c r="AT73" s="185">
        <v>8767000</v>
      </c>
      <c r="AU73" s="185"/>
      <c r="AV73" s="185">
        <f>37164214+1273319-64-2</f>
        <v>38437467</v>
      </c>
      <c r="AW73" s="307" t="s">
        <v>221</v>
      </c>
      <c r="AX73" s="307" t="s">
        <v>221</v>
      </c>
      <c r="AY73" s="307" t="s">
        <v>221</v>
      </c>
      <c r="AZ73" s="307" t="s">
        <v>221</v>
      </c>
      <c r="BA73" s="307" t="s">
        <v>221</v>
      </c>
      <c r="BB73" s="307" t="s">
        <v>221</v>
      </c>
      <c r="BC73" s="307" t="s">
        <v>221</v>
      </c>
      <c r="BD73" s="307" t="s">
        <v>221</v>
      </c>
      <c r="BE73" s="307" t="s">
        <v>221</v>
      </c>
      <c r="BF73" s="307" t="s">
        <v>221</v>
      </c>
      <c r="BG73" s="307" t="s">
        <v>221</v>
      </c>
      <c r="BH73" s="307" t="s">
        <v>221</v>
      </c>
      <c r="BI73" s="307" t="s">
        <v>221</v>
      </c>
      <c r="BJ73" s="307" t="s">
        <v>221</v>
      </c>
      <c r="BK73" s="307" t="s">
        <v>221</v>
      </c>
      <c r="BL73" s="307" t="s">
        <v>221</v>
      </c>
      <c r="BM73" s="307" t="s">
        <v>221</v>
      </c>
      <c r="BN73" s="307" t="s">
        <v>221</v>
      </c>
      <c r="BO73" s="307" t="s">
        <v>221</v>
      </c>
      <c r="BP73" s="307" t="s">
        <v>221</v>
      </c>
      <c r="BQ73" s="307" t="s">
        <v>221</v>
      </c>
      <c r="BR73" s="307" t="s">
        <v>221</v>
      </c>
      <c r="BS73" s="307" t="s">
        <v>221</v>
      </c>
      <c r="BT73" s="307" t="s">
        <v>221</v>
      </c>
      <c r="BU73" s="307" t="s">
        <v>221</v>
      </c>
      <c r="BV73" s="307" t="s">
        <v>221</v>
      </c>
      <c r="BW73" s="307" t="s">
        <v>221</v>
      </c>
      <c r="BX73" s="307" t="s">
        <v>221</v>
      </c>
      <c r="BY73" s="307" t="s">
        <v>221</v>
      </c>
      <c r="BZ73" s="307" t="s">
        <v>221</v>
      </c>
      <c r="CA73" s="307" t="s">
        <v>221</v>
      </c>
      <c r="CB73" s="307" t="s">
        <v>221</v>
      </c>
      <c r="CC73" s="307" t="s">
        <v>221</v>
      </c>
      <c r="CD73" s="307" t="s">
        <v>221</v>
      </c>
      <c r="CE73" s="297">
        <f t="shared" ref="CE73:CE80" si="8">SUM(C73:CD73)</f>
        <v>764331506</v>
      </c>
      <c r="CF73" s="2"/>
    </row>
    <row r="74" spans="1:84" ht="12.65" customHeight="1" x14ac:dyDescent="0.35">
      <c r="A74" s="304" t="s">
        <v>246</v>
      </c>
      <c r="B74" s="297"/>
      <c r="C74" s="302">
        <v>149551</v>
      </c>
      <c r="D74" s="302"/>
      <c r="E74" s="302">
        <v>15446957</v>
      </c>
      <c r="F74" s="185"/>
      <c r="G74" s="302"/>
      <c r="H74" s="302"/>
      <c r="I74" s="302"/>
      <c r="J74" s="185"/>
      <c r="K74" s="185">
        <v>277</v>
      </c>
      <c r="L74" s="185"/>
      <c r="M74" s="302"/>
      <c r="N74" s="302"/>
      <c r="O74" s="302"/>
      <c r="P74" s="185">
        <v>183113732</v>
      </c>
      <c r="Q74" s="185">
        <v>13138550</v>
      </c>
      <c r="R74" s="185">
        <v>63223692</v>
      </c>
      <c r="S74" s="185"/>
      <c r="T74" s="185">
        <v>589525</v>
      </c>
      <c r="U74" s="185">
        <v>119551928</v>
      </c>
      <c r="V74" s="185"/>
      <c r="W74" s="185">
        <v>24353747</v>
      </c>
      <c r="X74" s="185">
        <v>44391319</v>
      </c>
      <c r="Y74" s="185">
        <v>70370058</v>
      </c>
      <c r="Z74" s="185">
        <v>27191226</v>
      </c>
      <c r="AA74" s="185">
        <v>33609050</v>
      </c>
      <c r="AB74" s="185">
        <v>29976034</v>
      </c>
      <c r="AC74" s="185">
        <v>460295</v>
      </c>
      <c r="AD74" s="185">
        <v>450364</v>
      </c>
      <c r="AE74" s="185">
        <v>12681611</v>
      </c>
      <c r="AF74" s="185">
        <v>532155</v>
      </c>
      <c r="AG74" s="185">
        <v>41800455</v>
      </c>
      <c r="AH74" s="185"/>
      <c r="AI74" s="185"/>
      <c r="AJ74" s="185">
        <v>590719718</v>
      </c>
      <c r="AK74" s="185"/>
      <c r="AL74" s="185"/>
      <c r="AM74" s="185"/>
      <c r="AN74" s="185"/>
      <c r="AO74" s="185"/>
      <c r="AP74" s="185">
        <v>413614732</v>
      </c>
      <c r="AQ74" s="185"/>
      <c r="AR74" s="185"/>
      <c r="AS74" s="185"/>
      <c r="AT74" s="185"/>
      <c r="AU74" s="185"/>
      <c r="AV74" s="185">
        <f>82874508+337847+217+1253708+52141+187-2+1</f>
        <v>84518607</v>
      </c>
      <c r="AW74" s="307" t="s">
        <v>221</v>
      </c>
      <c r="AX74" s="307" t="s">
        <v>221</v>
      </c>
      <c r="AY74" s="307" t="s">
        <v>221</v>
      </c>
      <c r="AZ74" s="307" t="s">
        <v>221</v>
      </c>
      <c r="BA74" s="307" t="s">
        <v>221</v>
      </c>
      <c r="BB74" s="307" t="s">
        <v>221</v>
      </c>
      <c r="BC74" s="307" t="s">
        <v>221</v>
      </c>
      <c r="BD74" s="307" t="s">
        <v>221</v>
      </c>
      <c r="BE74" s="307" t="s">
        <v>221</v>
      </c>
      <c r="BF74" s="307" t="s">
        <v>221</v>
      </c>
      <c r="BG74" s="307" t="s">
        <v>221</v>
      </c>
      <c r="BH74" s="307" t="s">
        <v>221</v>
      </c>
      <c r="BI74" s="307" t="s">
        <v>221</v>
      </c>
      <c r="BJ74" s="307" t="s">
        <v>221</v>
      </c>
      <c r="BK74" s="307" t="s">
        <v>221</v>
      </c>
      <c r="BL74" s="307" t="s">
        <v>221</v>
      </c>
      <c r="BM74" s="307" t="s">
        <v>221</v>
      </c>
      <c r="BN74" s="307" t="s">
        <v>221</v>
      </c>
      <c r="BO74" s="307" t="s">
        <v>221</v>
      </c>
      <c r="BP74" s="307" t="s">
        <v>221</v>
      </c>
      <c r="BQ74" s="307" t="s">
        <v>221</v>
      </c>
      <c r="BR74" s="307" t="s">
        <v>221</v>
      </c>
      <c r="BS74" s="307" t="s">
        <v>221</v>
      </c>
      <c r="BT74" s="307" t="s">
        <v>221</v>
      </c>
      <c r="BU74" s="307" t="s">
        <v>221</v>
      </c>
      <c r="BV74" s="307" t="s">
        <v>221</v>
      </c>
      <c r="BW74" s="307" t="s">
        <v>221</v>
      </c>
      <c r="BX74" s="307" t="s">
        <v>221</v>
      </c>
      <c r="BY74" s="307" t="s">
        <v>221</v>
      </c>
      <c r="BZ74" s="307" t="s">
        <v>221</v>
      </c>
      <c r="CA74" s="307" t="s">
        <v>221</v>
      </c>
      <c r="CB74" s="307" t="s">
        <v>221</v>
      </c>
      <c r="CC74" s="307" t="s">
        <v>221</v>
      </c>
      <c r="CD74" s="307" t="s">
        <v>221</v>
      </c>
      <c r="CE74" s="297">
        <f t="shared" si="8"/>
        <v>1769883583</v>
      </c>
      <c r="CF74" s="2"/>
    </row>
    <row r="75" spans="1:84" ht="12.65" customHeight="1" x14ac:dyDescent="0.35">
      <c r="A75" s="304" t="s">
        <v>247</v>
      </c>
      <c r="B75" s="297"/>
      <c r="C75" s="297">
        <f t="shared" ref="C75:AV75" si="9">SUM(C73:C74)</f>
        <v>44885725</v>
      </c>
      <c r="D75" s="297">
        <f t="shared" si="9"/>
        <v>0</v>
      </c>
      <c r="E75" s="297">
        <f t="shared" si="9"/>
        <v>201594181</v>
      </c>
      <c r="F75" s="297">
        <f t="shared" si="9"/>
        <v>0</v>
      </c>
      <c r="G75" s="297">
        <f t="shared" si="9"/>
        <v>0</v>
      </c>
      <c r="H75" s="297">
        <f t="shared" si="9"/>
        <v>0</v>
      </c>
      <c r="I75" s="297">
        <f t="shared" si="9"/>
        <v>0</v>
      </c>
      <c r="J75" s="297">
        <f t="shared" si="9"/>
        <v>0</v>
      </c>
      <c r="K75" s="297">
        <f t="shared" si="9"/>
        <v>10742245</v>
      </c>
      <c r="L75" s="297">
        <f t="shared" si="9"/>
        <v>0</v>
      </c>
      <c r="M75" s="297">
        <f t="shared" si="9"/>
        <v>0</v>
      </c>
      <c r="N75" s="297">
        <f t="shared" si="9"/>
        <v>0</v>
      </c>
      <c r="O75" s="297">
        <f t="shared" si="9"/>
        <v>0</v>
      </c>
      <c r="P75" s="297">
        <f t="shared" si="9"/>
        <v>434789937</v>
      </c>
      <c r="Q75" s="297">
        <f t="shared" si="9"/>
        <v>19525524</v>
      </c>
      <c r="R75" s="297">
        <f t="shared" si="9"/>
        <v>72842342</v>
      </c>
      <c r="S75" s="297">
        <f t="shared" si="9"/>
        <v>0</v>
      </c>
      <c r="T75" s="297">
        <f t="shared" si="9"/>
        <v>3633178</v>
      </c>
      <c r="U75" s="297">
        <f t="shared" si="9"/>
        <v>158118406</v>
      </c>
      <c r="V75" s="297">
        <f t="shared" si="9"/>
        <v>0</v>
      </c>
      <c r="W75" s="297">
        <f t="shared" si="9"/>
        <v>28148734</v>
      </c>
      <c r="X75" s="297">
        <f t="shared" si="9"/>
        <v>58812433</v>
      </c>
      <c r="Y75" s="297">
        <f t="shared" si="9"/>
        <v>107384030</v>
      </c>
      <c r="Z75" s="297">
        <f t="shared" si="9"/>
        <v>28050584</v>
      </c>
      <c r="AA75" s="297">
        <f t="shared" si="9"/>
        <v>34672681</v>
      </c>
      <c r="AB75" s="297">
        <f t="shared" si="9"/>
        <v>62386404</v>
      </c>
      <c r="AC75" s="297">
        <f t="shared" si="9"/>
        <v>17423576</v>
      </c>
      <c r="AD75" s="297">
        <f t="shared" si="9"/>
        <v>6606889</v>
      </c>
      <c r="AE75" s="297">
        <f t="shared" si="9"/>
        <v>24597641</v>
      </c>
      <c r="AF75" s="297">
        <f t="shared" si="9"/>
        <v>532155</v>
      </c>
      <c r="AG75" s="297">
        <f t="shared" si="9"/>
        <v>53605331</v>
      </c>
      <c r="AH75" s="297">
        <f t="shared" si="9"/>
        <v>0</v>
      </c>
      <c r="AI75" s="297">
        <f t="shared" si="9"/>
        <v>0</v>
      </c>
      <c r="AJ75" s="297">
        <f t="shared" si="9"/>
        <v>620486655</v>
      </c>
      <c r="AK75" s="297">
        <f t="shared" si="9"/>
        <v>0</v>
      </c>
      <c r="AL75" s="297">
        <f t="shared" si="9"/>
        <v>0</v>
      </c>
      <c r="AM75" s="297">
        <f t="shared" si="9"/>
        <v>0</v>
      </c>
      <c r="AN75" s="297">
        <f t="shared" si="9"/>
        <v>0</v>
      </c>
      <c r="AO75" s="297">
        <f t="shared" si="9"/>
        <v>0</v>
      </c>
      <c r="AP75" s="297">
        <f t="shared" si="9"/>
        <v>413653364</v>
      </c>
      <c r="AQ75" s="297">
        <f t="shared" si="9"/>
        <v>0</v>
      </c>
      <c r="AR75" s="297">
        <f t="shared" si="9"/>
        <v>0</v>
      </c>
      <c r="AS75" s="297">
        <f t="shared" si="9"/>
        <v>0</v>
      </c>
      <c r="AT75" s="297">
        <f t="shared" si="9"/>
        <v>8767000</v>
      </c>
      <c r="AU75" s="297">
        <f t="shared" si="9"/>
        <v>0</v>
      </c>
      <c r="AV75" s="297">
        <f t="shared" si="9"/>
        <v>122956074</v>
      </c>
      <c r="AW75" s="307" t="s">
        <v>221</v>
      </c>
      <c r="AX75" s="307" t="s">
        <v>221</v>
      </c>
      <c r="AY75" s="307" t="s">
        <v>221</v>
      </c>
      <c r="AZ75" s="307" t="s">
        <v>221</v>
      </c>
      <c r="BA75" s="307" t="s">
        <v>221</v>
      </c>
      <c r="BB75" s="307" t="s">
        <v>221</v>
      </c>
      <c r="BC75" s="307" t="s">
        <v>221</v>
      </c>
      <c r="BD75" s="307" t="s">
        <v>221</v>
      </c>
      <c r="BE75" s="307" t="s">
        <v>221</v>
      </c>
      <c r="BF75" s="307" t="s">
        <v>221</v>
      </c>
      <c r="BG75" s="307" t="s">
        <v>221</v>
      </c>
      <c r="BH75" s="307" t="s">
        <v>221</v>
      </c>
      <c r="BI75" s="307" t="s">
        <v>221</v>
      </c>
      <c r="BJ75" s="307" t="s">
        <v>221</v>
      </c>
      <c r="BK75" s="307" t="s">
        <v>221</v>
      </c>
      <c r="BL75" s="307" t="s">
        <v>221</v>
      </c>
      <c r="BM75" s="307" t="s">
        <v>221</v>
      </c>
      <c r="BN75" s="307" t="s">
        <v>221</v>
      </c>
      <c r="BO75" s="307" t="s">
        <v>221</v>
      </c>
      <c r="BP75" s="307" t="s">
        <v>221</v>
      </c>
      <c r="BQ75" s="307" t="s">
        <v>221</v>
      </c>
      <c r="BR75" s="307" t="s">
        <v>221</v>
      </c>
      <c r="BS75" s="307" t="s">
        <v>221</v>
      </c>
      <c r="BT75" s="307" t="s">
        <v>221</v>
      </c>
      <c r="BU75" s="307" t="s">
        <v>221</v>
      </c>
      <c r="BV75" s="307" t="s">
        <v>221</v>
      </c>
      <c r="BW75" s="307" t="s">
        <v>221</v>
      </c>
      <c r="BX75" s="307" t="s">
        <v>221</v>
      </c>
      <c r="BY75" s="307" t="s">
        <v>221</v>
      </c>
      <c r="BZ75" s="307" t="s">
        <v>221</v>
      </c>
      <c r="CA75" s="307" t="s">
        <v>221</v>
      </c>
      <c r="CB75" s="307" t="s">
        <v>221</v>
      </c>
      <c r="CC75" s="307" t="s">
        <v>221</v>
      </c>
      <c r="CD75" s="307" t="s">
        <v>221</v>
      </c>
      <c r="CE75" s="297">
        <f t="shared" si="8"/>
        <v>2534215089</v>
      </c>
      <c r="CF75" s="2"/>
    </row>
    <row r="76" spans="1:84" ht="12.65" customHeight="1" x14ac:dyDescent="0.35">
      <c r="A76" s="304" t="s">
        <v>248</v>
      </c>
      <c r="B76" s="297"/>
      <c r="C76" s="302">
        <v>23477</v>
      </c>
      <c r="D76" s="302"/>
      <c r="E76" s="185">
        <v>122486</v>
      </c>
      <c r="F76" s="185"/>
      <c r="G76" s="302"/>
      <c r="H76" s="302"/>
      <c r="I76" s="185"/>
      <c r="J76" s="185"/>
      <c r="K76" s="185"/>
      <c r="L76" s="185"/>
      <c r="M76" s="185"/>
      <c r="N76" s="185"/>
      <c r="O76" s="185"/>
      <c r="P76" s="185">
        <v>46923</v>
      </c>
      <c r="Q76" s="185">
        <v>28078</v>
      </c>
      <c r="R76" s="185">
        <v>18969</v>
      </c>
      <c r="S76" s="185">
        <v>17856</v>
      </c>
      <c r="T76" s="185">
        <v>984</v>
      </c>
      <c r="U76" s="185">
        <v>30797</v>
      </c>
      <c r="V76" s="185"/>
      <c r="W76" s="185">
        <v>6650</v>
      </c>
      <c r="X76" s="185">
        <v>3995</v>
      </c>
      <c r="Y76" s="185">
        <v>34217</v>
      </c>
      <c r="Z76" s="185">
        <v>11246</v>
      </c>
      <c r="AA76" s="185">
        <v>6039</v>
      </c>
      <c r="AB76" s="185">
        <v>10847</v>
      </c>
      <c r="AC76" s="185">
        <v>858</v>
      </c>
      <c r="AD76" s="185">
        <v>1571</v>
      </c>
      <c r="AE76" s="185">
        <v>18908</v>
      </c>
      <c r="AF76" s="185">
        <v>1029</v>
      </c>
      <c r="AG76" s="185">
        <v>15002</v>
      </c>
      <c r="AH76" s="185"/>
      <c r="AI76" s="185"/>
      <c r="AJ76" s="185">
        <v>215458</v>
      </c>
      <c r="AK76" s="185"/>
      <c r="AL76" s="185"/>
      <c r="AM76" s="185"/>
      <c r="AN76" s="185"/>
      <c r="AO76" s="185"/>
      <c r="AP76" s="185">
        <v>274085</v>
      </c>
      <c r="AQ76" s="185"/>
      <c r="AR76" s="185"/>
      <c r="AS76" s="185"/>
      <c r="AT76" s="185">
        <v>2191</v>
      </c>
      <c r="AU76" s="185"/>
      <c r="AV76" s="185">
        <v>8588</v>
      </c>
      <c r="AW76" s="185">
        <v>16477</v>
      </c>
      <c r="AX76" s="185">
        <v>2447</v>
      </c>
      <c r="AY76" s="185">
        <v>5472</v>
      </c>
      <c r="AZ76" s="185">
        <v>16925</v>
      </c>
      <c r="BA76" s="185">
        <v>3170</v>
      </c>
      <c r="BB76" s="185">
        <v>362</v>
      </c>
      <c r="BC76" s="185">
        <v>673</v>
      </c>
      <c r="BD76" s="185">
        <v>7704</v>
      </c>
      <c r="BE76" s="185">
        <v>385445</v>
      </c>
      <c r="BF76" s="185">
        <v>8240</v>
      </c>
      <c r="BG76" s="185">
        <v>11744</v>
      </c>
      <c r="BH76" s="185">
        <v>45406</v>
      </c>
      <c r="BI76" s="185">
        <v>7081</v>
      </c>
      <c r="BJ76" s="185">
        <v>3383</v>
      </c>
      <c r="BK76" s="185">
        <v>23686</v>
      </c>
      <c r="BL76" s="185">
        <v>7388</v>
      </c>
      <c r="BM76" s="185">
        <v>3990</v>
      </c>
      <c r="BN76" s="185">
        <v>10759</v>
      </c>
      <c r="BO76" s="185">
        <v>1292</v>
      </c>
      <c r="BP76" s="185">
        <v>5202</v>
      </c>
      <c r="BQ76" s="185"/>
      <c r="BR76" s="185"/>
      <c r="BS76" s="185"/>
      <c r="BT76" s="185">
        <v>839</v>
      </c>
      <c r="BU76" s="185">
        <v>5259</v>
      </c>
      <c r="BV76" s="185">
        <v>13911</v>
      </c>
      <c r="BW76" s="185">
        <v>0</v>
      </c>
      <c r="BX76" s="185">
        <v>21744</v>
      </c>
      <c r="BY76" s="185">
        <v>5601</v>
      </c>
      <c r="BZ76" s="185"/>
      <c r="CA76" s="185">
        <v>3863</v>
      </c>
      <c r="CB76" s="185"/>
      <c r="CC76" s="185">
        <v>10314</v>
      </c>
      <c r="CD76" s="307" t="s">
        <v>221</v>
      </c>
      <c r="CE76" s="297">
        <f t="shared" si="8"/>
        <v>1528631</v>
      </c>
      <c r="CF76" s="297">
        <f>BE59-CE76</f>
        <v>0</v>
      </c>
    </row>
    <row r="77" spans="1:84" ht="12.65" customHeight="1" x14ac:dyDescent="0.35">
      <c r="A77" s="304" t="s">
        <v>249</v>
      </c>
      <c r="B77" s="297"/>
      <c r="C77" s="302">
        <v>9270</v>
      </c>
      <c r="D77" s="302"/>
      <c r="E77" s="302">
        <v>260083</v>
      </c>
      <c r="F77" s="302"/>
      <c r="G77" s="302"/>
      <c r="H77" s="302"/>
      <c r="I77" s="302"/>
      <c r="J77" s="302"/>
      <c r="K77" s="302"/>
      <c r="L77" s="302"/>
      <c r="M77" s="302"/>
      <c r="N77" s="302">
        <v>264</v>
      </c>
      <c r="O77" s="302"/>
      <c r="P77" s="302"/>
      <c r="Q77" s="302">
        <v>296</v>
      </c>
      <c r="R77" s="302"/>
      <c r="S77" s="302"/>
      <c r="T77" s="302"/>
      <c r="U77" s="302"/>
      <c r="V77" s="302"/>
      <c r="W77" s="302"/>
      <c r="X77" s="302"/>
      <c r="Y77" s="302">
        <v>25</v>
      </c>
      <c r="Z77" s="302"/>
      <c r="AA77" s="302"/>
      <c r="AB77" s="302"/>
      <c r="AC77" s="302"/>
      <c r="AD77" s="302"/>
      <c r="AE77" s="302"/>
      <c r="AF77" s="302"/>
      <c r="AG77" s="302">
        <v>25110</v>
      </c>
      <c r="AH77" s="302"/>
      <c r="AI77" s="302"/>
      <c r="AJ77" s="302">
        <v>336</v>
      </c>
      <c r="AK77" s="302"/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>
        <v>66</v>
      </c>
      <c r="AW77" s="302"/>
      <c r="AX77" s="307" t="s">
        <v>221</v>
      </c>
      <c r="AY77" s="307" t="s">
        <v>221</v>
      </c>
      <c r="AZ77" s="302"/>
      <c r="BA77" s="302"/>
      <c r="BB77" s="302"/>
      <c r="BC77" s="302"/>
      <c r="BD77" s="307" t="s">
        <v>221</v>
      </c>
      <c r="BE77" s="307" t="s">
        <v>221</v>
      </c>
      <c r="BF77" s="302"/>
      <c r="BG77" s="307" t="s">
        <v>221</v>
      </c>
      <c r="BH77" s="302"/>
      <c r="BI77" s="302"/>
      <c r="BJ77" s="307" t="s">
        <v>221</v>
      </c>
      <c r="BK77" s="302"/>
      <c r="BL77" s="302"/>
      <c r="BM77" s="302"/>
      <c r="BN77" s="307" t="s">
        <v>221</v>
      </c>
      <c r="BO77" s="307" t="s">
        <v>221</v>
      </c>
      <c r="BP77" s="307" t="s">
        <v>221</v>
      </c>
      <c r="BQ77" s="307" t="s">
        <v>221</v>
      </c>
      <c r="BR77" s="302"/>
      <c r="BS77" s="302"/>
      <c r="BT77" s="302"/>
      <c r="BU77" s="302"/>
      <c r="BV77" s="302"/>
      <c r="BW77" s="302"/>
      <c r="BX77" s="302"/>
      <c r="BY77" s="302"/>
      <c r="BZ77" s="302"/>
      <c r="CA77" s="302"/>
      <c r="CB77" s="302"/>
      <c r="CC77" s="307" t="s">
        <v>221</v>
      </c>
      <c r="CD77" s="307" t="s">
        <v>221</v>
      </c>
      <c r="CE77" s="297">
        <f>SUM(C77:CD77)</f>
        <v>295450</v>
      </c>
      <c r="CF77" s="297">
        <f>AY59-CE77</f>
        <v>0</v>
      </c>
    </row>
    <row r="78" spans="1:84" ht="12.65" customHeight="1" x14ac:dyDescent="0.35">
      <c r="A78" s="304" t="s">
        <v>250</v>
      </c>
      <c r="B78" s="297"/>
      <c r="C78" s="302">
        <v>2201</v>
      </c>
      <c r="D78" s="302"/>
      <c r="E78" s="302">
        <v>11487</v>
      </c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302">
        <v>4400</v>
      </c>
      <c r="Q78" s="302">
        <v>2633</v>
      </c>
      <c r="R78" s="302">
        <v>1779</v>
      </c>
      <c r="S78" s="302">
        <v>1675</v>
      </c>
      <c r="T78" s="302">
        <v>92</v>
      </c>
      <c r="U78" s="302">
        <v>2888</v>
      </c>
      <c r="V78" s="302"/>
      <c r="W78" s="302">
        <v>624</v>
      </c>
      <c r="X78" s="302">
        <v>375</v>
      </c>
      <c r="Y78" s="302">
        <v>3209</v>
      </c>
      <c r="Z78" s="302">
        <v>1055</v>
      </c>
      <c r="AA78" s="302">
        <v>566</v>
      </c>
      <c r="AB78" s="302">
        <v>1017</v>
      </c>
      <c r="AC78" s="302">
        <v>80</v>
      </c>
      <c r="AD78" s="302">
        <v>147</v>
      </c>
      <c r="AE78" s="302">
        <v>1773</v>
      </c>
      <c r="AF78" s="302">
        <v>97</v>
      </c>
      <c r="AG78" s="302">
        <v>1407</v>
      </c>
      <c r="AH78" s="302"/>
      <c r="AI78" s="302"/>
      <c r="AJ78" s="302">
        <v>20206</v>
      </c>
      <c r="AK78" s="302"/>
      <c r="AL78" s="302"/>
      <c r="AM78" s="302"/>
      <c r="AN78" s="302"/>
      <c r="AO78" s="302"/>
      <c r="AP78" s="302">
        <v>25704</v>
      </c>
      <c r="AQ78" s="302"/>
      <c r="AR78" s="302"/>
      <c r="AS78" s="302"/>
      <c r="AT78" s="302">
        <v>206</v>
      </c>
      <c r="AU78" s="302"/>
      <c r="AV78" s="302">
        <v>805</v>
      </c>
      <c r="AW78" s="302">
        <v>1545</v>
      </c>
      <c r="AX78" s="307" t="s">
        <v>221</v>
      </c>
      <c r="AY78" s="307" t="s">
        <v>221</v>
      </c>
      <c r="AZ78" s="307" t="s">
        <v>221</v>
      </c>
      <c r="BA78" s="302">
        <v>297</v>
      </c>
      <c r="BB78" s="302">
        <v>34</v>
      </c>
      <c r="BC78" s="302">
        <v>63</v>
      </c>
      <c r="BD78" s="307" t="s">
        <v>221</v>
      </c>
      <c r="BE78" s="307" t="s">
        <v>221</v>
      </c>
      <c r="BF78" s="307" t="s">
        <v>221</v>
      </c>
      <c r="BG78" s="307" t="s">
        <v>221</v>
      </c>
      <c r="BH78" s="302">
        <v>4258</v>
      </c>
      <c r="BI78" s="302">
        <v>664</v>
      </c>
      <c r="BJ78" s="307" t="s">
        <v>221</v>
      </c>
      <c r="BK78" s="302">
        <v>2221</v>
      </c>
      <c r="BL78" s="302">
        <v>693</v>
      </c>
      <c r="BM78" s="302">
        <v>374</v>
      </c>
      <c r="BN78" s="307" t="s">
        <v>221</v>
      </c>
      <c r="BO78" s="307" t="s">
        <v>221</v>
      </c>
      <c r="BP78" s="307" t="s">
        <v>221</v>
      </c>
      <c r="BQ78" s="307" t="s">
        <v>221</v>
      </c>
      <c r="BR78" s="307" t="s">
        <v>221</v>
      </c>
      <c r="BS78" s="302"/>
      <c r="BT78" s="302">
        <v>79</v>
      </c>
      <c r="BU78" s="302">
        <v>493</v>
      </c>
      <c r="BV78" s="302">
        <v>1305</v>
      </c>
      <c r="BW78" s="302"/>
      <c r="BX78" s="302">
        <v>2039</v>
      </c>
      <c r="BY78" s="302">
        <v>525</v>
      </c>
      <c r="BZ78" s="302"/>
      <c r="CA78" s="302">
        <v>363</v>
      </c>
      <c r="CB78" s="302"/>
      <c r="CC78" s="307" t="s">
        <v>221</v>
      </c>
      <c r="CD78" s="307" t="s">
        <v>221</v>
      </c>
      <c r="CE78" s="297">
        <f t="shared" si="8"/>
        <v>99379</v>
      </c>
      <c r="CF78" s="297"/>
    </row>
    <row r="79" spans="1:84" ht="12.65" customHeight="1" x14ac:dyDescent="0.35">
      <c r="A79" s="304" t="s">
        <v>251</v>
      </c>
      <c r="B79" s="297"/>
      <c r="C79" s="225">
        <v>46324</v>
      </c>
      <c r="D79" s="225"/>
      <c r="E79" s="302">
        <v>381269</v>
      </c>
      <c r="F79" s="302"/>
      <c r="G79" s="302"/>
      <c r="H79" s="302"/>
      <c r="I79" s="302"/>
      <c r="J79" s="302"/>
      <c r="K79" s="302">
        <v>890</v>
      </c>
      <c r="L79" s="302"/>
      <c r="M79" s="302"/>
      <c r="N79" s="302"/>
      <c r="O79" s="302"/>
      <c r="P79" s="302">
        <v>512216</v>
      </c>
      <c r="Q79" s="302">
        <v>16630</v>
      </c>
      <c r="R79" s="302">
        <v>35736</v>
      </c>
      <c r="S79" s="302"/>
      <c r="T79" s="302">
        <v>752</v>
      </c>
      <c r="U79" s="302">
        <v>46766</v>
      </c>
      <c r="V79" s="302"/>
      <c r="W79" s="302">
        <v>7338</v>
      </c>
      <c r="X79" s="302">
        <v>86252</v>
      </c>
      <c r="Y79" s="302">
        <v>312881</v>
      </c>
      <c r="Z79" s="302">
        <v>26413</v>
      </c>
      <c r="AA79" s="302">
        <v>29019</v>
      </c>
      <c r="AB79" s="302"/>
      <c r="AC79" s="302">
        <v>10083</v>
      </c>
      <c r="AD79" s="302">
        <v>2262</v>
      </c>
      <c r="AE79" s="302">
        <v>14563</v>
      </c>
      <c r="AF79" s="302"/>
      <c r="AG79" s="302">
        <v>134035</v>
      </c>
      <c r="AH79" s="302"/>
      <c r="AI79" s="302"/>
      <c r="AJ79" s="302">
        <v>283977</v>
      </c>
      <c r="AK79" s="302"/>
      <c r="AL79" s="302"/>
      <c r="AM79" s="302"/>
      <c r="AN79" s="302"/>
      <c r="AO79" s="302"/>
      <c r="AP79" s="302">
        <v>361087</v>
      </c>
      <c r="AQ79" s="302"/>
      <c r="AR79" s="302"/>
      <c r="AS79" s="302"/>
      <c r="AT79" s="302"/>
      <c r="AU79" s="302"/>
      <c r="AV79" s="302">
        <v>58784</v>
      </c>
      <c r="AW79" s="302">
        <v>3240</v>
      </c>
      <c r="AX79" s="307" t="s">
        <v>221</v>
      </c>
      <c r="AY79" s="307" t="s">
        <v>221</v>
      </c>
      <c r="AZ79" s="307" t="s">
        <v>221</v>
      </c>
      <c r="BA79" s="307" t="s">
        <v>221</v>
      </c>
      <c r="BB79" s="302"/>
      <c r="BC79" s="302"/>
      <c r="BD79" s="307" t="s">
        <v>221</v>
      </c>
      <c r="BE79" s="307" t="s">
        <v>221</v>
      </c>
      <c r="BF79" s="307" t="s">
        <v>221</v>
      </c>
      <c r="BG79" s="307" t="s">
        <v>221</v>
      </c>
      <c r="BH79" s="302"/>
      <c r="BI79" s="302"/>
      <c r="BJ79" s="307" t="s">
        <v>221</v>
      </c>
      <c r="BK79" s="302"/>
      <c r="BL79" s="302"/>
      <c r="BM79" s="302">
        <v>1262</v>
      </c>
      <c r="BN79" s="307" t="s">
        <v>221</v>
      </c>
      <c r="BO79" s="307" t="s">
        <v>221</v>
      </c>
      <c r="BP79" s="307" t="s">
        <v>221</v>
      </c>
      <c r="BQ79" s="307" t="s">
        <v>221</v>
      </c>
      <c r="BR79" s="307" t="s">
        <v>221</v>
      </c>
      <c r="BS79" s="302"/>
      <c r="BT79" s="302"/>
      <c r="BU79" s="302"/>
      <c r="BV79" s="302"/>
      <c r="BW79" s="302"/>
      <c r="BX79" s="302"/>
      <c r="BY79" s="302"/>
      <c r="BZ79" s="302"/>
      <c r="CA79" s="302"/>
      <c r="CB79" s="302"/>
      <c r="CC79" s="307" t="s">
        <v>221</v>
      </c>
      <c r="CD79" s="307" t="s">
        <v>221</v>
      </c>
      <c r="CE79" s="297">
        <f t="shared" si="8"/>
        <v>2371779</v>
      </c>
      <c r="CF79" s="297">
        <f>BA59</f>
        <v>0</v>
      </c>
    </row>
    <row r="80" spans="1:84" ht="12.65" customHeight="1" x14ac:dyDescent="0.35">
      <c r="A80" s="304" t="s">
        <v>252</v>
      </c>
      <c r="B80" s="297"/>
      <c r="C80" s="187">
        <v>82</v>
      </c>
      <c r="D80" s="187"/>
      <c r="E80" s="187">
        <v>451.69</v>
      </c>
      <c r="F80" s="187"/>
      <c r="G80" s="187"/>
      <c r="H80" s="187"/>
      <c r="I80" s="187"/>
      <c r="J80" s="187"/>
      <c r="K80" s="187">
        <v>75.28</v>
      </c>
      <c r="L80" s="187"/>
      <c r="M80" s="187"/>
      <c r="N80" s="187"/>
      <c r="O80" s="187"/>
      <c r="P80" s="187">
        <v>56.42</v>
      </c>
      <c r="Q80" s="187">
        <v>66.239999999999995</v>
      </c>
      <c r="R80" s="187">
        <v>5.55</v>
      </c>
      <c r="S80" s="187">
        <v>0.03</v>
      </c>
      <c r="T80" s="187">
        <v>16.96</v>
      </c>
      <c r="U80" s="187">
        <v>0.18</v>
      </c>
      <c r="V80" s="187"/>
      <c r="W80" s="187">
        <v>0</v>
      </c>
      <c r="X80" s="187">
        <v>0</v>
      </c>
      <c r="Y80" s="187">
        <v>13</v>
      </c>
      <c r="Z80" s="187">
        <v>3.8</v>
      </c>
      <c r="AA80" s="187">
        <v>0</v>
      </c>
      <c r="AB80" s="187">
        <v>0</v>
      </c>
      <c r="AC80" s="187">
        <v>0</v>
      </c>
      <c r="AD80" s="187">
        <v>0</v>
      </c>
      <c r="AE80" s="187">
        <v>12.28</v>
      </c>
      <c r="AF80" s="187">
        <v>0</v>
      </c>
      <c r="AG80" s="187">
        <v>33.79</v>
      </c>
      <c r="AH80" s="187">
        <v>0</v>
      </c>
      <c r="AI80" s="187">
        <v>0</v>
      </c>
      <c r="AJ80" s="187">
        <v>289.63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370.05</v>
      </c>
      <c r="AQ80" s="187">
        <v>0</v>
      </c>
      <c r="AR80" s="187">
        <v>0</v>
      </c>
      <c r="AS80" s="187">
        <v>0</v>
      </c>
      <c r="AT80" s="187">
        <v>7.29</v>
      </c>
      <c r="AU80" s="187">
        <v>0</v>
      </c>
      <c r="AV80" s="187">
        <v>28.09</v>
      </c>
      <c r="AW80" s="307" t="s">
        <v>221</v>
      </c>
      <c r="AX80" s="307" t="s">
        <v>221</v>
      </c>
      <c r="AY80" s="307" t="s">
        <v>221</v>
      </c>
      <c r="AZ80" s="307" t="s">
        <v>221</v>
      </c>
      <c r="BA80" s="307" t="s">
        <v>221</v>
      </c>
      <c r="BB80" s="307" t="s">
        <v>221</v>
      </c>
      <c r="BC80" s="307" t="s">
        <v>221</v>
      </c>
      <c r="BD80" s="307" t="s">
        <v>221</v>
      </c>
      <c r="BE80" s="307" t="s">
        <v>221</v>
      </c>
      <c r="BF80" s="307" t="s">
        <v>221</v>
      </c>
      <c r="BG80" s="307" t="s">
        <v>221</v>
      </c>
      <c r="BH80" s="307" t="s">
        <v>221</v>
      </c>
      <c r="BI80" s="307" t="s">
        <v>221</v>
      </c>
      <c r="BJ80" s="307" t="s">
        <v>221</v>
      </c>
      <c r="BK80" s="307" t="s">
        <v>221</v>
      </c>
      <c r="BL80" s="307" t="s">
        <v>221</v>
      </c>
      <c r="BM80" s="307" t="s">
        <v>221</v>
      </c>
      <c r="BN80" s="307" t="s">
        <v>221</v>
      </c>
      <c r="BO80" s="307" t="s">
        <v>221</v>
      </c>
      <c r="BP80" s="307" t="s">
        <v>221</v>
      </c>
      <c r="BQ80" s="307" t="s">
        <v>221</v>
      </c>
      <c r="BR80" s="307" t="s">
        <v>221</v>
      </c>
      <c r="BS80" s="307" t="s">
        <v>221</v>
      </c>
      <c r="BT80" s="307" t="s">
        <v>221</v>
      </c>
      <c r="BU80" s="311"/>
      <c r="BV80" s="311"/>
      <c r="BW80" s="311"/>
      <c r="BX80" s="311"/>
      <c r="BY80" s="311"/>
      <c r="BZ80" s="311"/>
      <c r="CA80" s="311"/>
      <c r="CB80" s="311"/>
      <c r="CC80" s="307" t="s">
        <v>221</v>
      </c>
      <c r="CD80" s="307" t="s">
        <v>221</v>
      </c>
      <c r="CE80" s="312">
        <f t="shared" si="8"/>
        <v>1512.2799999999997</v>
      </c>
      <c r="CF80" s="312"/>
    </row>
    <row r="81" spans="1:84" ht="21" customHeight="1" x14ac:dyDescent="0.35">
      <c r="A81" s="313" t="s">
        <v>253</v>
      </c>
      <c r="B81" s="313"/>
      <c r="C81" s="313"/>
      <c r="D81" s="313"/>
      <c r="E81" s="3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4" t="s">
        <v>254</v>
      </c>
      <c r="B82" s="314"/>
      <c r="C82" s="315" t="s">
        <v>1267</v>
      </c>
      <c r="D82" s="316"/>
      <c r="E82" s="29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7" t="s">
        <v>255</v>
      </c>
      <c r="B83" s="314" t="s">
        <v>256</v>
      </c>
      <c r="C83" s="317" t="s">
        <v>1268</v>
      </c>
      <c r="D83" s="316"/>
      <c r="E83" s="29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7" t="s">
        <v>257</v>
      </c>
      <c r="B84" s="314" t="s">
        <v>256</v>
      </c>
      <c r="C84" s="230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7" t="s">
        <v>1250</v>
      </c>
      <c r="B85" s="314"/>
      <c r="C85" s="272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7" t="s">
        <v>1251</v>
      </c>
      <c r="B86" s="314" t="s">
        <v>256</v>
      </c>
      <c r="C86" s="231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7" t="s">
        <v>258</v>
      </c>
      <c r="B87" s="314" t="s">
        <v>256</v>
      </c>
      <c r="C87" s="230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7" t="s">
        <v>259</v>
      </c>
      <c r="B88" s="314" t="s">
        <v>256</v>
      </c>
      <c r="C88" s="230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7" t="s">
        <v>260</v>
      </c>
      <c r="B89" s="314" t="s">
        <v>256</v>
      </c>
      <c r="C89" s="230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7" t="s">
        <v>261</v>
      </c>
      <c r="B90" s="314" t="s">
        <v>256</v>
      </c>
      <c r="C90" s="230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7" t="s">
        <v>262</v>
      </c>
      <c r="B91" s="314" t="s">
        <v>256</v>
      </c>
      <c r="C91" s="230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7" t="s">
        <v>263</v>
      </c>
      <c r="B92" s="314" t="s">
        <v>256</v>
      </c>
      <c r="C92" s="226" t="s">
        <v>1277</v>
      </c>
      <c r="D92" s="316"/>
      <c r="E92" s="29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7" t="s">
        <v>264</v>
      </c>
      <c r="B93" s="314" t="s">
        <v>256</v>
      </c>
      <c r="C93" s="271" t="s">
        <v>1278</v>
      </c>
      <c r="D93" s="316"/>
      <c r="E93" s="29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7"/>
      <c r="B94" s="297"/>
      <c r="C94" s="305"/>
      <c r="D94" s="297"/>
      <c r="E94" s="29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3" t="s">
        <v>265</v>
      </c>
      <c r="B95" s="313"/>
      <c r="C95" s="313"/>
      <c r="D95" s="313"/>
      <c r="E95" s="3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8" t="s">
        <v>266</v>
      </c>
      <c r="B96" s="318"/>
      <c r="C96" s="318"/>
      <c r="D96" s="318"/>
      <c r="E96" s="31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7" t="s">
        <v>267</v>
      </c>
      <c r="B97" s="314" t="s">
        <v>256</v>
      </c>
      <c r="C97" s="189"/>
      <c r="D97" s="297"/>
      <c r="E97" s="29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7" t="s">
        <v>259</v>
      </c>
      <c r="B98" s="314" t="s">
        <v>256</v>
      </c>
      <c r="C98" s="189"/>
      <c r="D98" s="297"/>
      <c r="E98" s="29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7" t="s">
        <v>268</v>
      </c>
      <c r="B99" s="314" t="s">
        <v>256</v>
      </c>
      <c r="C99" s="189"/>
      <c r="D99" s="297"/>
      <c r="E99" s="29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8" t="s">
        <v>269</v>
      </c>
      <c r="B100" s="318"/>
      <c r="C100" s="318"/>
      <c r="D100" s="318"/>
      <c r="E100" s="31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7" t="s">
        <v>270</v>
      </c>
      <c r="B101" s="314" t="s">
        <v>256</v>
      </c>
      <c r="C101" s="189"/>
      <c r="D101" s="297"/>
      <c r="E101" s="29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7" t="s">
        <v>132</v>
      </c>
      <c r="B102" s="314" t="s">
        <v>256</v>
      </c>
      <c r="C102" s="222">
        <v>1</v>
      </c>
      <c r="D102" s="297"/>
      <c r="E102" s="29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8" t="s">
        <v>271</v>
      </c>
      <c r="B103" s="318"/>
      <c r="C103" s="318"/>
      <c r="D103" s="318"/>
      <c r="E103" s="31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7" t="s">
        <v>272</v>
      </c>
      <c r="B104" s="314" t="s">
        <v>256</v>
      </c>
      <c r="C104" s="189"/>
      <c r="D104" s="297"/>
      <c r="E104" s="29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7" t="s">
        <v>273</v>
      </c>
      <c r="B105" s="314" t="s">
        <v>256</v>
      </c>
      <c r="C105" s="189"/>
      <c r="D105" s="297"/>
      <c r="E105" s="29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7" t="s">
        <v>274</v>
      </c>
      <c r="B106" s="314" t="s">
        <v>256</v>
      </c>
      <c r="C106" s="189"/>
      <c r="D106" s="297"/>
      <c r="E106" s="29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7"/>
      <c r="B107" s="314"/>
      <c r="C107" s="319"/>
      <c r="D107" s="297"/>
      <c r="E107" s="29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20" t="s">
        <v>275</v>
      </c>
      <c r="B108" s="313"/>
      <c r="C108" s="313"/>
      <c r="D108" s="313"/>
      <c r="E108" s="3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7"/>
      <c r="B109" s="314"/>
      <c r="C109" s="319"/>
      <c r="D109" s="297"/>
      <c r="E109" s="29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4" t="s">
        <v>276</v>
      </c>
      <c r="B110" s="297"/>
      <c r="C110" s="298" t="s">
        <v>277</v>
      </c>
      <c r="D110" s="299" t="s">
        <v>215</v>
      </c>
      <c r="E110" s="29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7" t="s">
        <v>278</v>
      </c>
      <c r="B111" s="314" t="s">
        <v>256</v>
      </c>
      <c r="C111" s="189">
        <v>11245</v>
      </c>
      <c r="D111" s="174">
        <v>60360</v>
      </c>
      <c r="E111" s="29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7" t="s">
        <v>279</v>
      </c>
      <c r="B112" s="314" t="s">
        <v>256</v>
      </c>
      <c r="C112" s="189">
        <v>67</v>
      </c>
      <c r="D112" s="174">
        <v>12126</v>
      </c>
      <c r="E112" s="29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7" t="s">
        <v>280</v>
      </c>
      <c r="B113" s="314" t="s">
        <v>256</v>
      </c>
      <c r="C113" s="189"/>
      <c r="D113" s="174"/>
      <c r="E113" s="29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7" t="s">
        <v>281</v>
      </c>
      <c r="B114" s="314" t="s">
        <v>256</v>
      </c>
      <c r="C114" s="189"/>
      <c r="D114" s="174"/>
      <c r="E114" s="29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4" t="s">
        <v>282</v>
      </c>
      <c r="B115" s="297"/>
      <c r="C115" s="298" t="s">
        <v>167</v>
      </c>
      <c r="D115" s="297"/>
      <c r="E115" s="29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7" t="s">
        <v>283</v>
      </c>
      <c r="B116" s="314" t="s">
        <v>256</v>
      </c>
      <c r="C116" s="189">
        <v>28</v>
      </c>
      <c r="D116" s="297"/>
      <c r="E116" s="29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7" t="s">
        <v>284</v>
      </c>
      <c r="B117" s="314" t="s">
        <v>256</v>
      </c>
      <c r="C117" s="189"/>
      <c r="D117" s="297"/>
      <c r="E117" s="29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7" t="s">
        <v>1238</v>
      </c>
      <c r="B118" s="314" t="s">
        <v>256</v>
      </c>
      <c r="C118" s="189">
        <v>209</v>
      </c>
      <c r="D118" s="297"/>
      <c r="E118" s="29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7" t="s">
        <v>285</v>
      </c>
      <c r="B119" s="314" t="s">
        <v>256</v>
      </c>
      <c r="C119" s="189"/>
      <c r="D119" s="297"/>
      <c r="E119" s="29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7" t="s">
        <v>286</v>
      </c>
      <c r="B120" s="314" t="s">
        <v>256</v>
      </c>
      <c r="C120" s="189"/>
      <c r="D120" s="297"/>
      <c r="E120" s="29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7" t="s">
        <v>287</v>
      </c>
      <c r="B121" s="314" t="s">
        <v>256</v>
      </c>
      <c r="C121" s="189"/>
      <c r="D121" s="297"/>
      <c r="E121" s="29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7" t="s">
        <v>97</v>
      </c>
      <c r="B122" s="314" t="s">
        <v>256</v>
      </c>
      <c r="C122" s="189"/>
      <c r="D122" s="297"/>
      <c r="E122" s="29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7" t="s">
        <v>288</v>
      </c>
      <c r="B123" s="314" t="s">
        <v>256</v>
      </c>
      <c r="C123" s="189">
        <v>35</v>
      </c>
      <c r="D123" s="297"/>
      <c r="E123" s="29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7" t="s">
        <v>289</v>
      </c>
      <c r="B124" s="314"/>
      <c r="C124" s="189"/>
      <c r="D124" s="297"/>
      <c r="E124" s="29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7" t="s">
        <v>280</v>
      </c>
      <c r="B125" s="314" t="s">
        <v>256</v>
      </c>
      <c r="C125" s="189"/>
      <c r="D125" s="297"/>
      <c r="E125" s="29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7" t="s">
        <v>290</v>
      </c>
      <c r="B126" s="314" t="s">
        <v>256</v>
      </c>
      <c r="C126" s="189"/>
      <c r="D126" s="297"/>
      <c r="E126" s="29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7" t="s">
        <v>291</v>
      </c>
      <c r="B127" s="297"/>
      <c r="C127" s="305"/>
      <c r="D127" s="297"/>
      <c r="E127" s="297">
        <f>SUM(C116:C126)</f>
        <v>272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7" t="s">
        <v>292</v>
      </c>
      <c r="B128" s="314" t="s">
        <v>256</v>
      </c>
      <c r="C128" s="189">
        <v>371</v>
      </c>
      <c r="D128" s="297"/>
      <c r="E128" s="29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7" t="s">
        <v>293</v>
      </c>
      <c r="B129" s="314" t="s">
        <v>256</v>
      </c>
      <c r="C129" s="189"/>
      <c r="D129" s="297"/>
      <c r="E129" s="29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7"/>
      <c r="B130" s="297"/>
      <c r="C130" s="305"/>
      <c r="D130" s="297"/>
      <c r="E130" s="29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7" t="s">
        <v>294</v>
      </c>
      <c r="B131" s="314" t="s">
        <v>256</v>
      </c>
      <c r="C131" s="189"/>
      <c r="D131" s="297"/>
      <c r="E131" s="29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7"/>
      <c r="B132" s="297"/>
      <c r="C132" s="305"/>
      <c r="D132" s="297"/>
      <c r="E132" s="29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7"/>
      <c r="B133" s="297"/>
      <c r="C133" s="305"/>
      <c r="D133" s="297"/>
      <c r="E133" s="29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7"/>
      <c r="B134" s="297"/>
      <c r="C134" s="305"/>
      <c r="D134" s="297"/>
      <c r="E134" s="29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7"/>
      <c r="B135" s="297"/>
      <c r="C135" s="305"/>
      <c r="D135" s="297"/>
      <c r="E135" s="29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3" t="s">
        <v>1239</v>
      </c>
      <c r="B136" s="320"/>
      <c r="C136" s="320"/>
      <c r="D136" s="320"/>
      <c r="E136" s="3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21" t="s">
        <v>295</v>
      </c>
      <c r="B137" s="322" t="s">
        <v>296</v>
      </c>
      <c r="C137" s="323" t="s">
        <v>297</v>
      </c>
      <c r="D137" s="322" t="s">
        <v>132</v>
      </c>
      <c r="E137" s="322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7" t="s">
        <v>277</v>
      </c>
      <c r="B138" s="174">
        <v>6345</v>
      </c>
      <c r="C138" s="189">
        <v>1183</v>
      </c>
      <c r="D138" s="174">
        <v>3663</v>
      </c>
      <c r="E138" s="297">
        <f>SUM(B138:D138)</f>
        <v>11191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7" t="s">
        <v>215</v>
      </c>
      <c r="B139" s="174">
        <v>36277</v>
      </c>
      <c r="C139" s="189">
        <v>9209</v>
      </c>
      <c r="D139" s="174">
        <v>14678</v>
      </c>
      <c r="E139" s="297">
        <f>SUM(B139:D139)</f>
        <v>60164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7" t="s">
        <v>298</v>
      </c>
      <c r="B140" s="174"/>
      <c r="C140" s="174"/>
      <c r="D140" s="174"/>
      <c r="E140" s="297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7" t="s">
        <v>245</v>
      </c>
      <c r="B141" s="174">
        <v>434305978</v>
      </c>
      <c r="C141" s="189">
        <f>96169176-C147</f>
        <v>85478384</v>
      </c>
      <c r="D141" s="174">
        <f>233856352-D147</f>
        <v>233805176</v>
      </c>
      <c r="E141" s="297">
        <f>SUM(B141:D141)</f>
        <v>753589538</v>
      </c>
      <c r="F141" s="32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7" t="s">
        <v>246</v>
      </c>
      <c r="B142" s="174">
        <v>747677685</v>
      </c>
      <c r="C142" s="189">
        <f>99543886-C148</f>
        <v>99543886</v>
      </c>
      <c r="D142" s="174">
        <f>922636760-D148+25250+2</f>
        <v>922661737</v>
      </c>
      <c r="E142" s="297">
        <f>SUM(B142:D142)</f>
        <v>1769883308</v>
      </c>
      <c r="F142" s="32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21" t="s">
        <v>299</v>
      </c>
      <c r="B143" s="322" t="s">
        <v>296</v>
      </c>
      <c r="C143" s="323" t="s">
        <v>297</v>
      </c>
      <c r="D143" s="322" t="s">
        <v>132</v>
      </c>
      <c r="E143" s="322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7" t="s">
        <v>277</v>
      </c>
      <c r="B144" s="174"/>
      <c r="C144" s="189">
        <v>66</v>
      </c>
      <c r="D144" s="174">
        <v>1</v>
      </c>
      <c r="E144" s="297">
        <f>SUM(B144:D144)</f>
        <v>67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7" t="s">
        <v>215</v>
      </c>
      <c r="B145" s="174"/>
      <c r="C145" s="189">
        <v>12076</v>
      </c>
      <c r="D145" s="174">
        <v>50</v>
      </c>
      <c r="E145" s="297">
        <f>SUM(B145:D145)</f>
        <v>12126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7" t="s">
        <v>298</v>
      </c>
      <c r="B146" s="174"/>
      <c r="C146" s="189"/>
      <c r="D146" s="174"/>
      <c r="E146" s="297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7" t="s">
        <v>245</v>
      </c>
      <c r="B147" s="174"/>
      <c r="C147" s="189">
        <v>10690792</v>
      </c>
      <c r="D147" s="174">
        <v>51176</v>
      </c>
      <c r="E147" s="297">
        <f>SUM(B147:D147)</f>
        <v>10741968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7" t="s">
        <v>246</v>
      </c>
      <c r="B148" s="174"/>
      <c r="C148" s="189"/>
      <c r="D148" s="174">
        <v>275</v>
      </c>
      <c r="E148" s="297">
        <f>SUM(B148:D148)</f>
        <v>275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21" t="s">
        <v>300</v>
      </c>
      <c r="B149" s="322" t="s">
        <v>296</v>
      </c>
      <c r="C149" s="323" t="s">
        <v>297</v>
      </c>
      <c r="D149" s="322" t="s">
        <v>132</v>
      </c>
      <c r="E149" s="322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7" t="s">
        <v>277</v>
      </c>
      <c r="B150" s="174"/>
      <c r="C150" s="189"/>
      <c r="D150" s="174"/>
      <c r="E150" s="297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7" t="s">
        <v>215</v>
      </c>
      <c r="B151" s="174"/>
      <c r="C151" s="189"/>
      <c r="D151" s="174"/>
      <c r="E151" s="297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7" t="s">
        <v>298</v>
      </c>
      <c r="B152" s="174"/>
      <c r="C152" s="189"/>
      <c r="D152" s="174"/>
      <c r="E152" s="297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7" t="s">
        <v>245</v>
      </c>
      <c r="B153" s="174"/>
      <c r="C153" s="189"/>
      <c r="D153" s="174"/>
      <c r="E153" s="297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7" t="s">
        <v>246</v>
      </c>
      <c r="B154" s="174"/>
      <c r="C154" s="189"/>
      <c r="D154" s="174"/>
      <c r="E154" s="297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3"/>
      <c r="B155" s="303"/>
      <c r="C155" s="325"/>
      <c r="D155" s="326"/>
      <c r="E155" s="29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21" t="s">
        <v>301</v>
      </c>
      <c r="B156" s="322" t="s">
        <v>302</v>
      </c>
      <c r="C156" s="323" t="s">
        <v>303</v>
      </c>
      <c r="D156" s="297"/>
      <c r="E156" s="29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3" t="s">
        <v>304</v>
      </c>
      <c r="B157" s="174"/>
      <c r="C157" s="174"/>
      <c r="D157" s="297"/>
      <c r="E157" s="29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3"/>
      <c r="B158" s="326"/>
      <c r="C158" s="325"/>
      <c r="D158" s="297"/>
      <c r="E158" s="29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3"/>
      <c r="B159" s="303"/>
      <c r="C159" s="325"/>
      <c r="D159" s="326"/>
      <c r="E159" s="29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3"/>
      <c r="B160" s="303"/>
      <c r="C160" s="325"/>
      <c r="D160" s="326"/>
      <c r="E160" s="29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3"/>
      <c r="B161" s="303"/>
      <c r="C161" s="325"/>
      <c r="D161" s="326"/>
      <c r="E161" s="29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3"/>
      <c r="B162" s="303"/>
      <c r="C162" s="325"/>
      <c r="D162" s="326"/>
      <c r="E162" s="29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20" t="s">
        <v>305</v>
      </c>
      <c r="B163" s="313"/>
      <c r="C163" s="313"/>
      <c r="D163" s="313"/>
      <c r="E163" s="3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4" customHeight="1" x14ac:dyDescent="0.35">
      <c r="A164" s="318" t="s">
        <v>306</v>
      </c>
      <c r="B164" s="318"/>
      <c r="C164" s="318"/>
      <c r="D164" s="318"/>
      <c r="E164" s="31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4" customHeight="1" x14ac:dyDescent="0.35">
      <c r="A165" s="297" t="s">
        <v>307</v>
      </c>
      <c r="B165" s="314" t="s">
        <v>256</v>
      </c>
      <c r="C165" s="189">
        <v>32268793</v>
      </c>
      <c r="D165" s="297"/>
      <c r="E165" s="29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4" customHeight="1" x14ac:dyDescent="0.35">
      <c r="A166" s="297" t="s">
        <v>308</v>
      </c>
      <c r="B166" s="314" t="s">
        <v>256</v>
      </c>
      <c r="C166" s="189">
        <v>5258584</v>
      </c>
      <c r="D166" s="297"/>
      <c r="E166" s="29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4" customHeight="1" x14ac:dyDescent="0.35">
      <c r="A167" s="303" t="s">
        <v>309</v>
      </c>
      <c r="B167" s="314" t="s">
        <v>256</v>
      </c>
      <c r="C167" s="189">
        <v>2415268</v>
      </c>
      <c r="D167" s="297"/>
      <c r="E167" s="29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4" customHeight="1" x14ac:dyDescent="0.35">
      <c r="A168" s="297" t="s">
        <v>310</v>
      </c>
      <c r="B168" s="314" t="s">
        <v>256</v>
      </c>
      <c r="C168" s="189">
        <v>40399470</v>
      </c>
      <c r="D168" s="297"/>
      <c r="E168" s="29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4" customHeight="1" x14ac:dyDescent="0.35">
      <c r="A169" s="297" t="s">
        <v>311</v>
      </c>
      <c r="B169" s="314" t="s">
        <v>256</v>
      </c>
      <c r="C169" s="189">
        <v>566804</v>
      </c>
      <c r="D169" s="297"/>
      <c r="E169" s="29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4" customHeight="1" x14ac:dyDescent="0.35">
      <c r="A170" s="297" t="s">
        <v>312</v>
      </c>
      <c r="B170" s="314" t="s">
        <v>256</v>
      </c>
      <c r="C170" s="189">
        <v>24116889</v>
      </c>
      <c r="D170" s="297"/>
      <c r="E170" s="29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4" customHeight="1" x14ac:dyDescent="0.35">
      <c r="A171" s="297" t="s">
        <v>313</v>
      </c>
      <c r="B171" s="314" t="s">
        <v>256</v>
      </c>
      <c r="C171" s="189">
        <f>12480622-2520458</f>
        <v>9960164</v>
      </c>
      <c r="D171" s="297"/>
      <c r="E171" s="29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4" customHeight="1" x14ac:dyDescent="0.35">
      <c r="A172" s="297" t="s">
        <v>313</v>
      </c>
      <c r="B172" s="314" t="s">
        <v>256</v>
      </c>
      <c r="C172" s="189"/>
      <c r="D172" s="297"/>
      <c r="E172" s="29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4" customHeight="1" x14ac:dyDescent="0.35">
      <c r="A173" s="297" t="s">
        <v>203</v>
      </c>
      <c r="B173" s="297"/>
      <c r="C173" s="305"/>
      <c r="D173" s="297">
        <f>SUM(C165:C172)</f>
        <v>114985972</v>
      </c>
      <c r="E173" s="29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4" customHeight="1" x14ac:dyDescent="0.35">
      <c r="A174" s="318" t="s">
        <v>314</v>
      </c>
      <c r="B174" s="318"/>
      <c r="C174" s="318"/>
      <c r="D174" s="318"/>
      <c r="E174" s="31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4" customHeight="1" x14ac:dyDescent="0.35">
      <c r="A175" s="297" t="s">
        <v>315</v>
      </c>
      <c r="B175" s="314" t="s">
        <v>256</v>
      </c>
      <c r="C175" s="189">
        <f>11161324.37+794634.73+3922489.33+683201.26-40848+16773.36</f>
        <v>16537575.049999999</v>
      </c>
      <c r="D175" s="297"/>
      <c r="E175" s="29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4" customHeight="1" x14ac:dyDescent="0.35">
      <c r="A176" s="297" t="s">
        <v>316</v>
      </c>
      <c r="B176" s="314" t="s">
        <v>256</v>
      </c>
      <c r="C176" s="189">
        <f>2880+5787210+74970+299581</f>
        <v>6164641</v>
      </c>
      <c r="D176" s="297"/>
      <c r="E176" s="29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4" customHeight="1" x14ac:dyDescent="0.35">
      <c r="A177" s="297" t="s">
        <v>203</v>
      </c>
      <c r="B177" s="297"/>
      <c r="C177" s="305"/>
      <c r="D177" s="297">
        <f>SUM(C175:C176)</f>
        <v>22702216.049999997</v>
      </c>
      <c r="E177" s="29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4" customHeight="1" x14ac:dyDescent="0.35">
      <c r="A178" s="318" t="s">
        <v>317</v>
      </c>
      <c r="B178" s="318"/>
      <c r="C178" s="318"/>
      <c r="D178" s="318"/>
      <c r="E178" s="31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4" customHeight="1" x14ac:dyDescent="0.35">
      <c r="A179" s="297" t="s">
        <v>318</v>
      </c>
      <c r="B179" s="314" t="s">
        <v>256</v>
      </c>
      <c r="C179" s="189">
        <f>1613710+6492938</f>
        <v>8106648</v>
      </c>
      <c r="D179" s="297"/>
      <c r="E179" s="29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4" customHeight="1" x14ac:dyDescent="0.35">
      <c r="A180" s="297" t="s">
        <v>319</v>
      </c>
      <c r="B180" s="314" t="s">
        <v>256</v>
      </c>
      <c r="C180" s="189">
        <f>3581+1946600+736822</f>
        <v>2687003</v>
      </c>
      <c r="D180" s="297"/>
      <c r="E180" s="29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4" customHeight="1" x14ac:dyDescent="0.35">
      <c r="A181" s="297" t="s">
        <v>203</v>
      </c>
      <c r="B181" s="297"/>
      <c r="C181" s="305"/>
      <c r="D181" s="297">
        <f>SUM(C179:C180)</f>
        <v>10793651</v>
      </c>
      <c r="E181" s="29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4" customHeight="1" x14ac:dyDescent="0.35">
      <c r="A182" s="318" t="s">
        <v>320</v>
      </c>
      <c r="B182" s="318"/>
      <c r="C182" s="318"/>
      <c r="D182" s="318"/>
      <c r="E182" s="31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4" customHeight="1" x14ac:dyDescent="0.35">
      <c r="A183" s="297" t="s">
        <v>321</v>
      </c>
      <c r="B183" s="314" t="s">
        <v>256</v>
      </c>
      <c r="C183" s="189">
        <v>1140185.23</v>
      </c>
      <c r="D183" s="297"/>
      <c r="E183" s="29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4" customHeight="1" x14ac:dyDescent="0.35">
      <c r="A184" s="297" t="s">
        <v>322</v>
      </c>
      <c r="B184" s="314" t="s">
        <v>256</v>
      </c>
      <c r="C184" s="189">
        <f>745347.01+23396583.91-419444.57-1967196.63</f>
        <v>21755289.720000003</v>
      </c>
      <c r="D184" s="297"/>
      <c r="E184" s="29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4" customHeight="1" x14ac:dyDescent="0.35">
      <c r="A185" s="297" t="s">
        <v>132</v>
      </c>
      <c r="B185" s="314" t="s">
        <v>256</v>
      </c>
      <c r="C185" s="189"/>
      <c r="D185" s="297"/>
      <c r="E185" s="29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4" customHeight="1" x14ac:dyDescent="0.35">
      <c r="A186" s="297" t="s">
        <v>203</v>
      </c>
      <c r="B186" s="297"/>
      <c r="C186" s="305"/>
      <c r="D186" s="297">
        <f>SUM(C183:C185)</f>
        <v>22895474.950000003</v>
      </c>
      <c r="E186" s="29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4" customHeight="1" x14ac:dyDescent="0.35">
      <c r="A187" s="318" t="s">
        <v>323</v>
      </c>
      <c r="B187" s="318"/>
      <c r="C187" s="318"/>
      <c r="D187" s="318"/>
      <c r="E187" s="31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4" customHeight="1" x14ac:dyDescent="0.35">
      <c r="A188" s="297" t="s">
        <v>324</v>
      </c>
      <c r="B188" s="314" t="s">
        <v>256</v>
      </c>
      <c r="C188" s="189">
        <v>12514134.800000001</v>
      </c>
      <c r="D188" s="297"/>
      <c r="E188" s="29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4" customHeight="1" x14ac:dyDescent="0.35">
      <c r="A189" s="297" t="s">
        <v>325</v>
      </c>
      <c r="B189" s="314" t="s">
        <v>256</v>
      </c>
      <c r="C189" s="189"/>
      <c r="D189" s="297"/>
      <c r="E189" s="29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4" customHeight="1" x14ac:dyDescent="0.35">
      <c r="A190" s="297" t="s">
        <v>203</v>
      </c>
      <c r="B190" s="297"/>
      <c r="C190" s="305"/>
      <c r="D190" s="297">
        <f>SUM(C188:C189)</f>
        <v>12514134.800000001</v>
      </c>
      <c r="E190" s="29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4" customHeight="1" x14ac:dyDescent="0.35">
      <c r="A191" s="297"/>
      <c r="B191" s="297"/>
      <c r="C191" s="305"/>
      <c r="D191" s="297"/>
      <c r="E191" s="29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3" t="s">
        <v>326</v>
      </c>
      <c r="B192" s="313"/>
      <c r="C192" s="313"/>
      <c r="D192" s="313"/>
      <c r="E192" s="3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20" t="s">
        <v>327</v>
      </c>
      <c r="B193" s="313"/>
      <c r="C193" s="313"/>
      <c r="D193" s="313"/>
      <c r="E193" s="3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4"/>
      <c r="B194" s="299" t="s">
        <v>328</v>
      </c>
      <c r="C194" s="298" t="s">
        <v>329</v>
      </c>
      <c r="D194" s="299" t="s">
        <v>330</v>
      </c>
      <c r="E194" s="299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7" t="s">
        <v>332</v>
      </c>
      <c r="B195" s="174">
        <v>40849192.5</v>
      </c>
      <c r="C195" s="189">
        <v>-37260</v>
      </c>
      <c r="D195" s="174"/>
      <c r="E195" s="297">
        <f t="shared" ref="E195:E203" si="10">SUM(B195:C195)-D195</f>
        <v>40811932.5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7" t="s">
        <v>333</v>
      </c>
      <c r="B196" s="174">
        <v>3251770.5</v>
      </c>
      <c r="C196" s="189">
        <v>51010</v>
      </c>
      <c r="D196" s="174"/>
      <c r="E196" s="297">
        <f t="shared" si="10"/>
        <v>3302780.5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7" t="s">
        <v>334</v>
      </c>
      <c r="B197" s="174">
        <v>630139708</v>
      </c>
      <c r="C197" s="189">
        <v>48773471</v>
      </c>
      <c r="D197" s="174"/>
      <c r="E197" s="297">
        <f t="shared" si="10"/>
        <v>678913179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7" t="s">
        <v>335</v>
      </c>
      <c r="B198" s="174">
        <v>42589797</v>
      </c>
      <c r="C198" s="189">
        <v>1898206</v>
      </c>
      <c r="D198" s="174">
        <v>12143</v>
      </c>
      <c r="E198" s="297">
        <f t="shared" si="10"/>
        <v>44475860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7" t="s">
        <v>336</v>
      </c>
      <c r="B199" s="174">
        <v>3797270</v>
      </c>
      <c r="C199" s="189"/>
      <c r="D199" s="174"/>
      <c r="E199" s="297">
        <f t="shared" si="10"/>
        <v>3797270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7" t="s">
        <v>337</v>
      </c>
      <c r="B200" s="174">
        <v>372463875</v>
      </c>
      <c r="C200" s="189">
        <v>31860018</v>
      </c>
      <c r="D200" s="174">
        <v>103389</v>
      </c>
      <c r="E200" s="297">
        <f t="shared" si="10"/>
        <v>404220504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7" t="s">
        <v>338</v>
      </c>
      <c r="B201" s="174">
        <v>19505473</v>
      </c>
      <c r="C201" s="189">
        <v>1949150</v>
      </c>
      <c r="D201" s="174">
        <v>11614</v>
      </c>
      <c r="E201" s="297">
        <f t="shared" si="10"/>
        <v>21443009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7" t="s">
        <v>339</v>
      </c>
      <c r="B202" s="174">
        <v>23236047</v>
      </c>
      <c r="C202" s="189">
        <v>4925844</v>
      </c>
      <c r="D202" s="174">
        <v>208997</v>
      </c>
      <c r="E202" s="297">
        <f t="shared" si="10"/>
        <v>27952894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7" t="s">
        <v>340</v>
      </c>
      <c r="B203" s="174">
        <v>44804258</v>
      </c>
      <c r="C203" s="189"/>
      <c r="D203" s="174">
        <v>26167811</v>
      </c>
      <c r="E203" s="297">
        <f t="shared" si="10"/>
        <v>18636447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7" t="s">
        <v>203</v>
      </c>
      <c r="B204" s="297">
        <f>SUM(B195:B203)</f>
        <v>1180637391</v>
      </c>
      <c r="C204" s="305">
        <f>SUM(C195:C203)</f>
        <v>89420439</v>
      </c>
      <c r="D204" s="297">
        <f>SUM(D195:D203)</f>
        <v>26503954</v>
      </c>
      <c r="E204" s="297">
        <f>SUM(E195:E203)</f>
        <v>1243553876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7"/>
      <c r="B205" s="297"/>
      <c r="C205" s="305"/>
      <c r="D205" s="297"/>
      <c r="E205" s="29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20" t="s">
        <v>341</v>
      </c>
      <c r="B206" s="320"/>
      <c r="C206" s="320"/>
      <c r="D206" s="320"/>
      <c r="E206" s="3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4"/>
      <c r="B207" s="299" t="s">
        <v>328</v>
      </c>
      <c r="C207" s="298" t="s">
        <v>329</v>
      </c>
      <c r="D207" s="299" t="s">
        <v>330</v>
      </c>
      <c r="E207" s="299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7" t="s">
        <v>332</v>
      </c>
      <c r="B208" s="326"/>
      <c r="C208" s="325"/>
      <c r="D208" s="326"/>
      <c r="E208" s="297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7" t="s">
        <v>333</v>
      </c>
      <c r="B209" s="174">
        <v>1259088</v>
      </c>
      <c r="C209" s="189">
        <v>100655</v>
      </c>
      <c r="D209" s="174"/>
      <c r="E209" s="297">
        <f t="shared" ref="E209:E216" si="11">SUM(B209:C209)-D209</f>
        <v>1359743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7" t="s">
        <v>334</v>
      </c>
      <c r="B210" s="174">
        <v>250483310</v>
      </c>
      <c r="C210" s="189">
        <v>19994281</v>
      </c>
      <c r="D210" s="174"/>
      <c r="E210" s="297">
        <f t="shared" si="11"/>
        <v>270477591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7" t="s">
        <v>335</v>
      </c>
      <c r="B211" s="174">
        <v>37699920</v>
      </c>
      <c r="C211" s="189">
        <v>840996</v>
      </c>
      <c r="D211" s="174"/>
      <c r="E211" s="297">
        <f t="shared" si="11"/>
        <v>38540916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7" t="s">
        <v>336</v>
      </c>
      <c r="B212" s="174">
        <v>3797270</v>
      </c>
      <c r="C212" s="189"/>
      <c r="D212" s="174"/>
      <c r="E212" s="297">
        <f t="shared" si="11"/>
        <v>3797270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7" t="s">
        <v>337</v>
      </c>
      <c r="B213" s="174">
        <v>308382451</v>
      </c>
      <c r="C213" s="189">
        <v>18490918</v>
      </c>
      <c r="D213" s="174"/>
      <c r="E213" s="297">
        <f t="shared" si="11"/>
        <v>326873369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7" t="s">
        <v>338</v>
      </c>
      <c r="B214" s="174">
        <v>17524885</v>
      </c>
      <c r="C214" s="189">
        <v>1397626</v>
      </c>
      <c r="D214" s="174"/>
      <c r="E214" s="297">
        <f t="shared" si="11"/>
        <v>18922511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7" t="s">
        <v>339</v>
      </c>
      <c r="B215" s="174">
        <v>17263640</v>
      </c>
      <c r="C215" s="189">
        <v>2320727</v>
      </c>
      <c r="D215" s="174">
        <v>4296371</v>
      </c>
      <c r="E215" s="297">
        <f t="shared" si="11"/>
        <v>15287996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7" t="s">
        <v>340</v>
      </c>
      <c r="B216" s="174"/>
      <c r="C216" s="189"/>
      <c r="D216" s="174"/>
      <c r="E216" s="297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7" t="s">
        <v>203</v>
      </c>
      <c r="B217" s="297">
        <f>SUM(B208:B216)</f>
        <v>636410564</v>
      </c>
      <c r="C217" s="305">
        <f>SUM(C208:C216)</f>
        <v>43145203</v>
      </c>
      <c r="D217" s="297">
        <f>SUM(D208:D216)</f>
        <v>4296371</v>
      </c>
      <c r="E217" s="297">
        <f>SUM(E208:E216)</f>
        <v>675259396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7"/>
      <c r="B218" s="297"/>
      <c r="C218" s="305"/>
      <c r="D218" s="297"/>
      <c r="E218" s="29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3" t="s">
        <v>342</v>
      </c>
      <c r="B219" s="313"/>
      <c r="C219" s="313"/>
      <c r="D219" s="313"/>
      <c r="E219" s="3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3"/>
      <c r="B220" s="355" t="s">
        <v>1254</v>
      </c>
      <c r="C220" s="355"/>
      <c r="D220" s="313"/>
      <c r="E220" s="3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7" t="s">
        <v>1254</v>
      </c>
      <c r="B221" s="313"/>
      <c r="C221" s="189">
        <v>97685</v>
      </c>
      <c r="D221" s="314">
        <f>C221</f>
        <v>97685</v>
      </c>
      <c r="E221" s="3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8" t="s">
        <v>343</v>
      </c>
      <c r="B222" s="318"/>
      <c r="C222" s="318"/>
      <c r="D222" s="318"/>
      <c r="E222" s="31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7" t="s">
        <v>344</v>
      </c>
      <c r="B223" s="314" t="s">
        <v>256</v>
      </c>
      <c r="C223" s="189">
        <v>832246691</v>
      </c>
      <c r="D223" s="297"/>
      <c r="E223" s="29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7" t="s">
        <v>345</v>
      </c>
      <c r="B224" s="314" t="s">
        <v>256</v>
      </c>
      <c r="C224" s="189">
        <v>142648105</v>
      </c>
      <c r="D224" s="297"/>
      <c r="E224" s="29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7" t="s">
        <v>346</v>
      </c>
      <c r="B225" s="314" t="s">
        <v>256</v>
      </c>
      <c r="C225" s="189">
        <v>14077302</v>
      </c>
      <c r="D225" s="297"/>
      <c r="E225" s="29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7" t="s">
        <v>347</v>
      </c>
      <c r="B226" s="314" t="s">
        <v>256</v>
      </c>
      <c r="C226" s="189">
        <v>26728984</v>
      </c>
      <c r="D226" s="297"/>
      <c r="E226" s="29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7" t="s">
        <v>348</v>
      </c>
      <c r="B227" s="314" t="s">
        <v>256</v>
      </c>
      <c r="C227" s="189">
        <v>359373724</v>
      </c>
      <c r="D227" s="297"/>
      <c r="E227" s="29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7" t="s">
        <v>349</v>
      </c>
      <c r="B228" s="314" t="s">
        <v>256</v>
      </c>
      <c r="C228" s="189"/>
      <c r="D228" s="297"/>
      <c r="E228" s="29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7" t="s">
        <v>350</v>
      </c>
      <c r="B229" s="297"/>
      <c r="C229" s="305"/>
      <c r="D229" s="297">
        <f>SUM(C223:C228)</f>
        <v>1375074806</v>
      </c>
      <c r="E229" s="29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8" t="s">
        <v>351</v>
      </c>
      <c r="B230" s="318"/>
      <c r="C230" s="318"/>
      <c r="D230" s="318"/>
      <c r="E230" s="31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4" t="s">
        <v>352</v>
      </c>
      <c r="B231" s="314" t="s">
        <v>256</v>
      </c>
      <c r="C231" s="189">
        <v>8971</v>
      </c>
      <c r="D231" s="297"/>
      <c r="E231" s="29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4"/>
      <c r="B232" s="314"/>
      <c r="C232" s="305"/>
      <c r="D232" s="297"/>
      <c r="E232" s="29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4" t="s">
        <v>353</v>
      </c>
      <c r="B233" s="314" t="s">
        <v>256</v>
      </c>
      <c r="C233" s="189">
        <v>4878529</v>
      </c>
      <c r="D233" s="297"/>
      <c r="E233" s="29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4" t="s">
        <v>354</v>
      </c>
      <c r="B234" s="314" t="s">
        <v>256</v>
      </c>
      <c r="C234" s="189">
        <v>15887384</v>
      </c>
      <c r="D234" s="297"/>
      <c r="E234" s="29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7"/>
      <c r="B235" s="297"/>
      <c r="C235" s="305"/>
      <c r="D235" s="297"/>
      <c r="E235" s="29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4" t="s">
        <v>355</v>
      </c>
      <c r="B236" s="297"/>
      <c r="C236" s="305"/>
      <c r="D236" s="297">
        <f>SUM(C233:C235)</f>
        <v>20765913</v>
      </c>
      <c r="E236" s="29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8" t="s">
        <v>356</v>
      </c>
      <c r="B237" s="318"/>
      <c r="C237" s="318"/>
      <c r="D237" s="318"/>
      <c r="E237" s="31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7" t="s">
        <v>357</v>
      </c>
      <c r="B238" s="314" t="s">
        <v>256</v>
      </c>
      <c r="C238" s="189">
        <v>62966997</v>
      </c>
      <c r="D238" s="297"/>
      <c r="E238" s="29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7" t="s">
        <v>356</v>
      </c>
      <c r="B239" s="314" t="s">
        <v>256</v>
      </c>
      <c r="C239" s="189">
        <f>33842584+13369</f>
        <v>33855953</v>
      </c>
      <c r="D239" s="297"/>
      <c r="E239" s="29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7" t="s">
        <v>358</v>
      </c>
      <c r="B240" s="297"/>
      <c r="C240" s="305"/>
      <c r="D240" s="297">
        <f>SUM(C238:C239)</f>
        <v>96822950</v>
      </c>
      <c r="E240" s="29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7"/>
      <c r="B241" s="297"/>
      <c r="C241" s="305"/>
      <c r="D241" s="297"/>
      <c r="E241" s="29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7" t="s">
        <v>359</v>
      </c>
      <c r="B242" s="297"/>
      <c r="C242" s="305"/>
      <c r="D242" s="297">
        <f>D221+D229+D236+D240</f>
        <v>1492761354</v>
      </c>
      <c r="E242" s="297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7"/>
      <c r="B243" s="297"/>
      <c r="C243" s="305"/>
      <c r="D243" s="297"/>
      <c r="E243" s="29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7"/>
      <c r="B244" s="297"/>
      <c r="C244" s="305"/>
      <c r="D244" s="297"/>
      <c r="E244" s="29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7"/>
      <c r="B245" s="297"/>
      <c r="C245" s="305"/>
      <c r="D245" s="297"/>
      <c r="E245" s="29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7"/>
      <c r="B246" s="297"/>
      <c r="C246" s="305"/>
      <c r="D246" s="297"/>
      <c r="E246" s="29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7"/>
      <c r="B247" s="297"/>
      <c r="C247" s="305"/>
      <c r="D247" s="297"/>
      <c r="E247" s="29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3" t="s">
        <v>360</v>
      </c>
      <c r="B248" s="313"/>
      <c r="C248" s="313"/>
      <c r="D248" s="313"/>
      <c r="E248" s="3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8" t="s">
        <v>361</v>
      </c>
      <c r="B249" s="318"/>
      <c r="C249" s="318"/>
      <c r="D249" s="318"/>
      <c r="E249" s="31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7" t="s">
        <v>362</v>
      </c>
      <c r="B250" s="314" t="s">
        <v>256</v>
      </c>
      <c r="C250" s="189">
        <v>205449979</v>
      </c>
      <c r="D250" s="297"/>
      <c r="E250" s="29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7" t="s">
        <v>363</v>
      </c>
      <c r="B251" s="314" t="s">
        <v>256</v>
      </c>
      <c r="C251" s="189"/>
      <c r="D251" s="297"/>
      <c r="E251" s="29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7" t="s">
        <v>364</v>
      </c>
      <c r="B252" s="314" t="s">
        <v>256</v>
      </c>
      <c r="C252" s="189">
        <v>298232098</v>
      </c>
      <c r="D252" s="297"/>
      <c r="E252" s="29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7" t="s">
        <v>365</v>
      </c>
      <c r="B253" s="314" t="s">
        <v>256</v>
      </c>
      <c r="C253" s="189">
        <v>191870079</v>
      </c>
      <c r="D253" s="297"/>
      <c r="E253" s="29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7" t="s">
        <v>1240</v>
      </c>
      <c r="B254" s="314" t="s">
        <v>256</v>
      </c>
      <c r="C254" s="189"/>
      <c r="D254" s="297"/>
      <c r="E254" s="29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7" t="s">
        <v>366</v>
      </c>
      <c r="B255" s="314" t="s">
        <v>256</v>
      </c>
      <c r="C255" s="189">
        <f>12235190+4280248</f>
        <v>16515438</v>
      </c>
      <c r="D255" s="297"/>
      <c r="E255" s="29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7" t="s">
        <v>367</v>
      </c>
      <c r="B256" s="314" t="s">
        <v>256</v>
      </c>
      <c r="C256" s="189"/>
      <c r="D256" s="297"/>
      <c r="E256" s="29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7" t="s">
        <v>368</v>
      </c>
      <c r="B257" s="314" t="s">
        <v>256</v>
      </c>
      <c r="C257" s="189">
        <v>22339149</v>
      </c>
      <c r="D257" s="297"/>
      <c r="E257" s="29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7" t="s">
        <v>369</v>
      </c>
      <c r="B258" s="314" t="s">
        <v>256</v>
      </c>
      <c r="C258" s="189">
        <v>5292650</v>
      </c>
      <c r="D258" s="297"/>
      <c r="E258" s="29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7" t="s">
        <v>370</v>
      </c>
      <c r="B259" s="314" t="s">
        <v>256</v>
      </c>
      <c r="C259" s="189">
        <v>9678115</v>
      </c>
      <c r="D259" s="297"/>
      <c r="E259" s="29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7" t="s">
        <v>371</v>
      </c>
      <c r="B260" s="297"/>
      <c r="C260" s="305"/>
      <c r="D260" s="297">
        <f>SUM(C250:C252)-C253+SUM(C254:C259)</f>
        <v>365637350</v>
      </c>
      <c r="E260" s="297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8" t="s">
        <v>372</v>
      </c>
      <c r="B261" s="318"/>
      <c r="C261" s="318"/>
      <c r="D261" s="318"/>
      <c r="E261" s="31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7" t="s">
        <v>362</v>
      </c>
      <c r="B262" s="314" t="s">
        <v>256</v>
      </c>
      <c r="C262" s="189"/>
      <c r="D262" s="297"/>
      <c r="E262" s="29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7" t="s">
        <v>363</v>
      </c>
      <c r="B263" s="314" t="s">
        <v>256</v>
      </c>
      <c r="C263" s="189">
        <v>404681467</v>
      </c>
      <c r="D263" s="297"/>
      <c r="E263" s="29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7" t="s">
        <v>373</v>
      </c>
      <c r="B264" s="314" t="s">
        <v>256</v>
      </c>
      <c r="C264" s="189">
        <v>13996433</v>
      </c>
      <c r="D264" s="297"/>
      <c r="E264" s="29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7" t="s">
        <v>374</v>
      </c>
      <c r="B265" s="297"/>
      <c r="C265" s="305"/>
      <c r="D265" s="297">
        <f>SUM(C262:C264)</f>
        <v>418677900</v>
      </c>
      <c r="E265" s="29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8" t="s">
        <v>375</v>
      </c>
      <c r="B266" s="318"/>
      <c r="C266" s="318"/>
      <c r="D266" s="318"/>
      <c r="E266" s="31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7" t="s">
        <v>332</v>
      </c>
      <c r="B267" s="314" t="s">
        <v>256</v>
      </c>
      <c r="C267" s="189">
        <v>40847329.5</v>
      </c>
      <c r="D267" s="297"/>
      <c r="E267" s="297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7" t="s">
        <v>333</v>
      </c>
      <c r="B268" s="314" t="s">
        <v>256</v>
      </c>
      <c r="C268" s="189">
        <v>3267381.5</v>
      </c>
      <c r="D268" s="297"/>
      <c r="E268" s="297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7" t="s">
        <v>334</v>
      </c>
      <c r="B269" s="314" t="s">
        <v>256</v>
      </c>
      <c r="C269" s="189">
        <v>678913179.39999998</v>
      </c>
      <c r="D269" s="297"/>
      <c r="E269" s="297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7" t="s">
        <v>376</v>
      </c>
      <c r="B270" s="314" t="s">
        <v>256</v>
      </c>
      <c r="C270" s="189">
        <v>44475859</v>
      </c>
      <c r="D270" s="297"/>
      <c r="E270" s="297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7" t="s">
        <v>377</v>
      </c>
      <c r="B271" s="314" t="s">
        <v>256</v>
      </c>
      <c r="C271" s="189">
        <v>3797270.4</v>
      </c>
      <c r="D271" s="297"/>
      <c r="E271" s="29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7" t="s">
        <v>378</v>
      </c>
      <c r="B272" s="314" t="s">
        <v>256</v>
      </c>
      <c r="C272" s="189">
        <v>425663513.39999998</v>
      </c>
      <c r="D272" s="297"/>
      <c r="E272" s="29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7" t="s">
        <v>339</v>
      </c>
      <c r="B273" s="314" t="s">
        <v>256</v>
      </c>
      <c r="C273" s="189">
        <v>27952894.5</v>
      </c>
      <c r="D273" s="297"/>
      <c r="E273" s="297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7" t="s">
        <v>340</v>
      </c>
      <c r="B274" s="314" t="s">
        <v>256</v>
      </c>
      <c r="C274" s="189">
        <v>18636447</v>
      </c>
      <c r="D274" s="297"/>
      <c r="E274" s="297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7" t="s">
        <v>379</v>
      </c>
      <c r="B275" s="297"/>
      <c r="C275" s="305"/>
      <c r="D275" s="297">
        <f>SUM(C267:C274)</f>
        <v>1243553874.6999998</v>
      </c>
      <c r="E275" s="29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7" t="s">
        <v>380</v>
      </c>
      <c r="B276" s="314" t="s">
        <v>256</v>
      </c>
      <c r="C276" s="189">
        <v>675259395.5</v>
      </c>
      <c r="D276" s="297"/>
      <c r="E276" s="29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7" t="s">
        <v>381</v>
      </c>
      <c r="B277" s="297"/>
      <c r="C277" s="305"/>
      <c r="D277" s="297">
        <f>D275-C276</f>
        <v>568294479.19999981</v>
      </c>
      <c r="E277" s="29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8" t="s">
        <v>382</v>
      </c>
      <c r="B278" s="318"/>
      <c r="C278" s="318"/>
      <c r="D278" s="318"/>
      <c r="E278" s="31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7" t="s">
        <v>383</v>
      </c>
      <c r="B279" s="314" t="s">
        <v>256</v>
      </c>
      <c r="C279" s="189"/>
      <c r="D279" s="297"/>
      <c r="E279" s="297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7" t="s">
        <v>384</v>
      </c>
      <c r="B280" s="314" t="s">
        <v>256</v>
      </c>
      <c r="C280" s="189"/>
      <c r="D280" s="297"/>
      <c r="E280" s="297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7" t="s">
        <v>385</v>
      </c>
      <c r="B281" s="314" t="s">
        <v>256</v>
      </c>
      <c r="C281" s="189"/>
      <c r="D281" s="297"/>
      <c r="E281" s="297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7" t="s">
        <v>373</v>
      </c>
      <c r="B282" s="314" t="s">
        <v>256</v>
      </c>
      <c r="C282" s="189">
        <v>69844414</v>
      </c>
      <c r="D282" s="297"/>
      <c r="E282" s="297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7" t="s">
        <v>386</v>
      </c>
      <c r="B283" s="297"/>
      <c r="C283" s="305"/>
      <c r="D283" s="297">
        <f>C279-C280+C281+C282</f>
        <v>69844414</v>
      </c>
      <c r="E283" s="297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7"/>
      <c r="B284" s="297"/>
      <c r="C284" s="305"/>
      <c r="D284" s="297"/>
      <c r="E284" s="29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8" t="s">
        <v>387</v>
      </c>
      <c r="B285" s="318"/>
      <c r="C285" s="318"/>
      <c r="D285" s="318"/>
      <c r="E285" s="31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7" t="s">
        <v>388</v>
      </c>
      <c r="B286" s="314" t="s">
        <v>256</v>
      </c>
      <c r="C286" s="189"/>
      <c r="D286" s="297"/>
      <c r="E286" s="297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7" t="s">
        <v>389</v>
      </c>
      <c r="B287" s="314" t="s">
        <v>256</v>
      </c>
      <c r="C287" s="189"/>
      <c r="D287" s="297"/>
      <c r="E287" s="297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7" t="s">
        <v>390</v>
      </c>
      <c r="B288" s="314" t="s">
        <v>256</v>
      </c>
      <c r="C288" s="189"/>
      <c r="D288" s="297"/>
      <c r="E288" s="29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7" t="s">
        <v>391</v>
      </c>
      <c r="B289" s="314" t="s">
        <v>256</v>
      </c>
      <c r="C289" s="189">
        <v>9437955</v>
      </c>
      <c r="D289" s="297"/>
      <c r="E289" s="29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7" t="s">
        <v>392</v>
      </c>
      <c r="B290" s="297"/>
      <c r="C290" s="305"/>
      <c r="D290" s="297">
        <f>SUM(C286:C289)</f>
        <v>9437955</v>
      </c>
      <c r="E290" s="29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7"/>
      <c r="B291" s="297"/>
      <c r="C291" s="305"/>
      <c r="D291" s="297"/>
      <c r="E291" s="29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7" t="s">
        <v>393</v>
      </c>
      <c r="B292" s="297"/>
      <c r="C292" s="305"/>
      <c r="D292" s="297">
        <f>D260+D265+D277+D283+D290</f>
        <v>1431892098.1999998</v>
      </c>
      <c r="E292" s="29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7"/>
      <c r="B293" s="297"/>
      <c r="C293" s="305"/>
      <c r="D293" s="297"/>
      <c r="E293" s="29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7"/>
      <c r="B294" s="297"/>
      <c r="C294" s="305"/>
      <c r="D294" s="297"/>
      <c r="E294" s="29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7"/>
      <c r="B295" s="297"/>
      <c r="C295" s="305"/>
      <c r="D295" s="297"/>
      <c r="E295" s="29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7"/>
      <c r="B296" s="297"/>
      <c r="C296" s="305"/>
      <c r="D296" s="297"/>
      <c r="E296" s="29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7"/>
      <c r="B297" s="297"/>
      <c r="C297" s="305"/>
      <c r="D297" s="297"/>
      <c r="E297" s="29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7"/>
      <c r="B298" s="297"/>
      <c r="C298" s="305"/>
      <c r="D298" s="297"/>
      <c r="E298" s="29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7"/>
      <c r="B299" s="297"/>
      <c r="C299" s="305"/>
      <c r="D299" s="297"/>
      <c r="E299" s="29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7"/>
      <c r="B300" s="297"/>
      <c r="C300" s="305"/>
      <c r="D300" s="297"/>
      <c r="E300" s="29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7"/>
      <c r="B301" s="297"/>
      <c r="C301" s="305"/>
      <c r="D301" s="297"/>
      <c r="E301" s="29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3" t="s">
        <v>394</v>
      </c>
      <c r="B302" s="313"/>
      <c r="C302" s="313"/>
      <c r="D302" s="313"/>
      <c r="E302" s="3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8" t="s">
        <v>395</v>
      </c>
      <c r="B303" s="318"/>
      <c r="C303" s="318"/>
      <c r="D303" s="318"/>
      <c r="E303" s="31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7" t="s">
        <v>396</v>
      </c>
      <c r="B304" s="314" t="s">
        <v>256</v>
      </c>
      <c r="C304" s="189"/>
      <c r="D304" s="297"/>
      <c r="E304" s="29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7" t="s">
        <v>397</v>
      </c>
      <c r="B305" s="314" t="s">
        <v>256</v>
      </c>
      <c r="C305" s="189">
        <v>55165152</v>
      </c>
      <c r="D305" s="297"/>
      <c r="E305" s="29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7" t="s">
        <v>398</v>
      </c>
      <c r="B306" s="314" t="s">
        <v>256</v>
      </c>
      <c r="C306" s="189">
        <v>77200417</v>
      </c>
      <c r="D306" s="297"/>
      <c r="E306" s="29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7" t="s">
        <v>399</v>
      </c>
      <c r="B307" s="314" t="s">
        <v>256</v>
      </c>
      <c r="C307" s="189">
        <v>7258586</v>
      </c>
      <c r="D307" s="297"/>
      <c r="E307" s="29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7" t="s">
        <v>400</v>
      </c>
      <c r="B308" s="314" t="s">
        <v>256</v>
      </c>
      <c r="C308" s="189"/>
      <c r="D308" s="297"/>
      <c r="E308" s="29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7" t="s">
        <v>1241</v>
      </c>
      <c r="B309" s="314" t="s">
        <v>256</v>
      </c>
      <c r="C309" s="189">
        <v>112366210</v>
      </c>
      <c r="D309" s="297"/>
      <c r="E309" s="29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7" t="s">
        <v>401</v>
      </c>
      <c r="B310" s="314" t="s">
        <v>256</v>
      </c>
      <c r="C310" s="189"/>
      <c r="D310" s="297"/>
      <c r="E310" s="29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7" t="s">
        <v>402</v>
      </c>
      <c r="B311" s="314" t="s">
        <v>256</v>
      </c>
      <c r="C311" s="189"/>
      <c r="D311" s="297"/>
      <c r="E311" s="29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7" t="s">
        <v>403</v>
      </c>
      <c r="B312" s="314" t="s">
        <v>256</v>
      </c>
      <c r="C312" s="189">
        <v>40317666</v>
      </c>
      <c r="D312" s="297"/>
      <c r="E312" s="29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7" t="s">
        <v>404</v>
      </c>
      <c r="B313" s="314" t="s">
        <v>256</v>
      </c>
      <c r="C313" s="189"/>
      <c r="D313" s="297"/>
      <c r="E313" s="297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7" t="s">
        <v>405</v>
      </c>
      <c r="B314" s="297"/>
      <c r="C314" s="305"/>
      <c r="D314" s="297">
        <f>SUM(C304:C313)</f>
        <v>292308031</v>
      </c>
      <c r="E314" s="29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8" t="s">
        <v>406</v>
      </c>
      <c r="B315" s="318"/>
      <c r="C315" s="318"/>
      <c r="D315" s="318"/>
      <c r="E315" s="31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7" t="s">
        <v>407</v>
      </c>
      <c r="B316" s="314" t="s">
        <v>256</v>
      </c>
      <c r="C316" s="189"/>
      <c r="D316" s="297"/>
      <c r="E316" s="29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7" t="s">
        <v>408</v>
      </c>
      <c r="B317" s="314" t="s">
        <v>256</v>
      </c>
      <c r="C317" s="189"/>
      <c r="D317" s="297"/>
      <c r="E317" s="29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7" t="s">
        <v>409</v>
      </c>
      <c r="B318" s="314" t="s">
        <v>256</v>
      </c>
      <c r="C318" s="189"/>
      <c r="D318" s="297"/>
      <c r="E318" s="297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7" t="s">
        <v>410</v>
      </c>
      <c r="B319" s="297"/>
      <c r="C319" s="305"/>
      <c r="D319" s="297">
        <f>SUM(C316:C318)</f>
        <v>0</v>
      </c>
      <c r="E319" s="297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8" t="s">
        <v>411</v>
      </c>
      <c r="B320" s="318"/>
      <c r="C320" s="318"/>
      <c r="D320" s="318"/>
      <c r="E320" s="31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7" t="s">
        <v>412</v>
      </c>
      <c r="B321" s="314" t="s">
        <v>256</v>
      </c>
      <c r="C321" s="189"/>
      <c r="D321" s="297"/>
      <c r="E321" s="297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7" t="s">
        <v>413</v>
      </c>
      <c r="B322" s="314" t="s">
        <v>256</v>
      </c>
      <c r="C322" s="189"/>
      <c r="D322" s="297"/>
      <c r="E322" s="297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7" t="s">
        <v>414</v>
      </c>
      <c r="B323" s="314" t="s">
        <v>256</v>
      </c>
      <c r="C323" s="189"/>
      <c r="D323" s="297"/>
      <c r="E323" s="29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4" t="s">
        <v>415</v>
      </c>
      <c r="B324" s="314" t="s">
        <v>256</v>
      </c>
      <c r="C324" s="189"/>
      <c r="D324" s="297"/>
      <c r="E324" s="29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7" t="s">
        <v>416</v>
      </c>
      <c r="B325" s="314" t="s">
        <v>256</v>
      </c>
      <c r="C325" s="189">
        <v>413453431</v>
      </c>
      <c r="D325" s="297"/>
      <c r="E325" s="297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4" t="s">
        <v>417</v>
      </c>
      <c r="B326" s="314" t="s">
        <v>256</v>
      </c>
      <c r="C326" s="189"/>
      <c r="D326" s="297"/>
      <c r="E326" s="297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7" t="s">
        <v>418</v>
      </c>
      <c r="B327" s="314" t="s">
        <v>256</v>
      </c>
      <c r="C327" s="189">
        <v>163032094</v>
      </c>
      <c r="D327" s="297"/>
      <c r="E327" s="29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7" t="s">
        <v>203</v>
      </c>
      <c r="B328" s="297"/>
      <c r="C328" s="305"/>
      <c r="D328" s="297">
        <f>SUM(C321:C327)</f>
        <v>576485525</v>
      </c>
      <c r="E328" s="29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7" t="s">
        <v>419</v>
      </c>
      <c r="B329" s="297"/>
      <c r="C329" s="305"/>
      <c r="D329" s="297">
        <f>C313</f>
        <v>0</v>
      </c>
      <c r="E329" s="29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7" t="s">
        <v>420</v>
      </c>
      <c r="B330" s="297"/>
      <c r="C330" s="305"/>
      <c r="D330" s="297">
        <f>D328-D329</f>
        <v>576485525</v>
      </c>
      <c r="E330" s="29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7"/>
      <c r="B331" s="297"/>
      <c r="C331" s="305"/>
      <c r="D331" s="297"/>
      <c r="E331" s="29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7" t="s">
        <v>421</v>
      </c>
      <c r="B332" s="314" t="s">
        <v>256</v>
      </c>
      <c r="C332" s="222">
        <v>563098542</v>
      </c>
      <c r="D332" s="297"/>
      <c r="E332" s="29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7"/>
      <c r="B333" s="314"/>
      <c r="C333" s="232"/>
      <c r="D333" s="297"/>
      <c r="E333" s="29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7" t="s">
        <v>1142</v>
      </c>
      <c r="B334" s="314" t="s">
        <v>256</v>
      </c>
      <c r="C334" s="222">
        <v>0</v>
      </c>
      <c r="D334" s="297"/>
      <c r="E334" s="29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7" t="s">
        <v>1143</v>
      </c>
      <c r="B335" s="314" t="s">
        <v>256</v>
      </c>
      <c r="C335" s="222">
        <v>0</v>
      </c>
      <c r="D335" s="297"/>
      <c r="E335" s="297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7" t="s">
        <v>423</v>
      </c>
      <c r="B336" s="314" t="s">
        <v>256</v>
      </c>
      <c r="C336" s="222">
        <v>0</v>
      </c>
      <c r="D336" s="297"/>
      <c r="E336" s="29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7" t="s">
        <v>422</v>
      </c>
      <c r="B337" s="314" t="s">
        <v>256</v>
      </c>
      <c r="C337" s="189">
        <v>0</v>
      </c>
      <c r="D337" s="297"/>
      <c r="E337" s="29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7" t="s">
        <v>1252</v>
      </c>
      <c r="B338" s="314" t="s">
        <v>256</v>
      </c>
      <c r="C338" s="189">
        <v>0</v>
      </c>
      <c r="D338" s="297"/>
      <c r="E338" s="297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7" t="s">
        <v>424</v>
      </c>
      <c r="B339" s="297"/>
      <c r="C339" s="305"/>
      <c r="D339" s="297">
        <f>D314+D319+D330+C332+C336+C337</f>
        <v>1431892098</v>
      </c>
      <c r="E339" s="297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7"/>
      <c r="B340" s="297"/>
      <c r="C340" s="305"/>
      <c r="D340" s="297"/>
      <c r="E340" s="29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7" t="s">
        <v>425</v>
      </c>
      <c r="B341" s="297"/>
      <c r="C341" s="305"/>
      <c r="D341" s="297">
        <f>D292</f>
        <v>1431892098.1999998</v>
      </c>
      <c r="E341" s="29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7"/>
      <c r="B342" s="297"/>
      <c r="C342" s="305"/>
      <c r="D342" s="297"/>
      <c r="E342" s="29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7"/>
      <c r="B343" s="297"/>
      <c r="C343" s="305"/>
      <c r="D343" s="297"/>
      <c r="E343" s="29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7"/>
      <c r="B344" s="297"/>
      <c r="C344" s="305"/>
      <c r="D344" s="297"/>
      <c r="E344" s="29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7"/>
      <c r="B345" s="297"/>
      <c r="C345" s="305"/>
      <c r="D345" s="297"/>
      <c r="E345" s="29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7"/>
      <c r="B346" s="297"/>
      <c r="C346" s="305"/>
      <c r="D346" s="297"/>
      <c r="E346" s="29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7"/>
      <c r="B347" s="297"/>
      <c r="C347" s="305"/>
      <c r="D347" s="297"/>
      <c r="E347" s="29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7"/>
      <c r="B348" s="297"/>
      <c r="C348" s="305"/>
      <c r="D348" s="297"/>
      <c r="E348" s="297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7"/>
      <c r="B349" s="297"/>
      <c r="C349" s="305"/>
      <c r="D349" s="297"/>
      <c r="E349" s="29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7"/>
      <c r="B350" s="297"/>
      <c r="C350" s="305"/>
      <c r="D350" s="297"/>
      <c r="E350" s="29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7"/>
      <c r="B351" s="297"/>
      <c r="C351" s="305"/>
      <c r="D351" s="297"/>
      <c r="E351" s="297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7"/>
      <c r="B352" s="297"/>
      <c r="C352" s="305"/>
      <c r="D352" s="297"/>
      <c r="E352" s="297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7"/>
      <c r="B353" s="297"/>
      <c r="C353" s="305"/>
      <c r="D353" s="297"/>
      <c r="E353" s="29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7"/>
      <c r="B354" s="297"/>
      <c r="C354" s="305"/>
      <c r="D354" s="297"/>
      <c r="E354" s="29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7"/>
      <c r="B355" s="297"/>
      <c r="C355" s="305"/>
      <c r="D355" s="297"/>
      <c r="E355" s="29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7"/>
      <c r="B356" s="297"/>
      <c r="C356" s="305"/>
      <c r="D356" s="297"/>
      <c r="E356" s="29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3" t="s">
        <v>426</v>
      </c>
      <c r="B357" s="313"/>
      <c r="C357" s="313"/>
      <c r="D357" s="313"/>
      <c r="E357" s="3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8" t="s">
        <v>427</v>
      </c>
      <c r="B358" s="318"/>
      <c r="C358" s="318"/>
      <c r="D358" s="318"/>
      <c r="E358" s="31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7" t="s">
        <v>428</v>
      </c>
      <c r="B359" s="314" t="s">
        <v>256</v>
      </c>
      <c r="C359" s="189">
        <f>E141+E147</f>
        <v>764331506</v>
      </c>
      <c r="D359" s="297"/>
      <c r="E359" s="29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7" t="s">
        <v>429</v>
      </c>
      <c r="B360" s="314" t="s">
        <v>256</v>
      </c>
      <c r="C360" s="189">
        <f>E142+E148</f>
        <v>1769883583</v>
      </c>
      <c r="D360" s="297"/>
      <c r="E360" s="29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7" t="s">
        <v>430</v>
      </c>
      <c r="B361" s="297"/>
      <c r="C361" s="305"/>
      <c r="D361" s="297">
        <f>SUM(C359:C360)</f>
        <v>2534215089</v>
      </c>
      <c r="E361" s="297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8" t="s">
        <v>431</v>
      </c>
      <c r="B362" s="318"/>
      <c r="C362" s="318"/>
      <c r="D362" s="318"/>
      <c r="E362" s="31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7" t="s">
        <v>1254</v>
      </c>
      <c r="B363" s="318"/>
      <c r="C363" s="189">
        <f>D221</f>
        <v>97685</v>
      </c>
      <c r="D363" s="297"/>
      <c r="E363" s="31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7" t="s">
        <v>432</v>
      </c>
      <c r="B364" s="314" t="s">
        <v>256</v>
      </c>
      <c r="C364" s="189">
        <f>D229</f>
        <v>1375074806</v>
      </c>
      <c r="D364" s="297"/>
      <c r="E364" s="297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7" t="s">
        <v>433</v>
      </c>
      <c r="B365" s="314" t="s">
        <v>256</v>
      </c>
      <c r="C365" s="189">
        <f>D236</f>
        <v>20765913</v>
      </c>
      <c r="D365" s="297"/>
      <c r="E365" s="297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7" t="s">
        <v>434</v>
      </c>
      <c r="B366" s="314" t="s">
        <v>256</v>
      </c>
      <c r="C366" s="189">
        <f>D240</f>
        <v>96822950</v>
      </c>
      <c r="D366" s="297"/>
      <c r="E366" s="29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7" t="s">
        <v>359</v>
      </c>
      <c r="B367" s="297"/>
      <c r="C367" s="305"/>
      <c r="D367" s="297">
        <f>SUM(C363:C366)</f>
        <v>1492761354</v>
      </c>
      <c r="E367" s="29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7" t="s">
        <v>435</v>
      </c>
      <c r="B368" s="297"/>
      <c r="C368" s="305"/>
      <c r="D368" s="297">
        <f>D361-D367</f>
        <v>1041453735</v>
      </c>
      <c r="E368" s="29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8" t="s">
        <v>436</v>
      </c>
      <c r="B369" s="318"/>
      <c r="C369" s="318"/>
      <c r="D369" s="318"/>
      <c r="E369" s="31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7" t="s">
        <v>437</v>
      </c>
      <c r="B370" s="314" t="s">
        <v>256</v>
      </c>
      <c r="C370" s="189">
        <f>CE70</f>
        <v>111243066</v>
      </c>
      <c r="D370" s="297"/>
      <c r="E370" s="297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7" t="s">
        <v>438</v>
      </c>
      <c r="B371" s="314" t="s">
        <v>256</v>
      </c>
      <c r="C371" s="189"/>
      <c r="D371" s="297"/>
      <c r="E371" s="297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7" t="s">
        <v>439</v>
      </c>
      <c r="B372" s="297"/>
      <c r="C372" s="305"/>
      <c r="D372" s="297">
        <f>SUM(C370:C371)</f>
        <v>111243066</v>
      </c>
      <c r="E372" s="297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7" t="s">
        <v>440</v>
      </c>
      <c r="B373" s="297"/>
      <c r="C373" s="305"/>
      <c r="D373" s="297">
        <f>D368+D372</f>
        <v>1152696801</v>
      </c>
      <c r="E373" s="297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7"/>
      <c r="B374" s="297"/>
      <c r="C374" s="305"/>
      <c r="D374" s="297"/>
      <c r="E374" s="297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7"/>
      <c r="B375" s="297"/>
      <c r="C375" s="305"/>
      <c r="D375" s="297"/>
      <c r="E375" s="29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7"/>
      <c r="B376" s="297"/>
      <c r="C376" s="305"/>
      <c r="D376" s="297"/>
      <c r="E376" s="29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8" t="s">
        <v>441</v>
      </c>
      <c r="B377" s="318"/>
      <c r="C377" s="318"/>
      <c r="D377" s="318"/>
      <c r="E377" s="31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7" t="s">
        <v>442</v>
      </c>
      <c r="B378" s="314" t="s">
        <v>256</v>
      </c>
      <c r="C378" s="189">
        <f>CE61</f>
        <v>533229977</v>
      </c>
      <c r="D378" s="297"/>
      <c r="E378" s="297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7" t="s">
        <v>3</v>
      </c>
      <c r="B379" s="314" t="s">
        <v>256</v>
      </c>
      <c r="C379" s="189">
        <f>D173</f>
        <v>114985972</v>
      </c>
      <c r="D379" s="297"/>
      <c r="E379" s="29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7" t="s">
        <v>236</v>
      </c>
      <c r="B380" s="314" t="s">
        <v>256</v>
      </c>
      <c r="C380" s="189">
        <f t="shared" ref="C380:C385" si="12">CE63</f>
        <v>11660595</v>
      </c>
      <c r="D380" s="297"/>
      <c r="E380" s="29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7" t="s">
        <v>443</v>
      </c>
      <c r="B381" s="314" t="s">
        <v>256</v>
      </c>
      <c r="C381" s="189">
        <f t="shared" si="12"/>
        <v>288017014</v>
      </c>
      <c r="D381" s="297"/>
      <c r="E381" s="29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7" t="s">
        <v>444</v>
      </c>
      <c r="B382" s="314" t="s">
        <v>256</v>
      </c>
      <c r="C382" s="189">
        <f t="shared" si="12"/>
        <v>12681817</v>
      </c>
      <c r="D382" s="297"/>
      <c r="E382" s="29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7" t="s">
        <v>445</v>
      </c>
      <c r="B383" s="314" t="s">
        <v>256</v>
      </c>
      <c r="C383" s="189">
        <f t="shared" si="12"/>
        <v>47307421</v>
      </c>
      <c r="D383" s="297"/>
      <c r="E383" s="29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7" t="s">
        <v>6</v>
      </c>
      <c r="B384" s="314" t="s">
        <v>256</v>
      </c>
      <c r="C384" s="189">
        <f t="shared" si="12"/>
        <v>42674345</v>
      </c>
      <c r="D384" s="297"/>
      <c r="E384" s="29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7" t="s">
        <v>446</v>
      </c>
      <c r="B385" s="314" t="s">
        <v>256</v>
      </c>
      <c r="C385" s="189">
        <f t="shared" si="12"/>
        <v>22702216</v>
      </c>
      <c r="D385" s="297"/>
      <c r="E385" s="29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7" t="s">
        <v>447</v>
      </c>
      <c r="B386" s="314" t="s">
        <v>256</v>
      </c>
      <c r="C386" s="189">
        <f>D181</f>
        <v>10793651</v>
      </c>
      <c r="D386" s="297"/>
      <c r="E386" s="29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7" t="s">
        <v>448</v>
      </c>
      <c r="B387" s="314" t="s">
        <v>256</v>
      </c>
      <c r="C387" s="189">
        <f>D186</f>
        <v>22895474.950000003</v>
      </c>
      <c r="D387" s="297"/>
      <c r="E387" s="29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7" t="s">
        <v>449</v>
      </c>
      <c r="B388" s="314" t="s">
        <v>256</v>
      </c>
      <c r="C388" s="189">
        <f>D190</f>
        <v>12514134.800000001</v>
      </c>
      <c r="D388" s="297"/>
      <c r="E388" s="29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7" t="s">
        <v>451</v>
      </c>
      <c r="B389" s="314" t="s">
        <v>256</v>
      </c>
      <c r="C389" s="189">
        <f>CE69-C386-C387-C388</f>
        <v>45315504.25</v>
      </c>
      <c r="D389" s="297"/>
      <c r="E389" s="29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7" t="s">
        <v>452</v>
      </c>
      <c r="B390" s="297"/>
      <c r="C390" s="305"/>
      <c r="D390" s="297">
        <f>SUM(C378:C389)</f>
        <v>1164778122</v>
      </c>
      <c r="E390" s="29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7" t="s">
        <v>453</v>
      </c>
      <c r="B391" s="297"/>
      <c r="C391" s="305"/>
      <c r="D391" s="297">
        <f>D373-D390</f>
        <v>-12081321</v>
      </c>
      <c r="E391" s="297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7" t="s">
        <v>454</v>
      </c>
      <c r="B392" s="314" t="s">
        <v>256</v>
      </c>
      <c r="C392" s="189">
        <f>24801079</f>
        <v>24801079</v>
      </c>
      <c r="D392" s="297"/>
      <c r="E392" s="29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7" t="s">
        <v>455</v>
      </c>
      <c r="B393" s="297"/>
      <c r="C393" s="305"/>
      <c r="D393" s="297">
        <f>D391+C392</f>
        <v>12719758</v>
      </c>
      <c r="E393" s="297"/>
      <c r="F393" s="3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7" t="s">
        <v>456</v>
      </c>
      <c r="B394" s="314" t="s">
        <v>256</v>
      </c>
      <c r="C394" s="189"/>
      <c r="D394" s="297"/>
      <c r="E394" s="29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7" t="s">
        <v>457</v>
      </c>
      <c r="B395" s="314" t="s">
        <v>256</v>
      </c>
      <c r="C395" s="189">
        <f>419444.57+1967196.63</f>
        <v>2386641.1999999997</v>
      </c>
      <c r="D395" s="297"/>
      <c r="E395" s="29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7" t="s">
        <v>458</v>
      </c>
      <c r="B396" s="297"/>
      <c r="C396" s="305"/>
      <c r="D396" s="297">
        <f>D393+C394-C395</f>
        <v>10333116.800000001</v>
      </c>
      <c r="E396" s="29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9" t="s">
        <v>459</v>
      </c>
      <c r="D411" s="2"/>
      <c r="E411" s="33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Virginia Mason Medical Center   H-0     FYE 12/31/2020</v>
      </c>
      <c r="B412" s="2"/>
      <c r="C412" s="2"/>
      <c r="D412" s="2"/>
      <c r="E412" s="33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9" t="s">
        <v>461</v>
      </c>
      <c r="C413" s="329" t="s">
        <v>1242</v>
      </c>
      <c r="D413" s="329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11245</v>
      </c>
      <c r="C414" s="2">
        <f>E138</f>
        <v>11191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60360</v>
      </c>
      <c r="C415" s="2">
        <f>E139</f>
        <v>60164</v>
      </c>
      <c r="D415" s="2">
        <f>SUM(C59:H59)+N59</f>
        <v>60164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67</v>
      </c>
      <c r="C417" s="2">
        <f>E144</f>
        <v>67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12126</v>
      </c>
      <c r="C418" s="2">
        <f>E145</f>
        <v>12126</v>
      </c>
      <c r="D418" s="2">
        <f>K59+L59</f>
        <v>12126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1"/>
      <c r="B422" s="331"/>
      <c r="C422" s="32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1"/>
      <c r="B425" s="331"/>
      <c r="C425" s="331"/>
      <c r="D425" s="331"/>
      <c r="E425" s="2"/>
      <c r="F425" s="331"/>
      <c r="G425" s="33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9" t="s">
        <v>471</v>
      </c>
      <c r="C426" s="329" t="s">
        <v>462</v>
      </c>
      <c r="D426" s="329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3">C378</f>
        <v>533229977</v>
      </c>
      <c r="C427" s="2">
        <f t="shared" ref="C427:C434" si="14">CE61</f>
        <v>533229977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3"/>
        <v>114985972</v>
      </c>
      <c r="C428" s="2">
        <f t="shared" si="14"/>
        <v>114985972</v>
      </c>
      <c r="D428" s="2">
        <f>D173</f>
        <v>114985972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3"/>
        <v>11660595</v>
      </c>
      <c r="C429" s="2">
        <f t="shared" si="14"/>
        <v>11660595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3"/>
        <v>288017014</v>
      </c>
      <c r="C430" s="2">
        <f t="shared" si="14"/>
        <v>288017014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3"/>
        <v>12681817</v>
      </c>
      <c r="C431" s="2">
        <f t="shared" si="14"/>
        <v>12681817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3"/>
        <v>47307421</v>
      </c>
      <c r="C432" s="2">
        <f t="shared" si="14"/>
        <v>47307421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3"/>
        <v>42674345</v>
      </c>
      <c r="C433" s="2">
        <f t="shared" si="14"/>
        <v>42674345</v>
      </c>
      <c r="D433" s="2">
        <f>C217</f>
        <v>43145203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3"/>
        <v>22702216</v>
      </c>
      <c r="C434" s="2">
        <f t="shared" si="14"/>
        <v>22702216</v>
      </c>
      <c r="D434" s="2">
        <f>D177</f>
        <v>22702216.049999997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3"/>
        <v>10793651</v>
      </c>
      <c r="C435" s="2"/>
      <c r="D435" s="2">
        <f>D181</f>
        <v>10793651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3"/>
        <v>22895474.950000003</v>
      </c>
      <c r="C436" s="2"/>
      <c r="D436" s="2">
        <f>D186</f>
        <v>22895474.950000003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3"/>
        <v>12514134.800000001</v>
      </c>
      <c r="C437" s="2"/>
      <c r="D437" s="2">
        <f>D190</f>
        <v>12514134.800000001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46203260.75</v>
      </c>
      <c r="C438" s="2">
        <f>CD69</f>
        <v>41253123</v>
      </c>
      <c r="D438" s="2">
        <f>D181+D186+D190</f>
        <v>46203260.75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45315504.25</v>
      </c>
      <c r="C439" s="2">
        <f>SUM(C69:CC69)</f>
        <v>50265642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91518765</v>
      </c>
      <c r="C440" s="2">
        <f>CE69</f>
        <v>91518765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1164778122</v>
      </c>
      <c r="C441" s="2">
        <f>SUM(C427:C437)+C440</f>
        <v>1164778122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1"/>
      <c r="B442" s="331"/>
      <c r="C442" s="331"/>
      <c r="D442" s="331"/>
      <c r="E442" s="2"/>
      <c r="F442" s="331"/>
      <c r="G442" s="33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9" t="s">
        <v>480</v>
      </c>
      <c r="C443" s="329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97685</v>
      </c>
      <c r="C444" s="2">
        <f>C363</f>
        <v>97685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1375074806</v>
      </c>
      <c r="C445" s="2">
        <f>C364</f>
        <v>1375074806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20765913</v>
      </c>
      <c r="C446" s="2">
        <f>C365</f>
        <v>20765913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96822950</v>
      </c>
      <c r="C447" s="2">
        <f>C366</f>
        <v>96822950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1492761354</v>
      </c>
      <c r="C448" s="2">
        <f>D367</f>
        <v>1492761354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1"/>
      <c r="B449" s="331"/>
      <c r="C449" s="331"/>
      <c r="D449" s="331"/>
      <c r="E449" s="2"/>
      <c r="F449" s="331"/>
      <c r="G449" s="33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9" t="s">
        <v>482</v>
      </c>
      <c r="C450" s="331"/>
      <c r="D450" s="331"/>
      <c r="E450" s="2"/>
      <c r="F450" s="331"/>
      <c r="G450" s="33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9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9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4" t="s">
        <v>484</v>
      </c>
      <c r="B453" s="2">
        <f>C231</f>
        <v>8971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4878529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15887384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1"/>
      <c r="B456" s="331"/>
      <c r="C456" s="331"/>
      <c r="D456" s="331"/>
      <c r="E456" s="2"/>
      <c r="F456" s="331"/>
      <c r="G456" s="33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9" t="s">
        <v>471</v>
      </c>
      <c r="C457" s="329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111243066</v>
      </c>
      <c r="C458" s="2">
        <f>CE70</f>
        <v>111243066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1"/>
      <c r="B460" s="331"/>
      <c r="C460" s="331"/>
      <c r="D460" s="331"/>
      <c r="E460" s="2"/>
      <c r="F460" s="331"/>
      <c r="G460" s="33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9"/>
      <c r="C461" s="329"/>
      <c r="D461" s="329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9" t="s">
        <v>471</v>
      </c>
      <c r="C462" s="329" t="s">
        <v>486</v>
      </c>
      <c r="D462" s="329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764331506</v>
      </c>
      <c r="C463" s="2">
        <f>CE73</f>
        <v>764331506</v>
      </c>
      <c r="D463" s="2">
        <f>E141+E147+E153</f>
        <v>764331506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1769883583</v>
      </c>
      <c r="C464" s="2">
        <f>CE74</f>
        <v>1769883583</v>
      </c>
      <c r="D464" s="2">
        <f>E142+E148+E154</f>
        <v>1769883583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2534215089</v>
      </c>
      <c r="C465" s="2">
        <f>CE75</f>
        <v>2534215089</v>
      </c>
      <c r="D465" s="2">
        <f>D463+D464</f>
        <v>2534215089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1"/>
      <c r="B466" s="331"/>
      <c r="C466" s="331"/>
      <c r="D466" s="331"/>
      <c r="E466" s="2"/>
      <c r="F466" s="331"/>
      <c r="G466" s="33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9" t="s">
        <v>492</v>
      </c>
      <c r="C467" s="329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5">C267</f>
        <v>40847329.5</v>
      </c>
      <c r="C468" s="2">
        <f>E195</f>
        <v>40811932.5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5"/>
        <v>3267381.5</v>
      </c>
      <c r="C469" s="2">
        <f>E196</f>
        <v>3302780.5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5"/>
        <v>678913179.39999998</v>
      </c>
      <c r="C470" s="2">
        <f>E197</f>
        <v>678913179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5"/>
        <v>44475859</v>
      </c>
      <c r="C471" s="2">
        <f>E198</f>
        <v>44475860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5"/>
        <v>3797270.4</v>
      </c>
      <c r="C472" s="2">
        <f>E199</f>
        <v>3797270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5"/>
        <v>425663513.39999998</v>
      </c>
      <c r="C473" s="2">
        <f>SUM(E200:E201)</f>
        <v>425663513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5"/>
        <v>27952894.5</v>
      </c>
      <c r="C474" s="2">
        <f>E202</f>
        <v>27952894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5"/>
        <v>18636447</v>
      </c>
      <c r="C475" s="2">
        <f>E203</f>
        <v>18636447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1243553874.6999998</v>
      </c>
      <c r="C476" s="2">
        <f>E204</f>
        <v>1243553876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675259395.5</v>
      </c>
      <c r="C478" s="2">
        <f>E217</f>
        <v>675259396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1431892098.1999998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1431892098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4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4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4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2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4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010</v>
      </c>
      <c r="B493" s="333" t="str">
        <f>RIGHT('[1]Prior Year'!C83,4)</f>
        <v>2019</v>
      </c>
      <c r="C493" s="333" t="str">
        <f>RIGHT(C82,4)</f>
        <v>2020</v>
      </c>
      <c r="D493" s="333" t="str">
        <f>RIGHT('[1]Prior Year'!C83,4)</f>
        <v>2019</v>
      </c>
      <c r="E493" s="333" t="str">
        <f>RIGHT(C82,4)</f>
        <v>2020</v>
      </c>
      <c r="F493" s="333" t="str">
        <f>RIGHT('[1]Prior Year'!C83,4)</f>
        <v>2019</v>
      </c>
      <c r="G493" s="333" t="str">
        <f>RIGHT(C82,4)</f>
        <v>2020</v>
      </c>
      <c r="H493" s="333"/>
      <c r="I493" s="2"/>
      <c r="J493" s="2"/>
      <c r="K493" s="333"/>
      <c r="L493" s="33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2"/>
      <c r="B494" s="329" t="s">
        <v>505</v>
      </c>
      <c r="C494" s="329" t="s">
        <v>505</v>
      </c>
      <c r="D494" s="334" t="s">
        <v>506</v>
      </c>
      <c r="E494" s="334" t="s">
        <v>506</v>
      </c>
      <c r="F494" s="333" t="s">
        <v>507</v>
      </c>
      <c r="G494" s="333" t="s">
        <v>507</v>
      </c>
      <c r="H494" s="333" t="s">
        <v>508</v>
      </c>
      <c r="I494" s="2"/>
      <c r="J494" s="2"/>
      <c r="K494" s="333"/>
      <c r="L494" s="33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9" t="s">
        <v>303</v>
      </c>
      <c r="C495" s="329" t="s">
        <v>303</v>
      </c>
      <c r="D495" s="329" t="s">
        <v>509</v>
      </c>
      <c r="E495" s="329" t="s">
        <v>509</v>
      </c>
      <c r="F495" s="333" t="s">
        <v>510</v>
      </c>
      <c r="G495" s="333" t="s">
        <v>510</v>
      </c>
      <c r="H495" s="333" t="s">
        <v>511</v>
      </c>
      <c r="I495" s="2"/>
      <c r="J495" s="2"/>
      <c r="K495" s="333"/>
      <c r="L495" s="33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5">
        <f>'[1]Prior Year'!C72</f>
        <v>14647030</v>
      </c>
      <c r="C496" s="335">
        <f>C71</f>
        <v>14851053</v>
      </c>
      <c r="D496" s="335">
        <f>'[1]Prior Year'!C59</f>
        <v>6191</v>
      </c>
      <c r="E496" s="2">
        <f>C59</f>
        <v>5990</v>
      </c>
      <c r="F496" s="336">
        <f t="shared" ref="F496:G511" si="16">IF(B496=0,"",IF(D496=0,"",B496/D496))</f>
        <v>2365.858504280407</v>
      </c>
      <c r="G496" s="336">
        <f t="shared" si="16"/>
        <v>2479.3076794657763</v>
      </c>
      <c r="H496" s="337" t="str">
        <f>IF(B496=0,"",IF(C496=0,"",IF(D496=0,"",IF(E496=0,"",IF(G496/F496-1&lt;-0.25,G496/F496-1,IF(G496/F496-1&gt;0.25,G496/F496-1,""))))))</f>
        <v/>
      </c>
      <c r="I496" s="268"/>
      <c r="J496" s="2"/>
      <c r="K496" s="333"/>
      <c r="L496" s="33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5">
        <f>'[1]Prior Year'!D72</f>
        <v>0</v>
      </c>
      <c r="C497" s="335">
        <f>D71</f>
        <v>0</v>
      </c>
      <c r="D497" s="335">
        <f>'[1]Prior Year'!D59</f>
        <v>0</v>
      </c>
      <c r="E497" s="2">
        <f>D59</f>
        <v>0</v>
      </c>
      <c r="F497" s="336" t="str">
        <f t="shared" si="16"/>
        <v/>
      </c>
      <c r="G497" s="336" t="str">
        <f t="shared" si="16"/>
        <v/>
      </c>
      <c r="H497" s="337" t="str">
        <f t="shared" ref="H497:H550" si="17">IF(B497=0,"",IF(C497=0,"",IF(D497=0,"",IF(E497=0,"",IF(G497/F497-1&lt;-0.25,G497/F497-1,IF(G497/F497-1&gt;0.25,G497/F497-1,""))))))</f>
        <v/>
      </c>
      <c r="I497" s="268"/>
      <c r="J497" s="2"/>
      <c r="K497" s="333"/>
      <c r="L497" s="33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5">
        <f>'[1]Prior Year'!E72</f>
        <v>62380697</v>
      </c>
      <c r="C498" s="335">
        <f>E71</f>
        <v>59248958</v>
      </c>
      <c r="D498" s="335">
        <f>'[1]Prior Year'!E59</f>
        <v>58280</v>
      </c>
      <c r="E498" s="2">
        <f>E59</f>
        <v>54174</v>
      </c>
      <c r="F498" s="336">
        <f t="shared" si="16"/>
        <v>1070.3619938229238</v>
      </c>
      <c r="G498" s="336">
        <f t="shared" si="16"/>
        <v>1093.6788496326651</v>
      </c>
      <c r="H498" s="337" t="str">
        <f t="shared" si="17"/>
        <v/>
      </c>
      <c r="I498" s="268"/>
      <c r="J498" s="2"/>
      <c r="K498" s="333"/>
      <c r="L498" s="33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5">
        <f>'[1]Prior Year'!F72</f>
        <v>0</v>
      </c>
      <c r="C499" s="335">
        <f>F71</f>
        <v>0</v>
      </c>
      <c r="D499" s="335">
        <f>'[1]Prior Year'!F59</f>
        <v>0</v>
      </c>
      <c r="E499" s="2">
        <f>F59</f>
        <v>0</v>
      </c>
      <c r="F499" s="336" t="str">
        <f t="shared" si="16"/>
        <v/>
      </c>
      <c r="G499" s="336" t="str">
        <f t="shared" si="16"/>
        <v/>
      </c>
      <c r="H499" s="337" t="str">
        <f t="shared" si="17"/>
        <v/>
      </c>
      <c r="I499" s="268"/>
      <c r="J499" s="2"/>
      <c r="K499" s="333"/>
      <c r="L499" s="33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5">
        <f>'[1]Prior Year'!G72</f>
        <v>0</v>
      </c>
      <c r="C500" s="335">
        <f>G71</f>
        <v>0</v>
      </c>
      <c r="D500" s="335">
        <f>'[1]Prior Year'!G59</f>
        <v>0</v>
      </c>
      <c r="E500" s="2">
        <f>G59</f>
        <v>0</v>
      </c>
      <c r="F500" s="336" t="str">
        <f t="shared" si="16"/>
        <v/>
      </c>
      <c r="G500" s="336" t="str">
        <f t="shared" si="16"/>
        <v/>
      </c>
      <c r="H500" s="337" t="str">
        <f t="shared" si="17"/>
        <v/>
      </c>
      <c r="I500" s="268"/>
      <c r="J500" s="2"/>
      <c r="K500" s="333"/>
      <c r="L500" s="33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5">
        <f>'[1]Prior Year'!H72</f>
        <v>0</v>
      </c>
      <c r="C501" s="335">
        <f>H71</f>
        <v>0</v>
      </c>
      <c r="D501" s="335">
        <f>'[1]Prior Year'!H59</f>
        <v>0</v>
      </c>
      <c r="E501" s="2">
        <f>H59</f>
        <v>0</v>
      </c>
      <c r="F501" s="336" t="str">
        <f t="shared" si="16"/>
        <v/>
      </c>
      <c r="G501" s="336" t="str">
        <f t="shared" si="16"/>
        <v/>
      </c>
      <c r="H501" s="337" t="str">
        <f t="shared" si="17"/>
        <v/>
      </c>
      <c r="I501" s="268"/>
      <c r="J501" s="2"/>
      <c r="K501" s="333"/>
      <c r="L501" s="33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5">
        <f>'[1]Prior Year'!I72</f>
        <v>0</v>
      </c>
      <c r="C502" s="335">
        <f>I71</f>
        <v>0</v>
      </c>
      <c r="D502" s="335">
        <f>'[1]Prior Year'!I59</f>
        <v>0</v>
      </c>
      <c r="E502" s="2">
        <f>I59</f>
        <v>0</v>
      </c>
      <c r="F502" s="336" t="str">
        <f t="shared" si="16"/>
        <v/>
      </c>
      <c r="G502" s="336" t="str">
        <f t="shared" si="16"/>
        <v/>
      </c>
      <c r="H502" s="337" t="str">
        <f t="shared" si="17"/>
        <v/>
      </c>
      <c r="I502" s="268"/>
      <c r="J502" s="2"/>
      <c r="K502" s="333"/>
      <c r="L502" s="33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5">
        <f>'[1]Prior Year'!J72</f>
        <v>0</v>
      </c>
      <c r="C503" s="335">
        <f>J71</f>
        <v>0</v>
      </c>
      <c r="D503" s="335">
        <f>'[1]Prior Year'!J59</f>
        <v>0</v>
      </c>
      <c r="E503" s="2">
        <f>J59</f>
        <v>0</v>
      </c>
      <c r="F503" s="336" t="str">
        <f t="shared" si="16"/>
        <v/>
      </c>
      <c r="G503" s="336" t="str">
        <f t="shared" si="16"/>
        <v/>
      </c>
      <c r="H503" s="337" t="str">
        <f t="shared" si="17"/>
        <v/>
      </c>
      <c r="I503" s="268"/>
      <c r="J503" s="2"/>
      <c r="K503" s="333"/>
      <c r="L503" s="33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5">
        <f>'[1]Prior Year'!K72</f>
        <v>9860051</v>
      </c>
      <c r="C504" s="335">
        <f>K71</f>
        <v>8868502</v>
      </c>
      <c r="D504" s="335">
        <f>'[1]Prior Year'!K59</f>
        <v>12159</v>
      </c>
      <c r="E504" s="2">
        <f>K59</f>
        <v>12126</v>
      </c>
      <c r="F504" s="336">
        <f t="shared" si="16"/>
        <v>810.92614524220744</v>
      </c>
      <c r="G504" s="336">
        <f t="shared" si="16"/>
        <v>731.36252680191319</v>
      </c>
      <c r="H504" s="337" t="str">
        <f t="shared" si="17"/>
        <v/>
      </c>
      <c r="I504" s="268"/>
      <c r="J504" s="2"/>
      <c r="K504" s="333"/>
      <c r="L504" s="33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5">
        <f>'[1]Prior Year'!L72</f>
        <v>0</v>
      </c>
      <c r="C505" s="335">
        <f>L71</f>
        <v>0</v>
      </c>
      <c r="D505" s="335">
        <f>'[1]Prior Year'!L59</f>
        <v>0</v>
      </c>
      <c r="E505" s="2">
        <f>L59</f>
        <v>0</v>
      </c>
      <c r="F505" s="336" t="str">
        <f t="shared" si="16"/>
        <v/>
      </c>
      <c r="G505" s="336" t="str">
        <f t="shared" si="16"/>
        <v/>
      </c>
      <c r="H505" s="337" t="str">
        <f t="shared" si="17"/>
        <v/>
      </c>
      <c r="I505" s="268"/>
      <c r="J505" s="2"/>
      <c r="K505" s="333"/>
      <c r="L505" s="33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5">
        <f>'[1]Prior Year'!M72</f>
        <v>0</v>
      </c>
      <c r="C506" s="335">
        <f>M71</f>
        <v>0</v>
      </c>
      <c r="D506" s="335">
        <f>'[1]Prior Year'!M59</f>
        <v>0</v>
      </c>
      <c r="E506" s="2">
        <f>M59</f>
        <v>0</v>
      </c>
      <c r="F506" s="336" t="str">
        <f t="shared" si="16"/>
        <v/>
      </c>
      <c r="G506" s="336" t="str">
        <f t="shared" si="16"/>
        <v/>
      </c>
      <c r="H506" s="337" t="str">
        <f t="shared" si="17"/>
        <v/>
      </c>
      <c r="I506" s="268"/>
      <c r="J506" s="2"/>
      <c r="K506" s="333"/>
      <c r="L506" s="33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5">
        <f>'[1]Prior Year'!N72</f>
        <v>-174</v>
      </c>
      <c r="C507" s="335">
        <f>N71</f>
        <v>-192</v>
      </c>
      <c r="D507" s="335">
        <f>'[1]Prior Year'!N59</f>
        <v>0</v>
      </c>
      <c r="E507" s="2">
        <f>N59</f>
        <v>0</v>
      </c>
      <c r="F507" s="336" t="str">
        <f t="shared" si="16"/>
        <v/>
      </c>
      <c r="G507" s="336" t="str">
        <f t="shared" si="16"/>
        <v/>
      </c>
      <c r="H507" s="337" t="str">
        <f t="shared" si="17"/>
        <v/>
      </c>
      <c r="I507" s="268"/>
      <c r="J507" s="2"/>
      <c r="K507" s="333"/>
      <c r="L507" s="33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5">
        <f>'[1]Prior Year'!O72</f>
        <v>0</v>
      </c>
      <c r="C508" s="335">
        <f>O71</f>
        <v>0</v>
      </c>
      <c r="D508" s="335">
        <f>'[1]Prior Year'!O59</f>
        <v>0</v>
      </c>
      <c r="E508" s="2">
        <f>O59</f>
        <v>0</v>
      </c>
      <c r="F508" s="336" t="str">
        <f t="shared" si="16"/>
        <v/>
      </c>
      <c r="G508" s="336" t="str">
        <f t="shared" si="16"/>
        <v/>
      </c>
      <c r="H508" s="337" t="str">
        <f t="shared" si="17"/>
        <v/>
      </c>
      <c r="I508" s="268"/>
      <c r="J508" s="2"/>
      <c r="K508" s="333"/>
      <c r="L508" s="33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5">
        <f>'[1]Prior Year'!P72</f>
        <v>74346830</v>
      </c>
      <c r="C509" s="335">
        <f>P71</f>
        <v>71663614</v>
      </c>
      <c r="D509" s="335">
        <f>'[1]Prior Year'!P59</f>
        <v>2066830</v>
      </c>
      <c r="E509" s="2">
        <f>P59</f>
        <v>2066830</v>
      </c>
      <c r="F509" s="336">
        <f t="shared" si="16"/>
        <v>35.971429677331955</v>
      </c>
      <c r="G509" s="336">
        <f t="shared" si="16"/>
        <v>34.673201956619558</v>
      </c>
      <c r="H509" s="337" t="str">
        <f t="shared" si="17"/>
        <v/>
      </c>
      <c r="I509" s="268"/>
      <c r="J509" s="2"/>
      <c r="K509" s="333"/>
      <c r="L509" s="33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5">
        <f>'[1]Prior Year'!Q72</f>
        <v>11695506</v>
      </c>
      <c r="C510" s="335">
        <f>Q71</f>
        <v>11151129</v>
      </c>
      <c r="D510" s="335">
        <f>'[1]Prior Year'!Q59</f>
        <v>2027302</v>
      </c>
      <c r="E510" s="2">
        <f>Q59</f>
        <v>1895448</v>
      </c>
      <c r="F510" s="336">
        <f t="shared" si="16"/>
        <v>5.7690003758690125</v>
      </c>
      <c r="G510" s="336">
        <f t="shared" si="16"/>
        <v>5.8831099560631577</v>
      </c>
      <c r="H510" s="337" t="str">
        <f t="shared" si="17"/>
        <v/>
      </c>
      <c r="I510" s="268"/>
      <c r="J510" s="2"/>
      <c r="K510" s="333"/>
      <c r="L510" s="33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5">
        <f>'[1]Prior Year'!R72</f>
        <v>28920442</v>
      </c>
      <c r="C511" s="335">
        <f>R71</f>
        <v>27779348</v>
      </c>
      <c r="D511" s="335">
        <f>'[1]Prior Year'!R59</f>
        <v>2347015</v>
      </c>
      <c r="E511" s="2">
        <f>R59</f>
        <v>2207576</v>
      </c>
      <c r="F511" s="336">
        <f t="shared" si="16"/>
        <v>12.322222908673357</v>
      </c>
      <c r="G511" s="336">
        <f t="shared" si="16"/>
        <v>12.583642873450337</v>
      </c>
      <c r="H511" s="337" t="str">
        <f t="shared" si="17"/>
        <v/>
      </c>
      <c r="I511" s="268"/>
      <c r="J511" s="2"/>
      <c r="K511" s="333"/>
      <c r="L511" s="33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5">
        <f>'[1]Prior Year'!S72</f>
        <v>10124017</v>
      </c>
      <c r="C512" s="335">
        <f>S71</f>
        <v>10970247</v>
      </c>
      <c r="D512" s="329" t="s">
        <v>529</v>
      </c>
      <c r="E512" s="329" t="s">
        <v>529</v>
      </c>
      <c r="F512" s="336" t="str">
        <f t="shared" ref="F512:G527" si="18">IF(B512=0,"",IF(D512=0,"",B512/D512))</f>
        <v/>
      </c>
      <c r="G512" s="336" t="str">
        <f t="shared" si="18"/>
        <v/>
      </c>
      <c r="H512" s="337" t="str">
        <f t="shared" si="17"/>
        <v/>
      </c>
      <c r="I512" s="268"/>
      <c r="J512" s="2"/>
      <c r="K512" s="333"/>
      <c r="L512" s="33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5">
        <f>'[1]Prior Year'!T72</f>
        <v>3385732</v>
      </c>
      <c r="C513" s="335">
        <f>T71</f>
        <v>3190601</v>
      </c>
      <c r="D513" s="329" t="s">
        <v>529</v>
      </c>
      <c r="E513" s="329" t="s">
        <v>529</v>
      </c>
      <c r="F513" s="336" t="str">
        <f t="shared" si="18"/>
        <v/>
      </c>
      <c r="G513" s="336" t="str">
        <f t="shared" si="18"/>
        <v/>
      </c>
      <c r="H513" s="337" t="str">
        <f t="shared" si="17"/>
        <v/>
      </c>
      <c r="I513" s="268"/>
      <c r="J513" s="2"/>
      <c r="K513" s="333"/>
      <c r="L513" s="33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5">
        <f>'[1]Prior Year'!U72</f>
        <v>39484513</v>
      </c>
      <c r="C514" s="335">
        <f>U71</f>
        <v>41510723</v>
      </c>
      <c r="D514" s="335">
        <f>'[1]Prior Year'!U59</f>
        <v>2519092</v>
      </c>
      <c r="E514" s="2">
        <f>U59</f>
        <v>2080691</v>
      </c>
      <c r="F514" s="336">
        <f t="shared" si="18"/>
        <v>15.674105193458596</v>
      </c>
      <c r="G514" s="336">
        <f t="shared" si="18"/>
        <v>19.950450595499284</v>
      </c>
      <c r="H514" s="337">
        <f t="shared" si="17"/>
        <v>0.27282867820903545</v>
      </c>
      <c r="I514" s="268" t="s">
        <v>1279</v>
      </c>
      <c r="J514" s="2"/>
      <c r="K514" s="333"/>
      <c r="L514" s="33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5">
        <f>'[1]Prior Year'!V72</f>
        <v>0</v>
      </c>
      <c r="C515" s="335">
        <f>V71</f>
        <v>0</v>
      </c>
      <c r="D515" s="335">
        <f>'[1]Prior Year'!V59</f>
        <v>0</v>
      </c>
      <c r="E515" s="2">
        <f>V59</f>
        <v>0</v>
      </c>
      <c r="F515" s="336" t="str">
        <f t="shared" si="18"/>
        <v/>
      </c>
      <c r="G515" s="336" t="str">
        <f t="shared" si="18"/>
        <v/>
      </c>
      <c r="H515" s="337" t="str">
        <f t="shared" si="17"/>
        <v/>
      </c>
      <c r="I515" s="268"/>
      <c r="J515" s="2"/>
      <c r="K515" s="333"/>
      <c r="L515" s="33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5">
        <f>'[1]Prior Year'!W72</f>
        <v>4398730</v>
      </c>
      <c r="C516" s="335">
        <f>W71</f>
        <v>4461577</v>
      </c>
      <c r="D516" s="335">
        <f>'[1]Prior Year'!W59</f>
        <v>105837</v>
      </c>
      <c r="E516" s="2">
        <f>W59</f>
        <v>87644</v>
      </c>
      <c r="F516" s="336">
        <f t="shared" si="18"/>
        <v>41.561363228360591</v>
      </c>
      <c r="G516" s="336">
        <f t="shared" si="18"/>
        <v>50.905675231618822</v>
      </c>
      <c r="H516" s="337" t="str">
        <f t="shared" si="17"/>
        <v/>
      </c>
      <c r="I516" s="268"/>
      <c r="J516" s="2"/>
      <c r="K516" s="333"/>
      <c r="L516" s="33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5">
        <f>'[1]Prior Year'!X72</f>
        <v>6870631</v>
      </c>
      <c r="C517" s="335">
        <f>X71</f>
        <v>6437701</v>
      </c>
      <c r="D517" s="335">
        <f>'[1]Prior Year'!X59</f>
        <v>165057</v>
      </c>
      <c r="E517" s="2">
        <f>X59</f>
        <v>147031</v>
      </c>
      <c r="F517" s="336">
        <f t="shared" si="18"/>
        <v>41.625808054187338</v>
      </c>
      <c r="G517" s="336">
        <f t="shared" si="18"/>
        <v>43.784650855941948</v>
      </c>
      <c r="H517" s="337" t="str">
        <f t="shared" si="17"/>
        <v/>
      </c>
      <c r="I517" s="268"/>
      <c r="J517" s="2"/>
      <c r="K517" s="333"/>
      <c r="L517" s="33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5">
        <f>'[1]Prior Year'!Y72</f>
        <v>28339198</v>
      </c>
      <c r="C518" s="335">
        <f>Y71</f>
        <v>27065060</v>
      </c>
      <c r="D518" s="335">
        <f>'[1]Prior Year'!Y59</f>
        <v>171978</v>
      </c>
      <c r="E518" s="2">
        <f>Y59</f>
        <v>143531</v>
      </c>
      <c r="F518" s="336">
        <f t="shared" si="18"/>
        <v>164.78385607461419</v>
      </c>
      <c r="G518" s="336">
        <f t="shared" si="18"/>
        <v>188.56595439312761</v>
      </c>
      <c r="H518" s="337" t="str">
        <f t="shared" si="17"/>
        <v/>
      </c>
      <c r="I518" s="268"/>
      <c r="J518" s="2"/>
      <c r="K518" s="333"/>
      <c r="L518" s="33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5">
        <f>'[1]Prior Year'!Z72</f>
        <v>9351788</v>
      </c>
      <c r="C519" s="335">
        <f>Z71</f>
        <v>8605331</v>
      </c>
      <c r="D519" s="335">
        <f>'[1]Prior Year'!Z59</f>
        <v>185863</v>
      </c>
      <c r="E519" s="2">
        <f>Z59</f>
        <v>198252</v>
      </c>
      <c r="F519" s="336">
        <f t="shared" si="18"/>
        <v>50.315490441884613</v>
      </c>
      <c r="G519" s="336">
        <f t="shared" si="18"/>
        <v>43.406023646671912</v>
      </c>
      <c r="H519" s="337" t="str">
        <f t="shared" si="17"/>
        <v/>
      </c>
      <c r="I519" s="268"/>
      <c r="J519" s="2"/>
      <c r="K519" s="333"/>
      <c r="L519" s="33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5">
        <f>'[1]Prior Year'!AA72</f>
        <v>10802099</v>
      </c>
      <c r="C520" s="335">
        <f>AA71</f>
        <v>10636324</v>
      </c>
      <c r="D520" s="335">
        <f>'[1]Prior Year'!AA59</f>
        <v>23016</v>
      </c>
      <c r="E520" s="2">
        <f>AA59</f>
        <v>19736</v>
      </c>
      <c r="F520" s="336">
        <f t="shared" si="18"/>
        <v>469.32998783454985</v>
      </c>
      <c r="G520" s="336">
        <f t="shared" si="18"/>
        <v>538.93007701661941</v>
      </c>
      <c r="H520" s="337" t="str">
        <f t="shared" si="17"/>
        <v/>
      </c>
      <c r="I520" s="268"/>
      <c r="J520" s="2"/>
      <c r="K520" s="333"/>
      <c r="L520" s="33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5">
        <f>'[1]Prior Year'!AB72</f>
        <v>45808038</v>
      </c>
      <c r="C521" s="335">
        <f>AB71</f>
        <v>49165130</v>
      </c>
      <c r="D521" s="329" t="s">
        <v>529</v>
      </c>
      <c r="E521" s="329" t="s">
        <v>529</v>
      </c>
      <c r="F521" s="336" t="str">
        <f t="shared" si="18"/>
        <v/>
      </c>
      <c r="G521" s="336" t="str">
        <f t="shared" si="18"/>
        <v/>
      </c>
      <c r="H521" s="337" t="str">
        <f t="shared" si="17"/>
        <v/>
      </c>
      <c r="I521" s="268"/>
      <c r="J521" s="2"/>
      <c r="K521" s="333"/>
      <c r="L521" s="33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5">
        <f>'[1]Prior Year'!AC72</f>
        <v>2633837</v>
      </c>
      <c r="C522" s="335">
        <f>AC71</f>
        <v>2785605</v>
      </c>
      <c r="D522" s="335">
        <f>'[1]Prior Year'!AC59</f>
        <v>147963</v>
      </c>
      <c r="E522" s="2">
        <f>AC59</f>
        <v>228498</v>
      </c>
      <c r="F522" s="336">
        <f t="shared" si="18"/>
        <v>17.800646107472815</v>
      </c>
      <c r="G522" s="336">
        <f t="shared" si="18"/>
        <v>12.190938213901216</v>
      </c>
      <c r="H522" s="337">
        <f t="shared" si="17"/>
        <v>-0.31514068982117516</v>
      </c>
      <c r="I522" s="268"/>
      <c r="J522" s="2"/>
      <c r="K522" s="333"/>
      <c r="L522" s="33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5">
        <f>'[1]Prior Year'!AD72</f>
        <v>1721752</v>
      </c>
      <c r="C523" s="335">
        <f>AD71</f>
        <v>2620402</v>
      </c>
      <c r="D523" s="335">
        <f>'[1]Prior Year'!AD59</f>
        <v>15947</v>
      </c>
      <c r="E523" s="2">
        <f>AD59</f>
        <v>17156</v>
      </c>
      <c r="F523" s="336">
        <f t="shared" si="18"/>
        <v>107.96714115507619</v>
      </c>
      <c r="G523" s="336">
        <f t="shared" si="18"/>
        <v>152.73968290976919</v>
      </c>
      <c r="H523" s="337">
        <f t="shared" si="17"/>
        <v>0.414686739647806</v>
      </c>
      <c r="I523" s="268" t="s">
        <v>1280</v>
      </c>
      <c r="J523" s="2"/>
      <c r="K523" s="333"/>
      <c r="L523" s="33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5">
        <f>'[1]Prior Year'!AE72</f>
        <v>10937107</v>
      </c>
      <c r="C524" s="335">
        <f>AE71</f>
        <v>9598313</v>
      </c>
      <c r="D524" s="335">
        <f>'[1]Prior Year'!AE59</f>
        <v>222607</v>
      </c>
      <c r="E524" s="2">
        <f>AE59</f>
        <v>194611</v>
      </c>
      <c r="F524" s="336">
        <f t="shared" si="18"/>
        <v>49.131909598530143</v>
      </c>
      <c r="G524" s="336">
        <f t="shared" si="18"/>
        <v>49.320506035116203</v>
      </c>
      <c r="H524" s="337" t="str">
        <f t="shared" si="17"/>
        <v/>
      </c>
      <c r="I524" s="268"/>
      <c r="J524" s="2"/>
      <c r="K524" s="333"/>
      <c r="L524" s="33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5">
        <f>'[1]Prior Year'!AF72</f>
        <v>846137</v>
      </c>
      <c r="C525" s="335">
        <f>AF71</f>
        <v>711072</v>
      </c>
      <c r="D525" s="335">
        <f>'[1]Prior Year'!AF59</f>
        <v>3322</v>
      </c>
      <c r="E525" s="2">
        <f>AF59</f>
        <v>2244</v>
      </c>
      <c r="F525" s="336">
        <f t="shared" si="18"/>
        <v>254.70710415412401</v>
      </c>
      <c r="G525" s="336">
        <f t="shared" si="18"/>
        <v>316.87700534759358</v>
      </c>
      <c r="H525" s="337" t="str">
        <f t="shared" si="17"/>
        <v/>
      </c>
      <c r="I525" s="268"/>
      <c r="J525" s="2"/>
      <c r="K525" s="333"/>
      <c r="L525" s="33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5">
        <f>'[1]Prior Year'!AG72</f>
        <v>14858194</v>
      </c>
      <c r="C526" s="335">
        <f>AG71</f>
        <v>14030688</v>
      </c>
      <c r="D526" s="335">
        <f>'[1]Prior Year'!AG59</f>
        <v>24985</v>
      </c>
      <c r="E526" s="2">
        <f>AG59</f>
        <v>19330</v>
      </c>
      <c r="F526" s="336">
        <f t="shared" si="18"/>
        <v>594.68457074244543</v>
      </c>
      <c r="G526" s="336">
        <f t="shared" si="18"/>
        <v>725.85038799793062</v>
      </c>
      <c r="H526" s="337" t="str">
        <f t="shared" si="17"/>
        <v/>
      </c>
      <c r="I526" s="268"/>
      <c r="J526" s="2"/>
      <c r="K526" s="333"/>
      <c r="L526" s="33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5">
        <f>'[1]Prior Year'!AH72</f>
        <v>0</v>
      </c>
      <c r="C527" s="335">
        <f>AH71</f>
        <v>0</v>
      </c>
      <c r="D527" s="335">
        <f>'[1]Prior Year'!AH59</f>
        <v>0</v>
      </c>
      <c r="E527" s="2">
        <f>AH59</f>
        <v>0</v>
      </c>
      <c r="F527" s="336" t="str">
        <f t="shared" si="18"/>
        <v/>
      </c>
      <c r="G527" s="336" t="str">
        <f t="shared" si="18"/>
        <v/>
      </c>
      <c r="H527" s="337" t="str">
        <f t="shared" si="17"/>
        <v/>
      </c>
      <c r="I527" s="268"/>
      <c r="J527" s="2"/>
      <c r="K527" s="333"/>
      <c r="L527" s="33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5">
        <f>'[1]Prior Year'!AI72</f>
        <v>0</v>
      </c>
      <c r="C528" s="335">
        <f>AI71</f>
        <v>0</v>
      </c>
      <c r="D528" s="335">
        <f>'[1]Prior Year'!AI59</f>
        <v>0</v>
      </c>
      <c r="E528" s="2">
        <f>AI59</f>
        <v>0</v>
      </c>
      <c r="F528" s="336" t="str">
        <f t="shared" ref="F528:G540" si="19">IF(B528=0,"",IF(D528=0,"",B528/D528))</f>
        <v/>
      </c>
      <c r="G528" s="336" t="str">
        <f t="shared" si="19"/>
        <v/>
      </c>
      <c r="H528" s="337" t="str">
        <f t="shared" si="17"/>
        <v/>
      </c>
      <c r="I528" s="268"/>
      <c r="J528" s="2"/>
      <c r="K528" s="333"/>
      <c r="L528" s="33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5">
        <f>'[1]Prior Year'!AJ72</f>
        <v>281932878</v>
      </c>
      <c r="C529" s="335">
        <f>AJ71</f>
        <v>275190195</v>
      </c>
      <c r="D529" s="335">
        <f>'[1]Prior Year'!AJ59</f>
        <v>357634</v>
      </c>
      <c r="E529" s="2">
        <f>AJ59</f>
        <v>310186</v>
      </c>
      <c r="F529" s="336">
        <f t="shared" si="19"/>
        <v>788.32794980343033</v>
      </c>
      <c r="G529" s="336">
        <f t="shared" si="19"/>
        <v>887.17799965182178</v>
      </c>
      <c r="H529" s="337" t="str">
        <f t="shared" si="17"/>
        <v/>
      </c>
      <c r="I529" s="268"/>
      <c r="J529" s="2"/>
      <c r="K529" s="333"/>
      <c r="L529" s="33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5">
        <f>'[1]Prior Year'!AK72</f>
        <v>0</v>
      </c>
      <c r="C530" s="335">
        <f>AK71</f>
        <v>0</v>
      </c>
      <c r="D530" s="335">
        <f>'[1]Prior Year'!AK59</f>
        <v>0</v>
      </c>
      <c r="E530" s="2">
        <f>AK59</f>
        <v>0</v>
      </c>
      <c r="F530" s="336" t="str">
        <f t="shared" si="19"/>
        <v/>
      </c>
      <c r="G530" s="336" t="str">
        <f t="shared" si="19"/>
        <v/>
      </c>
      <c r="H530" s="337" t="str">
        <f t="shared" si="17"/>
        <v/>
      </c>
      <c r="I530" s="268"/>
      <c r="J530" s="2"/>
      <c r="K530" s="333"/>
      <c r="L530" s="33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5">
        <f>'[1]Prior Year'!AL72</f>
        <v>0</v>
      </c>
      <c r="C531" s="335">
        <f>AL71</f>
        <v>0</v>
      </c>
      <c r="D531" s="335">
        <f>'[1]Prior Year'!AL59</f>
        <v>0</v>
      </c>
      <c r="E531" s="2">
        <f>AL59</f>
        <v>0</v>
      </c>
      <c r="F531" s="336" t="str">
        <f t="shared" si="19"/>
        <v/>
      </c>
      <c r="G531" s="336" t="str">
        <f t="shared" si="19"/>
        <v/>
      </c>
      <c r="H531" s="337" t="str">
        <f t="shared" si="17"/>
        <v/>
      </c>
      <c r="I531" s="268"/>
      <c r="J531" s="2"/>
      <c r="K531" s="333"/>
      <c r="L531" s="33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5">
        <f>'[1]Prior Year'!AM72</f>
        <v>0</v>
      </c>
      <c r="C532" s="335">
        <f>AM71</f>
        <v>0</v>
      </c>
      <c r="D532" s="335">
        <f>'[1]Prior Year'!AM59</f>
        <v>0</v>
      </c>
      <c r="E532" s="2">
        <f>AM59</f>
        <v>0</v>
      </c>
      <c r="F532" s="336" t="str">
        <f t="shared" si="19"/>
        <v/>
      </c>
      <c r="G532" s="336" t="str">
        <f t="shared" si="19"/>
        <v/>
      </c>
      <c r="H532" s="337" t="str">
        <f t="shared" si="17"/>
        <v/>
      </c>
      <c r="I532" s="268"/>
      <c r="J532" s="2"/>
      <c r="K532" s="333"/>
      <c r="L532" s="33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5">
        <f>'[1]Prior Year'!AN72</f>
        <v>0</v>
      </c>
      <c r="C533" s="335">
        <f>AN71</f>
        <v>0</v>
      </c>
      <c r="D533" s="335">
        <f>'[1]Prior Year'!AN59</f>
        <v>0</v>
      </c>
      <c r="E533" s="2">
        <f>AN59</f>
        <v>0</v>
      </c>
      <c r="F533" s="336" t="str">
        <f t="shared" si="19"/>
        <v/>
      </c>
      <c r="G533" s="336" t="str">
        <f t="shared" si="19"/>
        <v/>
      </c>
      <c r="H533" s="337" t="str">
        <f t="shared" si="17"/>
        <v/>
      </c>
      <c r="I533" s="268"/>
      <c r="J533" s="2"/>
      <c r="K533" s="333"/>
      <c r="L533" s="33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5">
        <f>'[1]Prior Year'!AO72</f>
        <v>0</v>
      </c>
      <c r="C534" s="335">
        <f>AO71</f>
        <v>0</v>
      </c>
      <c r="D534" s="335">
        <f>'[1]Prior Year'!AO59</f>
        <v>0</v>
      </c>
      <c r="E534" s="2">
        <f>AO59</f>
        <v>0</v>
      </c>
      <c r="F534" s="336" t="str">
        <f t="shared" si="19"/>
        <v/>
      </c>
      <c r="G534" s="336" t="str">
        <f t="shared" si="19"/>
        <v/>
      </c>
      <c r="H534" s="337" t="str">
        <f t="shared" si="17"/>
        <v/>
      </c>
      <c r="I534" s="268"/>
      <c r="J534" s="2"/>
      <c r="K534" s="333"/>
      <c r="L534" s="33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5">
        <f>'[1]Prior Year'!AP72</f>
        <v>181785873</v>
      </c>
      <c r="C535" s="335">
        <f>AP71</f>
        <v>183286329</v>
      </c>
      <c r="D535" s="335">
        <f>'[1]Prior Year'!AP59</f>
        <v>574796</v>
      </c>
      <c r="E535" s="2">
        <f>AP59</f>
        <v>515093</v>
      </c>
      <c r="F535" s="336">
        <f t="shared" si="19"/>
        <v>316.26154844501355</v>
      </c>
      <c r="G535" s="336">
        <f t="shared" si="19"/>
        <v>355.83152751056605</v>
      </c>
      <c r="H535" s="337" t="str">
        <f t="shared" si="17"/>
        <v/>
      </c>
      <c r="I535" s="268"/>
      <c r="J535" s="2"/>
      <c r="K535" s="333"/>
      <c r="L535" s="33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5">
        <f>'[1]Prior Year'!AQ72</f>
        <v>0</v>
      </c>
      <c r="C536" s="335">
        <f>AQ71</f>
        <v>0</v>
      </c>
      <c r="D536" s="335">
        <f>'[1]Prior Year'!AQ59</f>
        <v>0</v>
      </c>
      <c r="E536" s="2">
        <f>AQ59</f>
        <v>0</v>
      </c>
      <c r="F536" s="336" t="str">
        <f t="shared" si="19"/>
        <v/>
      </c>
      <c r="G536" s="336" t="str">
        <f t="shared" si="19"/>
        <v/>
      </c>
      <c r="H536" s="337" t="str">
        <f t="shared" si="17"/>
        <v/>
      </c>
      <c r="I536" s="268"/>
      <c r="J536" s="2"/>
      <c r="K536" s="333"/>
      <c r="L536" s="33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5">
        <f>'[1]Prior Year'!AR72</f>
        <v>0</v>
      </c>
      <c r="C537" s="335">
        <f>AR71</f>
        <v>0</v>
      </c>
      <c r="D537" s="335">
        <f>'[1]Prior Year'!AR59</f>
        <v>0</v>
      </c>
      <c r="E537" s="2">
        <f>AR59</f>
        <v>0</v>
      </c>
      <c r="F537" s="336" t="str">
        <f t="shared" si="19"/>
        <v/>
      </c>
      <c r="G537" s="336" t="str">
        <f t="shared" si="19"/>
        <v/>
      </c>
      <c r="H537" s="337" t="str">
        <f t="shared" si="17"/>
        <v/>
      </c>
      <c r="I537" s="268"/>
      <c r="J537" s="2"/>
      <c r="K537" s="333"/>
      <c r="L537" s="33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5">
        <f>'[1]Prior Year'!AS72</f>
        <v>0</v>
      </c>
      <c r="C538" s="335">
        <f>AS71</f>
        <v>0</v>
      </c>
      <c r="D538" s="335">
        <f>'[1]Prior Year'!AS59</f>
        <v>0</v>
      </c>
      <c r="E538" s="2">
        <f>AS59</f>
        <v>0</v>
      </c>
      <c r="F538" s="336" t="str">
        <f t="shared" si="19"/>
        <v/>
      </c>
      <c r="G538" s="336" t="str">
        <f t="shared" si="19"/>
        <v/>
      </c>
      <c r="H538" s="337" t="str">
        <f t="shared" si="17"/>
        <v/>
      </c>
      <c r="I538" s="268"/>
      <c r="J538" s="2"/>
      <c r="K538" s="333"/>
      <c r="L538" s="33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5">
        <f>'[1]Prior Year'!AT72</f>
        <v>8226695</v>
      </c>
      <c r="C539" s="335">
        <f>AT71</f>
        <v>6356284</v>
      </c>
      <c r="D539" s="335">
        <f>'[1]Prior Year'!AT59</f>
        <v>123</v>
      </c>
      <c r="E539" s="2">
        <f>AT59</f>
        <v>72</v>
      </c>
      <c r="F539" s="336">
        <f t="shared" si="19"/>
        <v>66883.699186991871</v>
      </c>
      <c r="G539" s="336">
        <f t="shared" si="19"/>
        <v>88281.722222222219</v>
      </c>
      <c r="H539" s="337">
        <f t="shared" si="17"/>
        <v>0.31992882115276333</v>
      </c>
      <c r="I539" s="268" t="s">
        <v>1281</v>
      </c>
      <c r="J539" s="2"/>
      <c r="K539" s="333"/>
      <c r="L539" s="33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5">
        <f>'[1]Prior Year'!AU72</f>
        <v>0</v>
      </c>
      <c r="C540" s="335">
        <f>AU71</f>
        <v>0</v>
      </c>
      <c r="D540" s="335">
        <f>'[1]Prior Year'!AU59</f>
        <v>0</v>
      </c>
      <c r="E540" s="2">
        <f>AU59</f>
        <v>0</v>
      </c>
      <c r="F540" s="336" t="str">
        <f t="shared" si="19"/>
        <v/>
      </c>
      <c r="G540" s="336" t="str">
        <f t="shared" si="19"/>
        <v/>
      </c>
      <c r="H540" s="337" t="str">
        <f t="shared" si="17"/>
        <v/>
      </c>
      <c r="I540" s="268"/>
      <c r="J540" s="2"/>
      <c r="K540" s="333"/>
      <c r="L540" s="33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5">
        <f>'[1]Prior Year'!AV72</f>
        <v>26164441</v>
      </c>
      <c r="C541" s="335">
        <f>AV71</f>
        <v>25665469</v>
      </c>
      <c r="D541" s="329" t="s">
        <v>529</v>
      </c>
      <c r="E541" s="329" t="s">
        <v>529</v>
      </c>
      <c r="F541" s="336"/>
      <c r="G541" s="336"/>
      <c r="H541" s="337"/>
      <c r="I541" s="268"/>
      <c r="J541" s="2"/>
      <c r="K541" s="333"/>
      <c r="L541" s="33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5">
        <f>'[1]Prior Year'!AW72</f>
        <v>18180181</v>
      </c>
      <c r="C542" s="335">
        <f>AW71</f>
        <v>17961648</v>
      </c>
      <c r="D542" s="329" t="s">
        <v>529</v>
      </c>
      <c r="E542" s="329" t="s">
        <v>529</v>
      </c>
      <c r="F542" s="336"/>
      <c r="G542" s="336"/>
      <c r="H542" s="337"/>
      <c r="I542" s="268"/>
      <c r="J542" s="2"/>
      <c r="K542" s="333"/>
      <c r="L542" s="33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5">
        <f>'[1]Prior Year'!AX72</f>
        <v>1299206</v>
      </c>
      <c r="C543" s="335">
        <f>AX71</f>
        <v>1333481</v>
      </c>
      <c r="D543" s="329" t="s">
        <v>529</v>
      </c>
      <c r="E543" s="329" t="s">
        <v>529</v>
      </c>
      <c r="F543" s="336"/>
      <c r="G543" s="336"/>
      <c r="H543" s="337"/>
      <c r="I543" s="268"/>
      <c r="J543" s="2"/>
      <c r="K543" s="333"/>
      <c r="L543" s="33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5">
        <f>'[1]Prior Year'!AY72</f>
        <v>4918720</v>
      </c>
      <c r="C544" s="335">
        <f>AY71</f>
        <v>4915905</v>
      </c>
      <c r="D544" s="335">
        <f>'[1]Prior Year'!AY59</f>
        <v>376953</v>
      </c>
      <c r="E544" s="2">
        <f>AY59</f>
        <v>295450</v>
      </c>
      <c r="F544" s="336">
        <f t="shared" ref="F544:G550" si="20">IF(B544=0,"",IF(D544=0,"",B544/D544))</f>
        <v>13.048629404726849</v>
      </c>
      <c r="G544" s="336">
        <f t="shared" si="20"/>
        <v>16.638703672364191</v>
      </c>
      <c r="H544" s="337">
        <f t="shared" si="17"/>
        <v>0.27513037241572991</v>
      </c>
      <c r="I544" s="268" t="s">
        <v>1281</v>
      </c>
      <c r="J544" s="2"/>
      <c r="K544" s="333"/>
      <c r="L544" s="33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5">
        <f>'[1]Prior Year'!AZ72</f>
        <v>829671</v>
      </c>
      <c r="C545" s="335">
        <f>AZ71</f>
        <v>1117956</v>
      </c>
      <c r="D545" s="335">
        <f>'[1]Prior Year'!AZ59</f>
        <v>876750</v>
      </c>
      <c r="E545" s="2">
        <f>AZ59</f>
        <v>688175</v>
      </c>
      <c r="F545" s="336">
        <f t="shared" si="20"/>
        <v>0.94630282292557744</v>
      </c>
      <c r="G545" s="336">
        <f t="shared" si="20"/>
        <v>1.6245228321284557</v>
      </c>
      <c r="H545" s="337">
        <f t="shared" si="17"/>
        <v>0.71670504702300497</v>
      </c>
      <c r="I545" s="268" t="s">
        <v>1281</v>
      </c>
      <c r="J545" s="2"/>
      <c r="K545" s="333"/>
      <c r="L545" s="33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5">
        <f>'[1]Prior Year'!BA72</f>
        <v>1853006</v>
      </c>
      <c r="C546" s="335">
        <f>BA71</f>
        <v>1986717</v>
      </c>
      <c r="D546" s="335">
        <f>'[1]Prior Year'!BA59</f>
        <v>0</v>
      </c>
      <c r="E546" s="2">
        <f>BA59</f>
        <v>0</v>
      </c>
      <c r="F546" s="336" t="str">
        <f t="shared" si="20"/>
        <v/>
      </c>
      <c r="G546" s="336" t="str">
        <f t="shared" si="20"/>
        <v/>
      </c>
      <c r="H546" s="337" t="str">
        <f t="shared" si="17"/>
        <v/>
      </c>
      <c r="I546" s="268"/>
      <c r="J546" s="2"/>
      <c r="K546" s="333"/>
      <c r="L546" s="33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5">
        <f>'[1]Prior Year'!BB72</f>
        <v>931977</v>
      </c>
      <c r="C547" s="335">
        <f>BB71</f>
        <v>987281</v>
      </c>
      <c r="D547" s="329" t="s">
        <v>529</v>
      </c>
      <c r="E547" s="329" t="s">
        <v>529</v>
      </c>
      <c r="F547" s="336"/>
      <c r="G547" s="336"/>
      <c r="H547" s="337"/>
      <c r="I547" s="268"/>
      <c r="J547" s="2"/>
      <c r="K547" s="333"/>
      <c r="L547" s="33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5">
        <f>'[1]Prior Year'!BC72</f>
        <v>3500350</v>
      </c>
      <c r="C548" s="335">
        <f>BC71</f>
        <v>3544181</v>
      </c>
      <c r="D548" s="329" t="s">
        <v>529</v>
      </c>
      <c r="E548" s="329" t="s">
        <v>529</v>
      </c>
      <c r="F548" s="336"/>
      <c r="G548" s="336"/>
      <c r="H548" s="337"/>
      <c r="I548" s="268"/>
      <c r="J548" s="2"/>
      <c r="K548" s="333"/>
      <c r="L548" s="33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5">
        <f>'[1]Prior Year'!BD72</f>
        <v>-814616</v>
      </c>
      <c r="C549" s="335">
        <f>BD71</f>
        <v>-639210</v>
      </c>
      <c r="D549" s="329" t="s">
        <v>529</v>
      </c>
      <c r="E549" s="329" t="s">
        <v>529</v>
      </c>
      <c r="F549" s="336"/>
      <c r="G549" s="336"/>
      <c r="H549" s="337"/>
      <c r="I549" s="268"/>
      <c r="J549" s="2"/>
      <c r="K549" s="333"/>
      <c r="L549" s="33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5">
        <f>'[1]Prior Year'!BE72</f>
        <v>24746279</v>
      </c>
      <c r="C550" s="335">
        <f>BE71</f>
        <v>24827529</v>
      </c>
      <c r="D550" s="335">
        <f>'[1]Prior Year'!BE59</f>
        <v>1533878</v>
      </c>
      <c r="E550" s="2">
        <f>BE59</f>
        <v>1528631</v>
      </c>
      <c r="F550" s="336">
        <f t="shared" si="20"/>
        <v>16.133146834363618</v>
      </c>
      <c r="G550" s="336">
        <f t="shared" si="20"/>
        <v>16.241675721609727</v>
      </c>
      <c r="H550" s="337" t="str">
        <f t="shared" si="17"/>
        <v/>
      </c>
      <c r="I550" s="268"/>
      <c r="J550" s="2"/>
      <c r="K550" s="333"/>
      <c r="L550" s="33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5">
        <f>'[1]Prior Year'!BF72</f>
        <v>9660379</v>
      </c>
      <c r="C551" s="335">
        <f>BF71</f>
        <v>9925339</v>
      </c>
      <c r="D551" s="329" t="s">
        <v>529</v>
      </c>
      <c r="E551" s="329" t="s">
        <v>529</v>
      </c>
      <c r="F551" s="336"/>
      <c r="G551" s="336"/>
      <c r="H551" s="337"/>
      <c r="I551" s="268"/>
      <c r="J551" s="324"/>
      <c r="K551" s="2"/>
      <c r="L551" s="2"/>
      <c r="M551" s="33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5">
        <f>'[1]Prior Year'!BG72</f>
        <v>6154843</v>
      </c>
      <c r="C552" s="335">
        <f>BG71</f>
        <v>6251198</v>
      </c>
      <c r="D552" s="329" t="s">
        <v>529</v>
      </c>
      <c r="E552" s="329" t="s">
        <v>529</v>
      </c>
      <c r="F552" s="336"/>
      <c r="G552" s="336"/>
      <c r="H552" s="337"/>
      <c r="I552" s="2"/>
      <c r="J552" s="324"/>
      <c r="K552" s="2"/>
      <c r="L552" s="2"/>
      <c r="M552" s="33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5">
        <f>'[1]Prior Year'!BH72</f>
        <v>44375065</v>
      </c>
      <c r="C553" s="335">
        <f>BH71</f>
        <v>43748362</v>
      </c>
      <c r="D553" s="329" t="s">
        <v>529</v>
      </c>
      <c r="E553" s="329" t="s">
        <v>529</v>
      </c>
      <c r="F553" s="336"/>
      <c r="G553" s="336"/>
      <c r="H553" s="337"/>
      <c r="I553" s="2"/>
      <c r="J553" s="324"/>
      <c r="K553" s="2"/>
      <c r="L553" s="2"/>
      <c r="M553" s="33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5">
        <f>'[1]Prior Year'!BI72</f>
        <v>3275251</v>
      </c>
      <c r="C554" s="335">
        <f>BI71</f>
        <v>2678459</v>
      </c>
      <c r="D554" s="329" t="s">
        <v>529</v>
      </c>
      <c r="E554" s="329" t="s">
        <v>529</v>
      </c>
      <c r="F554" s="336"/>
      <c r="G554" s="336"/>
      <c r="H554" s="337"/>
      <c r="I554" s="2"/>
      <c r="J554" s="324"/>
      <c r="K554" s="2"/>
      <c r="L554" s="2"/>
      <c r="M554" s="33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5">
        <f>'[1]Prior Year'!BJ72</f>
        <v>3117734</v>
      </c>
      <c r="C555" s="335">
        <f>BJ71</f>
        <v>3065999</v>
      </c>
      <c r="D555" s="329" t="s">
        <v>529</v>
      </c>
      <c r="E555" s="329" t="s">
        <v>529</v>
      </c>
      <c r="F555" s="336"/>
      <c r="G555" s="336"/>
      <c r="H555" s="337"/>
      <c r="I555" s="2"/>
      <c r="J555" s="324"/>
      <c r="K555" s="2"/>
      <c r="L555" s="2"/>
      <c r="M555" s="33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5">
        <f>'[1]Prior Year'!BK72</f>
        <v>22840595</v>
      </c>
      <c r="C556" s="335">
        <f>BK71</f>
        <v>22224420</v>
      </c>
      <c r="D556" s="329" t="s">
        <v>529</v>
      </c>
      <c r="E556" s="329" t="s">
        <v>529</v>
      </c>
      <c r="F556" s="336"/>
      <c r="G556" s="336"/>
      <c r="H556" s="337"/>
      <c r="I556" s="2"/>
      <c r="J556" s="324"/>
      <c r="K556" s="2"/>
      <c r="L556" s="2"/>
      <c r="M556" s="33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5">
        <f>'[1]Prior Year'!BL72</f>
        <v>7103412</v>
      </c>
      <c r="C557" s="335">
        <f>BL71</f>
        <v>6459011</v>
      </c>
      <c r="D557" s="329" t="s">
        <v>529</v>
      </c>
      <c r="E557" s="329" t="s">
        <v>529</v>
      </c>
      <c r="F557" s="336"/>
      <c r="G557" s="336"/>
      <c r="H557" s="337"/>
      <c r="I557" s="2"/>
      <c r="J557" s="324"/>
      <c r="K557" s="2"/>
      <c r="L557" s="2"/>
      <c r="M557" s="33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5">
        <f>'[1]Prior Year'!BM72</f>
        <v>4143053</v>
      </c>
      <c r="C558" s="335">
        <f>BM71</f>
        <v>3546020</v>
      </c>
      <c r="D558" s="329" t="s">
        <v>529</v>
      </c>
      <c r="E558" s="329" t="s">
        <v>529</v>
      </c>
      <c r="F558" s="336"/>
      <c r="G558" s="336"/>
      <c r="H558" s="337"/>
      <c r="I558" s="2"/>
      <c r="J558" s="324"/>
      <c r="K558" s="2"/>
      <c r="L558" s="2"/>
      <c r="M558" s="33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5">
        <f>'[1]Prior Year'!BN72</f>
        <v>82211</v>
      </c>
      <c r="C559" s="335">
        <f>BN71</f>
        <v>-1976466</v>
      </c>
      <c r="D559" s="329" t="s">
        <v>529</v>
      </c>
      <c r="E559" s="329" t="s">
        <v>529</v>
      </c>
      <c r="F559" s="336"/>
      <c r="G559" s="336"/>
      <c r="H559" s="337"/>
      <c r="I559" s="2"/>
      <c r="J559" s="324"/>
      <c r="K559" s="2"/>
      <c r="L559" s="2"/>
      <c r="M559" s="33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5">
        <f>'[1]Prior Year'!BO72</f>
        <v>3169320</v>
      </c>
      <c r="C560" s="335">
        <f>BO71</f>
        <v>1843288</v>
      </c>
      <c r="D560" s="329" t="s">
        <v>529</v>
      </c>
      <c r="E560" s="329" t="s">
        <v>529</v>
      </c>
      <c r="F560" s="336"/>
      <c r="G560" s="336"/>
      <c r="H560" s="337"/>
      <c r="I560" s="2"/>
      <c r="J560" s="324"/>
      <c r="K560" s="2"/>
      <c r="L560" s="2"/>
      <c r="M560" s="33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5">
        <f>'[1]Prior Year'!BP72</f>
        <v>3153379</v>
      </c>
      <c r="C561" s="335">
        <f>BP71</f>
        <v>2753385</v>
      </c>
      <c r="D561" s="329" t="s">
        <v>529</v>
      </c>
      <c r="E561" s="329" t="s">
        <v>529</v>
      </c>
      <c r="F561" s="336"/>
      <c r="G561" s="336"/>
      <c r="H561" s="337"/>
      <c r="I561" s="2"/>
      <c r="J561" s="324"/>
      <c r="K561" s="2"/>
      <c r="L561" s="2"/>
      <c r="M561" s="33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5">
        <f>'[1]Prior Year'!BQ72</f>
        <v>0</v>
      </c>
      <c r="C562" s="335">
        <f>BQ71</f>
        <v>0</v>
      </c>
      <c r="D562" s="329" t="s">
        <v>529</v>
      </c>
      <c r="E562" s="329" t="s">
        <v>529</v>
      </c>
      <c r="F562" s="336"/>
      <c r="G562" s="336"/>
      <c r="H562" s="337"/>
      <c r="I562" s="2"/>
      <c r="J562" s="324"/>
      <c r="K562" s="2"/>
      <c r="L562" s="2"/>
      <c r="M562" s="33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5">
        <f>'[1]Prior Year'!BR72</f>
        <v>2689397</v>
      </c>
      <c r="C563" s="335">
        <f>BR71</f>
        <v>1532747</v>
      </c>
      <c r="D563" s="329" t="s">
        <v>529</v>
      </c>
      <c r="E563" s="329" t="s">
        <v>529</v>
      </c>
      <c r="F563" s="336"/>
      <c r="G563" s="336"/>
      <c r="H563" s="337"/>
      <c r="I563" s="2"/>
      <c r="J563" s="324"/>
      <c r="K563" s="2"/>
      <c r="L563" s="2"/>
      <c r="M563" s="33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5">
        <f>'[1]Prior Year'!BS72</f>
        <v>0</v>
      </c>
      <c r="C564" s="335">
        <f>BS71</f>
        <v>0</v>
      </c>
      <c r="D564" s="329" t="s">
        <v>529</v>
      </c>
      <c r="E564" s="329" t="s">
        <v>529</v>
      </c>
      <c r="F564" s="336"/>
      <c r="G564" s="336"/>
      <c r="H564" s="337"/>
      <c r="I564" s="2"/>
      <c r="J564" s="324"/>
      <c r="K564" s="2"/>
      <c r="L564" s="2"/>
      <c r="M564" s="33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5">
        <f>'[1]Prior Year'!BT72</f>
        <v>180027.5</v>
      </c>
      <c r="C565" s="335">
        <f>BT71</f>
        <v>175158</v>
      </c>
      <c r="D565" s="329" t="s">
        <v>529</v>
      </c>
      <c r="E565" s="329" t="s">
        <v>529</v>
      </c>
      <c r="F565" s="336"/>
      <c r="G565" s="336"/>
      <c r="H565" s="337"/>
      <c r="I565" s="2"/>
      <c r="J565" s="324"/>
      <c r="K565" s="2"/>
      <c r="L565" s="2"/>
      <c r="M565" s="33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5">
        <f>'[1]Prior Year'!BU72</f>
        <v>1265840.5</v>
      </c>
      <c r="C566" s="335">
        <f>BU71</f>
        <v>932592</v>
      </c>
      <c r="D566" s="329" t="s">
        <v>529</v>
      </c>
      <c r="E566" s="329" t="s">
        <v>529</v>
      </c>
      <c r="F566" s="336"/>
      <c r="G566" s="336"/>
      <c r="H566" s="337"/>
      <c r="I566" s="2"/>
      <c r="J566" s="324"/>
      <c r="K566" s="2"/>
      <c r="L566" s="2"/>
      <c r="M566" s="33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5">
        <f>'[1]Prior Year'!BV72</f>
        <v>5242669.5</v>
      </c>
      <c r="C567" s="335">
        <f>BV71</f>
        <v>5009430</v>
      </c>
      <c r="D567" s="329" t="s">
        <v>529</v>
      </c>
      <c r="E567" s="329" t="s">
        <v>529</v>
      </c>
      <c r="F567" s="336"/>
      <c r="G567" s="336"/>
      <c r="H567" s="337"/>
      <c r="I567" s="2"/>
      <c r="J567" s="324"/>
      <c r="K567" s="2"/>
      <c r="L567" s="2"/>
      <c r="M567" s="33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5">
        <f>'[1]Prior Year'!BW72</f>
        <v>-8028085.5999999996</v>
      </c>
      <c r="C568" s="335">
        <f>BW71</f>
        <v>-8817886</v>
      </c>
      <c r="D568" s="329" t="s">
        <v>529</v>
      </c>
      <c r="E568" s="329" t="s">
        <v>529</v>
      </c>
      <c r="F568" s="336"/>
      <c r="G568" s="336"/>
      <c r="H568" s="337"/>
      <c r="I568" s="2"/>
      <c r="J568" s="324"/>
      <c r="K568" s="2"/>
      <c r="L568" s="2"/>
      <c r="M568" s="33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5">
        <f>'[1]Prior Year'!BX72</f>
        <v>14798456.399999999</v>
      </c>
      <c r="C569" s="335">
        <f>BX71</f>
        <v>10207754</v>
      </c>
      <c r="D569" s="329" t="s">
        <v>529</v>
      </c>
      <c r="E569" s="329" t="s">
        <v>529</v>
      </c>
      <c r="F569" s="336"/>
      <c r="G569" s="336"/>
      <c r="H569" s="337"/>
      <c r="I569" s="2"/>
      <c r="J569" s="324"/>
      <c r="K569" s="2"/>
      <c r="L569" s="2"/>
      <c r="M569" s="33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5">
        <f>'[1]Prior Year'!BY72</f>
        <v>7372585.4000000004</v>
      </c>
      <c r="C570" s="335">
        <f>BY71</f>
        <v>7192159</v>
      </c>
      <c r="D570" s="329" t="s">
        <v>529</v>
      </c>
      <c r="E570" s="329" t="s">
        <v>529</v>
      </c>
      <c r="F570" s="336"/>
      <c r="G570" s="336"/>
      <c r="H570" s="337"/>
      <c r="I570" s="2"/>
      <c r="J570" s="324"/>
      <c r="K570" s="2"/>
      <c r="L570" s="2"/>
      <c r="M570" s="33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5">
        <f>'[1]Prior Year'!BZ72</f>
        <v>0</v>
      </c>
      <c r="C571" s="335">
        <f>BZ71</f>
        <v>0</v>
      </c>
      <c r="D571" s="329" t="s">
        <v>529</v>
      </c>
      <c r="E571" s="329" t="s">
        <v>529</v>
      </c>
      <c r="F571" s="336"/>
      <c r="G571" s="336"/>
      <c r="H571" s="337"/>
      <c r="I571" s="2"/>
      <c r="J571" s="324"/>
      <c r="K571" s="2"/>
      <c r="L571" s="2"/>
      <c r="M571" s="33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5">
        <f>'[1]Prior Year'!CA72</f>
        <v>5414391.2000000002</v>
      </c>
      <c r="C572" s="335">
        <f>CA71</f>
        <v>4706770</v>
      </c>
      <c r="D572" s="329" t="s">
        <v>529</v>
      </c>
      <c r="E572" s="329" t="s">
        <v>529</v>
      </c>
      <c r="F572" s="336"/>
      <c r="G572" s="336"/>
      <c r="H572" s="337"/>
      <c r="I572" s="2"/>
      <c r="J572" s="324"/>
      <c r="K572" s="2"/>
      <c r="L572" s="2"/>
      <c r="M572" s="33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5">
        <f>'[1]Prior Year'!CB72</f>
        <v>0</v>
      </c>
      <c r="C573" s="335">
        <f>CB71</f>
        <v>0</v>
      </c>
      <c r="D573" s="329" t="s">
        <v>529</v>
      </c>
      <c r="E573" s="329" t="s">
        <v>529</v>
      </c>
      <c r="F573" s="336"/>
      <c r="G573" s="336"/>
      <c r="H573" s="337"/>
      <c r="I573" s="2"/>
      <c r="J573" s="324"/>
      <c r="K573" s="2"/>
      <c r="L573" s="2"/>
      <c r="M573" s="33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5">
        <f>'[1]Prior Year'!CC72</f>
        <v>5879272</v>
      </c>
      <c r="C574" s="335">
        <f>CC71</f>
        <v>11567769</v>
      </c>
      <c r="D574" s="329" t="s">
        <v>529</v>
      </c>
      <c r="E574" s="329" t="s">
        <v>529</v>
      </c>
      <c r="F574" s="336"/>
      <c r="G574" s="336"/>
      <c r="H574" s="337"/>
      <c r="I574" s="2"/>
      <c r="J574" s="324"/>
      <c r="K574" s="2"/>
      <c r="L574" s="2"/>
      <c r="M574" s="33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5">
        <f>'[1]Prior Year'!CD72</f>
        <v>42483335</v>
      </c>
      <c r="C575" s="335">
        <f>CD71</f>
        <v>-11375403</v>
      </c>
      <c r="D575" s="329" t="s">
        <v>529</v>
      </c>
      <c r="E575" s="329" t="s">
        <v>529</v>
      </c>
      <c r="F575" s="336"/>
      <c r="G575" s="336"/>
      <c r="H575" s="3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8"/>
      <c r="B612" s="2"/>
      <c r="C612" s="329" t="s">
        <v>589</v>
      </c>
      <c r="D612" s="2">
        <f>CE76-(BE76+CD76)</f>
        <v>1143186</v>
      </c>
      <c r="E612" s="2">
        <f>SUM(C624:D647)+SUM(C668:D713)</f>
        <v>1030023708.9846851</v>
      </c>
      <c r="F612" s="2">
        <f>CE64-(AX64+BD64+BE64+BG64+BJ64+BN64+BP64+BQ64+CB64+CC64+CD64)</f>
        <v>284125289</v>
      </c>
      <c r="G612" s="2">
        <f>CE77-(AX77+AY77+BD77+BE77+BG77+BJ77+BN77+BP77+BQ77+CB77+CC77+CD77)</f>
        <v>295450</v>
      </c>
      <c r="H612" s="328">
        <f>CE60-(AX60+AY60+AZ60+BD60+BE60+BG60+BJ60+BN60+BO60+BP60+BQ60+BR60+CB60+CC60+CD60)</f>
        <v>4294.79</v>
      </c>
      <c r="I612" s="2">
        <f>CE78-(AX78+AY78+AZ78+BD78+BE78+BF78+BG78+BJ78+BN78+BO78+BP78+BQ78+BR78+CB78+CC78+CD78)</f>
        <v>99379</v>
      </c>
      <c r="J612" s="2">
        <f>CE79-(AX79+AY79+AZ79+BA79+BD79+BE79+BF79+BG79+BJ79+BN79+BO79+BP79+BQ79+BR79+CB79+CC79+CD79)</f>
        <v>2371779</v>
      </c>
      <c r="K612" s="2">
        <f>CE75-(AW75+AX75+AY75+AZ75+BA75+BB75+BC75+BD75+BE75+BF75+BG75+BH75+BI75+BJ75+BK75+BL75+BM75+BN75+BO75+BP75+BQ75+BR75+BS75+BT75+BU75+BV75+BW75+BX75+CB75+CC75+CD75)</f>
        <v>2534215089</v>
      </c>
      <c r="L612" s="328">
        <f>CE80-(AW80+AX80+AY80+AZ80+BA80+BB80+BC80+BD80+BE80+BF80+BG80+BH80+BI80+BJ80+BK80+BL80+BM80+BN80+BO80+BP80+BQ80+BR80+BS80+BT80+BU80+BV80+BW80+BX80+BY80+BZ80+CA80+CB80+CC80+CD80)</f>
        <v>1512.2799999999997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8"/>
      <c r="B613" s="2"/>
      <c r="C613" s="329" t="s">
        <v>590</v>
      </c>
      <c r="D613" s="329" t="s">
        <v>591</v>
      </c>
      <c r="E613" s="332" t="s">
        <v>592</v>
      </c>
      <c r="F613" s="329" t="s">
        <v>593</v>
      </c>
      <c r="G613" s="329" t="s">
        <v>594</v>
      </c>
      <c r="H613" s="329" t="s">
        <v>595</v>
      </c>
      <c r="I613" s="329" t="s">
        <v>596</v>
      </c>
      <c r="J613" s="329" t="s">
        <v>597</v>
      </c>
      <c r="K613" s="329" t="s">
        <v>598</v>
      </c>
      <c r="L613" s="332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8">
        <v>8430</v>
      </c>
      <c r="B614" s="332" t="s">
        <v>140</v>
      </c>
      <c r="C614" s="2">
        <f>BE71</f>
        <v>24827529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4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8"/>
      <c r="B615" s="332" t="s">
        <v>601</v>
      </c>
      <c r="C615" s="339">
        <f>CD69-CD70</f>
        <v>-11375403</v>
      </c>
      <c r="D615" s="340">
        <f>SUM(C614:C615)</f>
        <v>13452126</v>
      </c>
      <c r="E615" s="2"/>
      <c r="F615" s="2"/>
      <c r="G615" s="2"/>
      <c r="H615" s="2"/>
      <c r="I615" s="2"/>
      <c r="J615" s="2"/>
      <c r="K615" s="2"/>
      <c r="L615" s="2"/>
      <c r="M615" s="2"/>
      <c r="N615" s="324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8">
        <v>8310</v>
      </c>
      <c r="B616" s="341" t="s">
        <v>603</v>
      </c>
      <c r="C616" s="2">
        <f>AX71</f>
        <v>1333481</v>
      </c>
      <c r="D616" s="2">
        <f>(D615/D612)*AX76</f>
        <v>28794.397693813604</v>
      </c>
      <c r="E616" s="2"/>
      <c r="F616" s="2"/>
      <c r="G616" s="2"/>
      <c r="H616" s="2"/>
      <c r="I616" s="2"/>
      <c r="J616" s="2"/>
      <c r="K616" s="2"/>
      <c r="L616" s="2"/>
      <c r="M616" s="2"/>
      <c r="N616" s="324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8">
        <v>8510</v>
      </c>
      <c r="B617" s="341" t="s">
        <v>145</v>
      </c>
      <c r="C617" s="2">
        <f>BJ71</f>
        <v>3065999</v>
      </c>
      <c r="D617" s="2">
        <f>(D615/D612)*BJ76</f>
        <v>39808.519574242513</v>
      </c>
      <c r="E617" s="2"/>
      <c r="F617" s="2"/>
      <c r="G617" s="2"/>
      <c r="H617" s="2"/>
      <c r="I617" s="2"/>
      <c r="J617" s="2"/>
      <c r="K617" s="2"/>
      <c r="L617" s="2"/>
      <c r="M617" s="2"/>
      <c r="N617" s="324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8">
        <v>8470</v>
      </c>
      <c r="B618" s="341" t="s">
        <v>606</v>
      </c>
      <c r="C618" s="2">
        <f>BG71</f>
        <v>6251198</v>
      </c>
      <c r="D618" s="2">
        <f>(D615/D612)*BG76</f>
        <v>138194.28137153535</v>
      </c>
      <c r="E618" s="2"/>
      <c r="F618" s="2"/>
      <c r="G618" s="2"/>
      <c r="H618" s="2"/>
      <c r="I618" s="2"/>
      <c r="J618" s="2"/>
      <c r="K618" s="2"/>
      <c r="L618" s="2"/>
      <c r="M618" s="2"/>
      <c r="N618" s="324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8">
        <v>8610</v>
      </c>
      <c r="B619" s="341" t="s">
        <v>608</v>
      </c>
      <c r="C619" s="2">
        <f>BN71</f>
        <v>-1976466</v>
      </c>
      <c r="D619" s="2">
        <f>(D615/D612)*BN76</f>
        <v>126603.56550377629</v>
      </c>
      <c r="E619" s="2"/>
      <c r="F619" s="2"/>
      <c r="G619" s="2"/>
      <c r="H619" s="2"/>
      <c r="I619" s="2"/>
      <c r="J619" s="2"/>
      <c r="K619" s="2"/>
      <c r="L619" s="2"/>
      <c r="M619" s="2"/>
      <c r="N619" s="324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8">
        <v>8790</v>
      </c>
      <c r="B620" s="341" t="s">
        <v>610</v>
      </c>
      <c r="C620" s="2">
        <f>CC71</f>
        <v>11567769</v>
      </c>
      <c r="D620" s="2">
        <f>(D615/D612)*CC76</f>
        <v>121367.15072088006</v>
      </c>
      <c r="E620" s="2"/>
      <c r="F620" s="2"/>
      <c r="G620" s="2"/>
      <c r="H620" s="2"/>
      <c r="I620" s="2"/>
      <c r="J620" s="2"/>
      <c r="K620" s="2"/>
      <c r="L620" s="2"/>
      <c r="M620" s="2"/>
      <c r="N620" s="324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8">
        <v>8630</v>
      </c>
      <c r="B621" s="341" t="s">
        <v>612</v>
      </c>
      <c r="C621" s="2">
        <f>BP71</f>
        <v>2753385</v>
      </c>
      <c r="D621" s="2">
        <f>(D615/D612)*BP76</f>
        <v>61213.100450845268</v>
      </c>
      <c r="E621" s="2"/>
      <c r="F621" s="2"/>
      <c r="G621" s="2"/>
      <c r="H621" s="2"/>
      <c r="I621" s="2"/>
      <c r="J621" s="2"/>
      <c r="K621" s="2"/>
      <c r="L621" s="2"/>
      <c r="M621" s="2"/>
      <c r="N621" s="324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8">
        <v>8770</v>
      </c>
      <c r="B622" s="332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4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8">
        <v>8640</v>
      </c>
      <c r="B623" s="341" t="s">
        <v>616</v>
      </c>
      <c r="C623" s="2">
        <f>BQ71</f>
        <v>0</v>
      </c>
      <c r="D623" s="2">
        <f>(D615/D612)*BQ76</f>
        <v>0</v>
      </c>
      <c r="E623" s="2">
        <f>SUM(C616:D623)</f>
        <v>23511347.015315093</v>
      </c>
      <c r="F623" s="2"/>
      <c r="G623" s="2"/>
      <c r="H623" s="2"/>
      <c r="I623" s="2"/>
      <c r="J623" s="2"/>
      <c r="K623" s="2"/>
      <c r="L623" s="2"/>
      <c r="M623" s="2"/>
      <c r="N623" s="324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8">
        <v>8420</v>
      </c>
      <c r="B624" s="341" t="s">
        <v>139</v>
      </c>
      <c r="C624" s="2">
        <f>BD71</f>
        <v>-639210</v>
      </c>
      <c r="D624" s="2">
        <f>(D615/D612)*BD76</f>
        <v>90654.695477376386</v>
      </c>
      <c r="E624" s="2">
        <f>(E623/E612)*SUM(C624:D624)</f>
        <v>-12521.33713935221</v>
      </c>
      <c r="F624" s="2">
        <f>SUM(C624:E624)</f>
        <v>-561076.64166197588</v>
      </c>
      <c r="G624" s="2"/>
      <c r="H624" s="2"/>
      <c r="I624" s="2"/>
      <c r="J624" s="2"/>
      <c r="K624" s="2"/>
      <c r="L624" s="2"/>
      <c r="M624" s="2"/>
      <c r="N624" s="324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8">
        <v>8320</v>
      </c>
      <c r="B625" s="341" t="s">
        <v>135</v>
      </c>
      <c r="C625" s="2">
        <f>AY71</f>
        <v>4915905</v>
      </c>
      <c r="D625" s="2">
        <f>(D615/D612)*AY76</f>
        <v>64390.250993276684</v>
      </c>
      <c r="E625" s="2">
        <f>(E623/E612)*SUM(C625:D625)</f>
        <v>113680.34430998687</v>
      </c>
      <c r="F625" s="2">
        <f>(F624/F612)*AY64</f>
        <v>-1484.1377867548763</v>
      </c>
      <c r="G625" s="2">
        <f>SUM(C625:F625)</f>
        <v>5092491.4575165082</v>
      </c>
      <c r="H625" s="2"/>
      <c r="I625" s="2"/>
      <c r="J625" s="2"/>
      <c r="K625" s="2"/>
      <c r="L625" s="2"/>
      <c r="M625" s="2"/>
      <c r="N625" s="324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8">
        <v>8650</v>
      </c>
      <c r="B626" s="341" t="s">
        <v>152</v>
      </c>
      <c r="C626" s="2">
        <f>BR71</f>
        <v>1532747</v>
      </c>
      <c r="D626" s="2">
        <f>(D615/D612)*BR76</f>
        <v>0</v>
      </c>
      <c r="E626" s="2">
        <f>(E623/E612)*SUM(C626:D626)</f>
        <v>34986.521464836478</v>
      </c>
      <c r="F626" s="2">
        <f>(F624/F612)*BR64</f>
        <v>-3.6394657238096872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4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8">
        <v>8620</v>
      </c>
      <c r="B627" s="332" t="s">
        <v>621</v>
      </c>
      <c r="C627" s="2">
        <f>BO71</f>
        <v>1843288</v>
      </c>
      <c r="D627" s="2">
        <f>(D615/D612)*BO76</f>
        <v>15203.253706745883</v>
      </c>
      <c r="E627" s="2">
        <f>(E623/E612)*SUM(C627:D627)</f>
        <v>42421.96796994019</v>
      </c>
      <c r="F627" s="2">
        <f>(F624/F612)*BO64</f>
        <v>-1013.1873675424633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4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8">
        <v>8330</v>
      </c>
      <c r="B628" s="341" t="s">
        <v>136</v>
      </c>
      <c r="C628" s="2">
        <f>AZ71</f>
        <v>1117956</v>
      </c>
      <c r="D628" s="2">
        <f>(D615/D612)*AZ76</f>
        <v>199160.27011352484</v>
      </c>
      <c r="E628" s="2">
        <f>(E623/E612)*SUM(C628:D628)</f>
        <v>30064.529016212193</v>
      </c>
      <c r="F628" s="2">
        <f>(F624/F612)*AZ64</f>
        <v>-4226.2372521741145</v>
      </c>
      <c r="G628" s="2">
        <f>(G625/G612)*AZ77</f>
        <v>0</v>
      </c>
      <c r="H628" s="2">
        <f>SUM(C626:G628)</f>
        <v>4810584.4781858195</v>
      </c>
      <c r="I628" s="2"/>
      <c r="J628" s="2"/>
      <c r="K628" s="2"/>
      <c r="L628" s="2"/>
      <c r="M628" s="2"/>
      <c r="N628" s="324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8">
        <v>8460</v>
      </c>
      <c r="B629" s="341" t="s">
        <v>141</v>
      </c>
      <c r="C629" s="2">
        <f>BF71</f>
        <v>9925339</v>
      </c>
      <c r="D629" s="2">
        <f>(D615/D612)*BF76</f>
        <v>96961.927665314302</v>
      </c>
      <c r="E629" s="2">
        <f>(E623/E612)*SUM(C629:D629)</f>
        <v>228769.29234427665</v>
      </c>
      <c r="F629" s="2">
        <f>(F624/F612)*BF64</f>
        <v>-71.478079945206417</v>
      </c>
      <c r="G629" s="2">
        <f>(G625/G612)*BF77</f>
        <v>0</v>
      </c>
      <c r="H629" s="2">
        <f>(H628/H612)*BF60</f>
        <v>0</v>
      </c>
      <c r="I629" s="2">
        <f>SUM(C629:H629)</f>
        <v>10250998.741929645</v>
      </c>
      <c r="J629" s="2"/>
      <c r="K629" s="2"/>
      <c r="L629" s="2"/>
      <c r="M629" s="2"/>
      <c r="N629" s="324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8">
        <v>8350</v>
      </c>
      <c r="B630" s="341" t="s">
        <v>625</v>
      </c>
      <c r="C630" s="2">
        <f>BA71</f>
        <v>1986717</v>
      </c>
      <c r="D630" s="2">
        <f>(D615/D612)*BA76</f>
        <v>37302.100812991062</v>
      </c>
      <c r="E630" s="2">
        <f>(E623/E612)*SUM(C630:D630)</f>
        <v>46200.310759592248</v>
      </c>
      <c r="F630" s="2">
        <f>(F624/F612)*BA64</f>
        <v>-1.6805129305274247</v>
      </c>
      <c r="G630" s="2">
        <f>(G625/G612)*BA77</f>
        <v>0</v>
      </c>
      <c r="H630" s="2">
        <f>(H628/H612)*BA60</f>
        <v>0</v>
      </c>
      <c r="I630" s="2">
        <f>(I629/I612)*BA78</f>
        <v>30635.71404776768</v>
      </c>
      <c r="J630" s="2">
        <f>SUM(C630:I630)</f>
        <v>2100853.4451074204</v>
      </c>
      <c r="K630" s="2"/>
      <c r="L630" s="2"/>
      <c r="M630" s="2"/>
      <c r="N630" s="324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8">
        <v>8200</v>
      </c>
      <c r="B631" s="341" t="s">
        <v>627</v>
      </c>
      <c r="C631" s="2">
        <f>AW71</f>
        <v>17961648</v>
      </c>
      <c r="D631" s="2">
        <f>(D615/D612)*AW76</f>
        <v>193888.55365793494</v>
      </c>
      <c r="E631" s="2">
        <f>(E623/E612)*SUM(C631:D631)</f>
        <v>414418.73273291456</v>
      </c>
      <c r="F631" s="2">
        <f>(F624/F612)*AW64</f>
        <v>-655.28353260851452</v>
      </c>
      <c r="G631" s="2">
        <f>(G625/G612)*AW77</f>
        <v>0</v>
      </c>
      <c r="H631" s="2">
        <f>(H628/H612)*AW60</f>
        <v>173267.91599369573</v>
      </c>
      <c r="I631" s="2">
        <f>(I629/I612)*AW78</f>
        <v>159367.60337980159</v>
      </c>
      <c r="J631" s="2">
        <f>(J630/J612)*AW79</f>
        <v>2869.8985707133938</v>
      </c>
      <c r="K631" s="2"/>
      <c r="L631" s="2"/>
      <c r="M631" s="2"/>
      <c r="N631" s="324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8">
        <v>8360</v>
      </c>
      <c r="B632" s="341" t="s">
        <v>629</v>
      </c>
      <c r="C632" s="2">
        <f>BB71</f>
        <v>987281</v>
      </c>
      <c r="D632" s="2">
        <f>(D615/D612)*BB76</f>
        <v>4259.7351717043421</v>
      </c>
      <c r="E632" s="2">
        <f>(E623/E612)*SUM(C632:D632)</f>
        <v>22632.933689868303</v>
      </c>
      <c r="F632" s="2">
        <f>(F624/F612)*BB64</f>
        <v>-2.8535149055371667</v>
      </c>
      <c r="G632" s="2">
        <f>(G625/G612)*BB77</f>
        <v>0</v>
      </c>
      <c r="H632" s="2">
        <f>(H628/H612)*BB60</f>
        <v>10148.085324861875</v>
      </c>
      <c r="I632" s="2">
        <f>(I629/I612)*BB78</f>
        <v>3507.1187798791284</v>
      </c>
      <c r="J632" s="2">
        <f>(J630/J612)*BB79</f>
        <v>0</v>
      </c>
      <c r="K632" s="2"/>
      <c r="L632" s="2"/>
      <c r="M632" s="2"/>
      <c r="N632" s="324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8">
        <v>8370</v>
      </c>
      <c r="B633" s="341" t="s">
        <v>631</v>
      </c>
      <c r="C633" s="2">
        <f>BC71</f>
        <v>3544181</v>
      </c>
      <c r="D633" s="2">
        <f>(D615/D612)*BC76</f>
        <v>7919.3419076160835</v>
      </c>
      <c r="E633" s="2">
        <f>(E623/E612)*SUM(C633:D633)</f>
        <v>81080.331494632701</v>
      </c>
      <c r="F633" s="2">
        <f>(F624/F612)*BC64</f>
        <v>-326.42235768545504</v>
      </c>
      <c r="G633" s="2">
        <f>(G625/G612)*BC77</f>
        <v>0</v>
      </c>
      <c r="H633" s="2">
        <f>(H628/H612)*BC60</f>
        <v>0</v>
      </c>
      <c r="I633" s="2">
        <f>(I629/I612)*BC78</f>
        <v>6498.4847980113263</v>
      </c>
      <c r="J633" s="2">
        <f>(J630/J612)*BC79</f>
        <v>0</v>
      </c>
      <c r="K633" s="2"/>
      <c r="L633" s="2"/>
      <c r="M633" s="2"/>
      <c r="N633" s="324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8">
        <v>8490</v>
      </c>
      <c r="B634" s="341" t="s">
        <v>633</v>
      </c>
      <c r="C634" s="2">
        <f>BI71</f>
        <v>2678459</v>
      </c>
      <c r="D634" s="2">
        <f>(D615/D612)*BI76</f>
        <v>83323.714781321672</v>
      </c>
      <c r="E634" s="2">
        <f>(E623/E612)*SUM(C634:D634)</f>
        <v>63040.521515886874</v>
      </c>
      <c r="F634" s="2">
        <f>(F624/F612)*BI64</f>
        <v>-398.61332266934585</v>
      </c>
      <c r="G634" s="2">
        <f>(G625/G612)*BI77</f>
        <v>0</v>
      </c>
      <c r="H634" s="2">
        <f>(H628/H612)*BI60</f>
        <v>7235.8312581244709</v>
      </c>
      <c r="I634" s="2">
        <f>(I629/I612)*BI78</f>
        <v>68491.966759992385</v>
      </c>
      <c r="J634" s="2">
        <f>(J630/J612)*BI79</f>
        <v>0</v>
      </c>
      <c r="K634" s="2"/>
      <c r="L634" s="2"/>
      <c r="M634" s="2"/>
      <c r="N634" s="324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8">
        <v>8530</v>
      </c>
      <c r="B635" s="341" t="s">
        <v>635</v>
      </c>
      <c r="C635" s="2">
        <f>BK71</f>
        <v>22224420</v>
      </c>
      <c r="D635" s="2">
        <f>(D615/D612)*BK76</f>
        <v>278718.47314085375</v>
      </c>
      <c r="E635" s="2">
        <f>(E623/E612)*SUM(C635:D635)</f>
        <v>513657.20318926085</v>
      </c>
      <c r="F635" s="2">
        <f>(F624/F612)*BK64</f>
        <v>-593.27043324617296</v>
      </c>
      <c r="G635" s="2">
        <f>(G625/G612)*BK77</f>
        <v>0</v>
      </c>
      <c r="H635" s="2">
        <f>(H628/H612)*BK60</f>
        <v>216638.09963372353</v>
      </c>
      <c r="I635" s="2">
        <f>(I629/I612)*BK78</f>
        <v>229097.3767679866</v>
      </c>
      <c r="J635" s="2">
        <f>(J630/J612)*BK79</f>
        <v>0</v>
      </c>
      <c r="K635" s="2"/>
      <c r="L635" s="2"/>
      <c r="M635" s="2"/>
      <c r="N635" s="324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8">
        <v>8480</v>
      </c>
      <c r="B636" s="341" t="s">
        <v>637</v>
      </c>
      <c r="C636" s="2">
        <f>BH71</f>
        <v>43748362</v>
      </c>
      <c r="D636" s="2">
        <f>(D615/D612)*BH76</f>
        <v>534302.5834431143</v>
      </c>
      <c r="E636" s="2">
        <f>(E623/E612)*SUM(C636:D636)</f>
        <v>1010797.212435442</v>
      </c>
      <c r="F636" s="2">
        <f>(F624/F612)*BH64</f>
        <v>-20.699337882242617</v>
      </c>
      <c r="G636" s="2">
        <f>(G625/G612)*BH77</f>
        <v>0</v>
      </c>
      <c r="H636" s="2">
        <f>(H628/H612)*BH60</f>
        <v>172058.21045828174</v>
      </c>
      <c r="I636" s="2">
        <f>(I629/I612)*BH78</f>
        <v>439215.05190368614</v>
      </c>
      <c r="J636" s="2">
        <f>(J630/J612)*BH79</f>
        <v>0</v>
      </c>
      <c r="K636" s="2"/>
      <c r="L636" s="2"/>
      <c r="M636" s="2"/>
      <c r="N636" s="324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8">
        <v>8560</v>
      </c>
      <c r="B637" s="341" t="s">
        <v>147</v>
      </c>
      <c r="C637" s="2">
        <f>BL71</f>
        <v>6459011</v>
      </c>
      <c r="D637" s="2">
        <f>(D615/D612)*BL76</f>
        <v>86936.2526203085</v>
      </c>
      <c r="E637" s="2">
        <f>(E623/E612)*SUM(C637:D637)</f>
        <v>149417.9561672525</v>
      </c>
      <c r="F637" s="2">
        <f>(F624/F612)*BL64</f>
        <v>-49.044910860845029</v>
      </c>
      <c r="G637" s="2">
        <f>(G625/G612)*BL77</f>
        <v>0</v>
      </c>
      <c r="H637" s="2">
        <f>(H628/H612)*BL60</f>
        <v>84220.147414609746</v>
      </c>
      <c r="I637" s="2">
        <f>(I629/I612)*BL78</f>
        <v>71483.33277812459</v>
      </c>
      <c r="J637" s="2">
        <f>(J630/J612)*BL79</f>
        <v>0</v>
      </c>
      <c r="K637" s="2"/>
      <c r="L637" s="2"/>
      <c r="M637" s="2"/>
      <c r="N637" s="324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8">
        <v>8590</v>
      </c>
      <c r="B638" s="341" t="s">
        <v>640</v>
      </c>
      <c r="C638" s="2">
        <f>BM71</f>
        <v>3546020</v>
      </c>
      <c r="D638" s="2">
        <f>(D615/D612)*BM76</f>
        <v>46951.224682597582</v>
      </c>
      <c r="E638" s="2">
        <f>(E623/E612)*SUM(C638:D638)</f>
        <v>82013.251289937281</v>
      </c>
      <c r="F638" s="2">
        <f>(F624/F612)*BM64</f>
        <v>12.754915415131183</v>
      </c>
      <c r="G638" s="2">
        <f>(G625/G612)*BM77</f>
        <v>0</v>
      </c>
      <c r="H638" s="2">
        <f>(H628/H612)*BM60</f>
        <v>22726.782697731502</v>
      </c>
      <c r="I638" s="2">
        <f>(I629/I612)*BM78</f>
        <v>38578.30657867041</v>
      </c>
      <c r="J638" s="2">
        <f>(J630/J612)*BM79</f>
        <v>1117.843208716143</v>
      </c>
      <c r="K638" s="2"/>
      <c r="L638" s="2"/>
      <c r="M638" s="2"/>
      <c r="N638" s="324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8">
        <v>8660</v>
      </c>
      <c r="B639" s="341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4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8">
        <v>8670</v>
      </c>
      <c r="B640" s="341" t="s">
        <v>644</v>
      </c>
      <c r="C640" s="2">
        <f>BT71</f>
        <v>175158</v>
      </c>
      <c r="D640" s="2">
        <f>(D615/D612)*BT76</f>
        <v>9872.701129999843</v>
      </c>
      <c r="E640" s="2">
        <f>(E623/E612)*SUM(C640:D640)</f>
        <v>4223.5154247494747</v>
      </c>
      <c r="F640" s="2">
        <f>(F624/F612)*BT64</f>
        <v>-1.1809009782084605</v>
      </c>
      <c r="G640" s="2">
        <f>(G625/G612)*BT77</f>
        <v>0</v>
      </c>
      <c r="H640" s="2">
        <f>(H628/H612)*BT60</f>
        <v>1792.156348761479</v>
      </c>
      <c r="I640" s="2">
        <f>(I629/I612)*BT78</f>
        <v>8148.8936356015047</v>
      </c>
      <c r="J640" s="2">
        <f>(J630/J612)*BT79</f>
        <v>0</v>
      </c>
      <c r="K640" s="2"/>
      <c r="L640" s="2"/>
      <c r="M640" s="2"/>
      <c r="N640" s="324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8">
        <v>8680</v>
      </c>
      <c r="B641" s="341" t="s">
        <v>646</v>
      </c>
      <c r="C641" s="2">
        <f>BU71</f>
        <v>932592</v>
      </c>
      <c r="D641" s="2">
        <f>(D615/D612)*BU76</f>
        <v>61883.832232025234</v>
      </c>
      <c r="E641" s="2">
        <f>(E623/E612)*SUM(C641:D641)</f>
        <v>22699.930288982374</v>
      </c>
      <c r="F641" s="2">
        <f>(F624/F612)*BU64</f>
        <v>-7.1703201536369905</v>
      </c>
      <c r="G641" s="2">
        <f>(G625/G612)*BU77</f>
        <v>0</v>
      </c>
      <c r="H641" s="2">
        <f>(H628/H612)*BU60</f>
        <v>8266.321158662322</v>
      </c>
      <c r="I641" s="2">
        <f>(I629/I612)*BU78</f>
        <v>50853.222308247365</v>
      </c>
      <c r="J641" s="2">
        <f>(J630/J612)*BU79</f>
        <v>0</v>
      </c>
      <c r="K641" s="2"/>
      <c r="L641" s="2"/>
      <c r="M641" s="2"/>
      <c r="N641" s="324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8">
        <v>8690</v>
      </c>
      <c r="B642" s="341" t="s">
        <v>648</v>
      </c>
      <c r="C642" s="2">
        <f>BV71</f>
        <v>5009430</v>
      </c>
      <c r="D642" s="2">
        <f>(D615/D612)*BV76</f>
        <v>163693.85628060525</v>
      </c>
      <c r="E642" s="2">
        <f>(E623/E612)*SUM(C642:D642)</f>
        <v>118081.8548906108</v>
      </c>
      <c r="F642" s="2">
        <f>(F624/F612)*BV64</f>
        <v>-29.005139745695434</v>
      </c>
      <c r="G642" s="2">
        <f>(G625/G612)*BV77</f>
        <v>0</v>
      </c>
      <c r="H642" s="2">
        <f>(H628/H612)*BV60</f>
        <v>45890.403505473616</v>
      </c>
      <c r="I642" s="2">
        <f>(I629/I612)*BV78</f>
        <v>134611.47081594891</v>
      </c>
      <c r="J642" s="2">
        <f>(J630/J612)*BV79</f>
        <v>0</v>
      </c>
      <c r="K642" s="2"/>
      <c r="L642" s="2"/>
      <c r="M642" s="2"/>
      <c r="N642" s="324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8">
        <v>8700</v>
      </c>
      <c r="B643" s="341" t="s">
        <v>650</v>
      </c>
      <c r="C643" s="2">
        <f>BW71</f>
        <v>-8817886</v>
      </c>
      <c r="D643" s="2">
        <f>(D615/D612)*BW76</f>
        <v>0</v>
      </c>
      <c r="E643" s="2">
        <f>(E623/E612)*SUM(C643:D643)</f>
        <v>-201277.28699745037</v>
      </c>
      <c r="F643" s="2">
        <f>(F624/F612)*BW64</f>
        <v>-11.301498826566924</v>
      </c>
      <c r="G643" s="2">
        <f>(G625/G612)*BW77</f>
        <v>0</v>
      </c>
      <c r="H643" s="2">
        <f>(H628/H612)*BW60</f>
        <v>9039.1885840657087</v>
      </c>
      <c r="I643" s="2">
        <f>(I629/I612)*BW78</f>
        <v>0</v>
      </c>
      <c r="J643" s="2">
        <f>(J630/J612)*BW79</f>
        <v>0</v>
      </c>
      <c r="K643" s="2"/>
      <c r="L643" s="2"/>
      <c r="M643" s="2"/>
      <c r="N643" s="324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8">
        <v>8710</v>
      </c>
      <c r="B644" s="341" t="s">
        <v>652</v>
      </c>
      <c r="C644" s="2">
        <f>BX71</f>
        <v>10207754</v>
      </c>
      <c r="D644" s="2">
        <f>(D615/D612)*BX76</f>
        <v>255866.52368381</v>
      </c>
      <c r="E644" s="2">
        <f>(E623/E612)*SUM(C644:D644)</f>
        <v>238842.86451173425</v>
      </c>
      <c r="F644" s="2">
        <f>(F624/F612)*BX64</f>
        <v>-137.42883240210935</v>
      </c>
      <c r="G644" s="2">
        <f>(G625/G612)*BX77</f>
        <v>0</v>
      </c>
      <c r="H644" s="2">
        <f>(H628/H612)*BX60</f>
        <v>68964.416495777667</v>
      </c>
      <c r="I644" s="2">
        <f>(I629/I612)*BX78</f>
        <v>210323.97624039833</v>
      </c>
      <c r="J644" s="2">
        <f>(J630/J612)*BX79</f>
        <v>0</v>
      </c>
      <c r="K644" s="2">
        <f>SUM(C631:J644)</f>
        <v>115145868.39957872</v>
      </c>
      <c r="L644" s="2"/>
      <c r="M644" s="2"/>
      <c r="N644" s="324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8">
        <v>8720</v>
      </c>
      <c r="B645" s="341" t="s">
        <v>654</v>
      </c>
      <c r="C645" s="2">
        <f>BY71</f>
        <v>7192159</v>
      </c>
      <c r="D645" s="2">
        <f>(D615/D612)*BY76</f>
        <v>65908.222919105028</v>
      </c>
      <c r="E645" s="2">
        <f>(E623/E612)*SUM(C645:D645)</f>
        <v>165672.82446997796</v>
      </c>
      <c r="F645" s="2">
        <f>(F624/F612)*BY64</f>
        <v>-248.69024195766303</v>
      </c>
      <c r="G645" s="2">
        <f>(G625/G612)*BY77</f>
        <v>0</v>
      </c>
      <c r="H645" s="2">
        <f>(H628/H612)*BY60</f>
        <v>57147.385571131665</v>
      </c>
      <c r="I645" s="2">
        <f>(I629/I612)*BY78</f>
        <v>54154.03998342772</v>
      </c>
      <c r="J645" s="2">
        <f>(J630/J612)*BY79</f>
        <v>0</v>
      </c>
      <c r="K645" s="2">
        <v>0</v>
      </c>
      <c r="L645" s="2"/>
      <c r="M645" s="2"/>
      <c r="N645" s="324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8">
        <v>8730</v>
      </c>
      <c r="B646" s="341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4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8">
        <v>8740</v>
      </c>
      <c r="B647" s="341" t="s">
        <v>658</v>
      </c>
      <c r="C647" s="2">
        <f>CA71</f>
        <v>4706770</v>
      </c>
      <c r="D647" s="2">
        <f>(D615/D612)*CA76</f>
        <v>45456.787205231696</v>
      </c>
      <c r="E647" s="2">
        <f>(E623/E612)*SUM(C647:D647)</f>
        <v>108474.44783537446</v>
      </c>
      <c r="F647" s="2">
        <f>(F624/F612)*CA64</f>
        <v>-11.400236366550908</v>
      </c>
      <c r="G647" s="2">
        <f>(G625/G612)*CA77</f>
        <v>0</v>
      </c>
      <c r="H647" s="2">
        <f>(H628/H612)*CA60</f>
        <v>45699.986893417707</v>
      </c>
      <c r="I647" s="2">
        <f>(I629/I612)*CA78</f>
        <v>37443.650502827164</v>
      </c>
      <c r="J647" s="2">
        <f>(J630/J612)*CA79</f>
        <v>0</v>
      </c>
      <c r="K647" s="2">
        <v>0</v>
      </c>
      <c r="L647" s="2">
        <f>SUM(C645:K647)</f>
        <v>12478626.254902169</v>
      </c>
      <c r="M647" s="2"/>
      <c r="N647" s="324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8"/>
      <c r="B648" s="338"/>
      <c r="C648" s="2">
        <f>SUM(C614:C647)</f>
        <v>177685593</v>
      </c>
      <c r="D648" s="2"/>
      <c r="E648" s="2"/>
      <c r="F648" s="2"/>
      <c r="G648" s="2"/>
      <c r="H648" s="2"/>
      <c r="I648" s="2"/>
      <c r="J648" s="2"/>
      <c r="K648" s="2"/>
      <c r="L648" s="3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9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9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9" t="s">
        <v>590</v>
      </c>
      <c r="D667" s="329" t="s">
        <v>591</v>
      </c>
      <c r="E667" s="332" t="s">
        <v>592</v>
      </c>
      <c r="F667" s="329" t="s">
        <v>593</v>
      </c>
      <c r="G667" s="329" t="s">
        <v>594</v>
      </c>
      <c r="H667" s="329" t="s">
        <v>595</v>
      </c>
      <c r="I667" s="329" t="s">
        <v>596</v>
      </c>
      <c r="J667" s="329" t="s">
        <v>597</v>
      </c>
      <c r="K667" s="329" t="s">
        <v>598</v>
      </c>
      <c r="L667" s="332" t="s">
        <v>599</v>
      </c>
      <c r="M667" s="329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8">
        <v>6010</v>
      </c>
      <c r="B668" s="332" t="s">
        <v>283</v>
      </c>
      <c r="C668" s="2">
        <f>C71</f>
        <v>14851053</v>
      </c>
      <c r="D668" s="2">
        <f>(D615/D612)*C76</f>
        <v>276259.12327652716</v>
      </c>
      <c r="E668" s="2">
        <f>(E623/E612)*SUM(C668:D668)</f>
        <v>345296.40593411389</v>
      </c>
      <c r="F668" s="2">
        <f>(F624/F612)*C64</f>
        <v>-3031.3372655467242</v>
      </c>
      <c r="G668" s="2">
        <f>(G625/G612)*C77</f>
        <v>159781.33630454569</v>
      </c>
      <c r="H668" s="2">
        <f>(H628/H612)*C60</f>
        <v>103777.05357046939</v>
      </c>
      <c r="I668" s="2">
        <f>(I629/I612)*C78</f>
        <v>227034.36572099887</v>
      </c>
      <c r="J668" s="2">
        <f>(J630/J612)*C79</f>
        <v>41032.463391891128</v>
      </c>
      <c r="K668" s="2">
        <f>(K644/K612)*C75</f>
        <v>2039450.323811753</v>
      </c>
      <c r="L668" s="2">
        <f>(L647/L612)*C80</f>
        <v>676625.59374056256</v>
      </c>
      <c r="M668" s="2">
        <f t="shared" ref="M668:M713" si="21">ROUND(SUM(D668:L668),0)</f>
        <v>3866225</v>
      </c>
      <c r="N668" s="332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8">
        <v>6030</v>
      </c>
      <c r="B669" s="332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1"/>
        <v>0</v>
      </c>
      <c r="N669" s="332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8">
        <v>6070</v>
      </c>
      <c r="B670" s="332" t="s">
        <v>665</v>
      </c>
      <c r="C670" s="2">
        <f>E71</f>
        <v>59248958</v>
      </c>
      <c r="D670" s="2">
        <f>(D615/D612)*E76</f>
        <v>1441320.2271861271</v>
      </c>
      <c r="E670" s="2">
        <f>(E623/E612)*SUM(C670:D670)</f>
        <v>1385317.8129869739</v>
      </c>
      <c r="F670" s="2">
        <f>(F624/F612)*E64</f>
        <v>-6822.7817856505608</v>
      </c>
      <c r="G670" s="2">
        <f>(G625/G612)*E77</f>
        <v>4482892.0485539548</v>
      </c>
      <c r="H670" s="2">
        <f>(H628/H612)*E60</f>
        <v>574240.49707471707</v>
      </c>
      <c r="I670" s="2">
        <f>(I629/I612)*E78</f>
        <v>1184890.3948373985</v>
      </c>
      <c r="J670" s="2">
        <f>(J630/J612)*E79</f>
        <v>337717.08585102623</v>
      </c>
      <c r="K670" s="2">
        <f>(K644/K612)*E75</f>
        <v>9159734.3636315372</v>
      </c>
      <c r="L670" s="2">
        <f>(L647/L612)*E80</f>
        <v>3727134.3223984721</v>
      </c>
      <c r="M670" s="2">
        <f t="shared" si="21"/>
        <v>22286424</v>
      </c>
      <c r="N670" s="332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8">
        <v>6100</v>
      </c>
      <c r="B671" s="332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1"/>
        <v>0</v>
      </c>
      <c r="N671" s="332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8">
        <v>6120</v>
      </c>
      <c r="B672" s="332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1"/>
        <v>0</v>
      </c>
      <c r="N672" s="332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8">
        <v>6140</v>
      </c>
      <c r="B673" s="332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1"/>
        <v>0</v>
      </c>
      <c r="N673" s="332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8">
        <v>6150</v>
      </c>
      <c r="B674" s="332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332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8">
        <v>6170</v>
      </c>
      <c r="B675" s="332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1"/>
        <v>0</v>
      </c>
      <c r="N675" s="332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8">
        <v>6200</v>
      </c>
      <c r="B676" s="332" t="s">
        <v>288</v>
      </c>
      <c r="C676" s="2">
        <f>K71</f>
        <v>8868502</v>
      </c>
      <c r="D676" s="2">
        <f>(D615/D612)*K76</f>
        <v>0</v>
      </c>
      <c r="E676" s="2">
        <f>(E623/E612)*SUM(C676:D676)</f>
        <v>202432.64908295055</v>
      </c>
      <c r="F676" s="2">
        <f>(F624/F612)*K64</f>
        <v>-2403.8444009421019</v>
      </c>
      <c r="G676" s="2">
        <f>(G625/G612)*K77</f>
        <v>0</v>
      </c>
      <c r="H676" s="2">
        <f>(H628/H612)*K60</f>
        <v>139642.58250005849</v>
      </c>
      <c r="I676" s="2">
        <f>(I629/I612)*K78</f>
        <v>0</v>
      </c>
      <c r="J676" s="2">
        <f>(J630/J612)*K79</f>
        <v>788.33633578238289</v>
      </c>
      <c r="K676" s="2">
        <f>(K644/K612)*K75</f>
        <v>488090.03405236709</v>
      </c>
      <c r="L676" s="2">
        <f>(L647/L612)*K80</f>
        <v>621175.30118036037</v>
      </c>
      <c r="M676" s="2">
        <f t="shared" si="21"/>
        <v>1449725</v>
      </c>
      <c r="N676" s="332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8">
        <v>6210</v>
      </c>
      <c r="B677" s="332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1"/>
        <v>0</v>
      </c>
      <c r="N677" s="332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8">
        <v>6330</v>
      </c>
      <c r="B678" s="332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1"/>
        <v>0</v>
      </c>
      <c r="N678" s="332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8">
        <v>6400</v>
      </c>
      <c r="B679" s="332" t="s">
        <v>680</v>
      </c>
      <c r="C679" s="2">
        <f>N71</f>
        <v>-192</v>
      </c>
      <c r="D679" s="2">
        <f>(D615/D612)*N76</f>
        <v>0</v>
      </c>
      <c r="E679" s="2">
        <f>(E623/E612)*SUM(C679:D679)</f>
        <v>-4.3825968155531232</v>
      </c>
      <c r="F679" s="2">
        <f>(F624/F612)*N64</f>
        <v>-22.014521914829295</v>
      </c>
      <c r="G679" s="2">
        <f>(G625/G612)*N77</f>
        <v>4550.4069886084208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1"/>
        <v>4524</v>
      </c>
      <c r="N679" s="332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8">
        <v>7010</v>
      </c>
      <c r="B680" s="332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1"/>
        <v>0</v>
      </c>
      <c r="N680" s="332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8">
        <v>7020</v>
      </c>
      <c r="B681" s="332" t="s">
        <v>684</v>
      </c>
      <c r="C681" s="2">
        <f>P71</f>
        <v>71663614</v>
      </c>
      <c r="D681" s="2">
        <f>(D615/D612)*P76</f>
        <v>552153.46260188636</v>
      </c>
      <c r="E681" s="2">
        <f>(E623/E612)*SUM(C681:D681)</f>
        <v>1648398.9193454369</v>
      </c>
      <c r="F681" s="2">
        <f>(F624/F612)*P64</f>
        <v>-93789.957860700684</v>
      </c>
      <c r="G681" s="2">
        <f>(G625/G612)*P77</f>
        <v>0</v>
      </c>
      <c r="H681" s="2">
        <f>(H628/H612)*P60</f>
        <v>148390.54567745043</v>
      </c>
      <c r="I681" s="2">
        <f>(I629/I612)*P78</f>
        <v>453862.43033729895</v>
      </c>
      <c r="J681" s="2">
        <f>(J630/J612)*P79</f>
        <v>453706.16243720113</v>
      </c>
      <c r="K681" s="2">
        <f>(K644/K612)*P75</f>
        <v>19755333.745968048</v>
      </c>
      <c r="L681" s="2">
        <f>(L647/L612)*P80</f>
        <v>465551.41462003096</v>
      </c>
      <c r="M681" s="2">
        <f t="shared" si="21"/>
        <v>23383607</v>
      </c>
      <c r="N681" s="332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8">
        <v>7030</v>
      </c>
      <c r="B682" s="332" t="s">
        <v>686</v>
      </c>
      <c r="C682" s="2">
        <f>Q71</f>
        <v>11151129</v>
      </c>
      <c r="D682" s="2">
        <f>(D615/D612)*Q76</f>
        <v>330400.12196440477</v>
      </c>
      <c r="E682" s="2">
        <f>(E623/E612)*SUM(C682:D682)</f>
        <v>262077.67170625858</v>
      </c>
      <c r="F682" s="2">
        <f>(F624/F612)*Q64</f>
        <v>-2074.8370944598664</v>
      </c>
      <c r="G682" s="2">
        <f>(G625/G612)*Q77</f>
        <v>5101.9714720761085</v>
      </c>
      <c r="H682" s="2">
        <f>(H628/H612)*Q60</f>
        <v>80378.212241952337</v>
      </c>
      <c r="I682" s="2">
        <f>(I629/I612)*Q78</f>
        <v>271595.40433593368</v>
      </c>
      <c r="J682" s="2">
        <f>(J630/J612)*Q79</f>
        <v>14730.374454001154</v>
      </c>
      <c r="K682" s="2">
        <f>(K644/K612)*Q75</f>
        <v>887171.50596084062</v>
      </c>
      <c r="L682" s="2">
        <f>(L647/L612)*Q80</f>
        <v>546581.45523627882</v>
      </c>
      <c r="M682" s="2">
        <f t="shared" si="21"/>
        <v>2395962</v>
      </c>
      <c r="N682" s="332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8">
        <v>7040</v>
      </c>
      <c r="B683" s="332" t="s">
        <v>107</v>
      </c>
      <c r="C683" s="2">
        <f>R71</f>
        <v>27779348</v>
      </c>
      <c r="D683" s="2">
        <f>(D615/D612)*R76</f>
        <v>223212.47644215377</v>
      </c>
      <c r="E683" s="2">
        <f>(E623/E612)*SUM(C683:D683)</f>
        <v>639187.14776765183</v>
      </c>
      <c r="F683" s="2">
        <f>(F624/F612)*R64</f>
        <v>-6108.8738260519549</v>
      </c>
      <c r="G683" s="2">
        <f>(G625/G612)*R77</f>
        <v>0</v>
      </c>
      <c r="H683" s="2">
        <f>(H628/H612)*R60</f>
        <v>90358.282909117814</v>
      </c>
      <c r="I683" s="2">
        <f>(I629/I612)*R78</f>
        <v>183504.83262955793</v>
      </c>
      <c r="J683" s="2">
        <f>(J630/J612)*R79</f>
        <v>31653.918309572175</v>
      </c>
      <c r="K683" s="2">
        <f>(K644/K612)*R75</f>
        <v>3309701.2018655478</v>
      </c>
      <c r="L683" s="2">
        <f>(L647/L612)*R80</f>
        <v>45796.000551952711</v>
      </c>
      <c r="M683" s="2">
        <f t="shared" si="21"/>
        <v>4517305</v>
      </c>
      <c r="N683" s="332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8">
        <v>7050</v>
      </c>
      <c r="B684" s="332" t="s">
        <v>689</v>
      </c>
      <c r="C684" s="2">
        <f>S71</f>
        <v>10970247</v>
      </c>
      <c r="D684" s="2">
        <f>(D615/D612)*S76</f>
        <v>210115.55587279762</v>
      </c>
      <c r="E684" s="2">
        <f>(E623/E612)*SUM(C684:D684)</f>
        <v>255203.23611509116</v>
      </c>
      <c r="F684" s="2">
        <f>(F624/F612)*S64</f>
        <v>-2358.2888747442912</v>
      </c>
      <c r="G684" s="2">
        <f>(G625/G612)*S77</f>
        <v>0</v>
      </c>
      <c r="H684" s="2">
        <f>(H628/H612)*S60</f>
        <v>138309.66621566712</v>
      </c>
      <c r="I684" s="2">
        <f>(I629/I612)*S78</f>
        <v>172777.17518522177</v>
      </c>
      <c r="J684" s="2">
        <f>(J630/J612)*S79</f>
        <v>0</v>
      </c>
      <c r="K684" s="2">
        <f>(K644/K612)*S75</f>
        <v>0</v>
      </c>
      <c r="L684" s="2">
        <f>(L647/L612)*S80</f>
        <v>247.54594892947409</v>
      </c>
      <c r="M684" s="2">
        <f t="shared" si="21"/>
        <v>774295</v>
      </c>
      <c r="N684" s="332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8">
        <v>7060</v>
      </c>
      <c r="B685" s="332" t="s">
        <v>691</v>
      </c>
      <c r="C685" s="2">
        <f>T71</f>
        <v>3190601</v>
      </c>
      <c r="D685" s="2">
        <f>(D615/D612)*T76</f>
        <v>11578.948643527825</v>
      </c>
      <c r="E685" s="2">
        <f>(E623/E612)*SUM(C685:D685)</f>
        <v>73093.039821631202</v>
      </c>
      <c r="F685" s="2">
        <f>(F624/F612)*T64</f>
        <v>-1094.0593370417462</v>
      </c>
      <c r="G685" s="2">
        <f>(G625/G612)*T77</f>
        <v>0</v>
      </c>
      <c r="H685" s="2">
        <f>(H628/H612)*T60</f>
        <v>19892.935471252418</v>
      </c>
      <c r="I685" s="2">
        <f>(I629/I612)*T78</f>
        <v>9489.8508161435238</v>
      </c>
      <c r="J685" s="2">
        <f>(J630/J612)*T79</f>
        <v>666.09991517792355</v>
      </c>
      <c r="K685" s="2">
        <f>(K644/K612)*T75</f>
        <v>165078.89866022521</v>
      </c>
      <c r="L685" s="2">
        <f>(L647/L612)*T80</f>
        <v>139945.97646146271</v>
      </c>
      <c r="M685" s="2">
        <f t="shared" si="21"/>
        <v>418652</v>
      </c>
      <c r="N685" s="332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8">
        <v>7070</v>
      </c>
      <c r="B686" s="332" t="s">
        <v>109</v>
      </c>
      <c r="C686" s="2">
        <f>U71</f>
        <v>41510723</v>
      </c>
      <c r="D686" s="2">
        <f>(D615/D612)*U76</f>
        <v>362395.20464911225</v>
      </c>
      <c r="E686" s="2">
        <f>(E623/E612)*SUM(C686:D686)</f>
        <v>955796.84635924338</v>
      </c>
      <c r="F686" s="2">
        <f>(F624/F612)*U64</f>
        <v>-31705.919525382174</v>
      </c>
      <c r="G686" s="2">
        <f>(G625/G612)*U77</f>
        <v>0</v>
      </c>
      <c r="H686" s="2">
        <f>(H628/H612)*U60</f>
        <v>179966.10034719174</v>
      </c>
      <c r="I686" s="2">
        <f>(I629/I612)*U78</f>
        <v>297898.79518502712</v>
      </c>
      <c r="J686" s="2">
        <f>(J630/J612)*U79</f>
        <v>41423.97424629092</v>
      </c>
      <c r="K686" s="2">
        <f>(K644/K612)*U75</f>
        <v>7184347.2355030077</v>
      </c>
      <c r="L686" s="2">
        <f>(L647/L612)*U80</f>
        <v>1485.2756935768446</v>
      </c>
      <c r="M686" s="2">
        <f t="shared" si="21"/>
        <v>8991608</v>
      </c>
      <c r="N686" s="332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8">
        <v>7110</v>
      </c>
      <c r="B687" s="332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1"/>
        <v>0</v>
      </c>
      <c r="N687" s="332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8">
        <v>7120</v>
      </c>
      <c r="B688" s="332" t="s">
        <v>696</v>
      </c>
      <c r="C688" s="2">
        <f>W71</f>
        <v>4461577</v>
      </c>
      <c r="D688" s="2">
        <f>(D615/D612)*W76</f>
        <v>78252.041137662643</v>
      </c>
      <c r="E688" s="2">
        <f>(E623/E612)*SUM(C688:D688)</f>
        <v>103626.25155648703</v>
      </c>
      <c r="F688" s="2">
        <f>(F624/F612)*W64</f>
        <v>-840.55860213606331</v>
      </c>
      <c r="G688" s="2">
        <f>(G625/G612)*W77</f>
        <v>0</v>
      </c>
      <c r="H688" s="2">
        <f>(H628/H612)*W60</f>
        <v>12825.118870824332</v>
      </c>
      <c r="I688" s="2">
        <f>(I629/I612)*W78</f>
        <v>64365.944666016949</v>
      </c>
      <c r="J688" s="2">
        <f>(J630/J612)*W79</f>
        <v>6499.7887999675568</v>
      </c>
      <c r="K688" s="2">
        <f>(K644/K612)*W75</f>
        <v>1278980.0024660602</v>
      </c>
      <c r="L688" s="2">
        <f>(L647/L612)*W80</f>
        <v>0</v>
      </c>
      <c r="M688" s="2">
        <f t="shared" si="21"/>
        <v>1543709</v>
      </c>
      <c r="N688" s="332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8">
        <v>7130</v>
      </c>
      <c r="B689" s="332" t="s">
        <v>698</v>
      </c>
      <c r="C689" s="2">
        <f>X71</f>
        <v>6437701</v>
      </c>
      <c r="D689" s="2">
        <f>(D615/D612)*X76</f>
        <v>47010.060803753717</v>
      </c>
      <c r="E689" s="2">
        <f>(E623/E612)*SUM(C689:D689)</f>
        <v>148020.17731698253</v>
      </c>
      <c r="F689" s="2">
        <f>(F624/F612)*X64</f>
        <v>-1248.0385558959711</v>
      </c>
      <c r="G689" s="2">
        <f>(G625/G612)*X77</f>
        <v>0</v>
      </c>
      <c r="H689" s="2">
        <f>(H628/H612)*X60</f>
        <v>22177.934815923301</v>
      </c>
      <c r="I689" s="2">
        <f>(I629/I612)*X78</f>
        <v>38681.457131019801</v>
      </c>
      <c r="J689" s="2">
        <f>(J630/J612)*X79</f>
        <v>76399.534420114709</v>
      </c>
      <c r="K689" s="2">
        <f>(K644/K612)*X75</f>
        <v>2672231.216628606</v>
      </c>
      <c r="L689" s="2">
        <f>(L647/L612)*X80</f>
        <v>0</v>
      </c>
      <c r="M689" s="2">
        <f t="shared" si="21"/>
        <v>3003272</v>
      </c>
      <c r="N689" s="332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8">
        <v>7140</v>
      </c>
      <c r="B690" s="332" t="s">
        <v>1249</v>
      </c>
      <c r="C690" s="2">
        <f>Y71</f>
        <v>27065060</v>
      </c>
      <c r="D690" s="2">
        <f>(D615/D612)*Y76</f>
        <v>402639.11151991016</v>
      </c>
      <c r="E690" s="2">
        <f>(E623/E612)*SUM(C690:D690)</f>
        <v>626978.38883707556</v>
      </c>
      <c r="F690" s="2">
        <f>(F624/F612)*Y64</f>
        <v>-12126.877519305848</v>
      </c>
      <c r="G690" s="2">
        <f>(G625/G612)*Y77</f>
        <v>430.90975270913077</v>
      </c>
      <c r="H690" s="2">
        <f>(H628/H612)*Y60</f>
        <v>127982.36525592912</v>
      </c>
      <c r="I690" s="2">
        <f>(I629/I612)*Y78</f>
        <v>331010.12248918012</v>
      </c>
      <c r="J690" s="2">
        <f>(J630/J612)*Y79</f>
        <v>277140.96750104241</v>
      </c>
      <c r="K690" s="2">
        <f>(K644/K612)*Y75</f>
        <v>4879154.6701253233</v>
      </c>
      <c r="L690" s="2">
        <f>(L647/L612)*Y80</f>
        <v>107269.91120277211</v>
      </c>
      <c r="M690" s="2">
        <f t="shared" si="21"/>
        <v>6740480</v>
      </c>
      <c r="N690" s="332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8">
        <v>7150</v>
      </c>
      <c r="B691" s="332" t="s">
        <v>701</v>
      </c>
      <c r="C691" s="2">
        <f>Z71</f>
        <v>8605331</v>
      </c>
      <c r="D691" s="2">
        <f>(D615/D612)*Z76</f>
        <v>132334.20370438407</v>
      </c>
      <c r="E691" s="2">
        <f>(E623/E612)*SUM(C691:D691)</f>
        <v>199446.16508918835</v>
      </c>
      <c r="F691" s="2">
        <f>(F624/F612)*Z64</f>
        <v>-658.94867009272002</v>
      </c>
      <c r="G691" s="2">
        <f>(G625/G612)*Z77</f>
        <v>0</v>
      </c>
      <c r="H691" s="2">
        <f>(H628/H612)*Z60</f>
        <v>41286.801884592569</v>
      </c>
      <c r="I691" s="2">
        <f>(I629/I612)*Z78</f>
        <v>108823.83272860237</v>
      </c>
      <c r="J691" s="2">
        <f>(J630/J612)*Z79</f>
        <v>23395.873749460763</v>
      </c>
      <c r="K691" s="2">
        <f>(K644/K612)*Z75</f>
        <v>1274520.4098164567</v>
      </c>
      <c r="L691" s="2">
        <f>(L647/L612)*Z80</f>
        <v>31355.820197733385</v>
      </c>
      <c r="M691" s="2">
        <f t="shared" si="21"/>
        <v>1810504</v>
      </c>
      <c r="N691" s="332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8">
        <v>7160</v>
      </c>
      <c r="B692" s="332" t="s">
        <v>703</v>
      </c>
      <c r="C692" s="2">
        <f>AA71</f>
        <v>10636324</v>
      </c>
      <c r="D692" s="2">
        <f>(D615/D612)*AA76</f>
        <v>71062.267132382651</v>
      </c>
      <c r="E692" s="2">
        <f>(E623/E612)*SUM(C692:D692)</f>
        <v>244407.06748558138</v>
      </c>
      <c r="F692" s="2">
        <f>(F624/F612)*AA64</f>
        <v>-17565.696676767686</v>
      </c>
      <c r="G692" s="2">
        <f>(G625/G612)*AA77</f>
        <v>0</v>
      </c>
      <c r="H692" s="2">
        <f>(H628/H612)*AA60</f>
        <v>8131.9094325052101</v>
      </c>
      <c r="I692" s="2">
        <f>(I629/I612)*AA78</f>
        <v>58383.212629752554</v>
      </c>
      <c r="J692" s="2">
        <f>(J630/J612)*AA79</f>
        <v>25704.193402324683</v>
      </c>
      <c r="K692" s="2">
        <f>(K644/K612)*AA75</f>
        <v>1575405.3319373056</v>
      </c>
      <c r="L692" s="2">
        <f>(L647/L612)*AA80</f>
        <v>0</v>
      </c>
      <c r="M692" s="2">
        <f t="shared" si="21"/>
        <v>1965528</v>
      </c>
      <c r="N692" s="332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8">
        <v>7170</v>
      </c>
      <c r="B693" s="332" t="s">
        <v>115</v>
      </c>
      <c r="C693" s="2">
        <f>AB71</f>
        <v>49165130</v>
      </c>
      <c r="D693" s="2">
        <f>(D615/D612)*AB76</f>
        <v>127639.0812361243</v>
      </c>
      <c r="E693" s="2">
        <f>(E623/E612)*SUM(C693:D693)</f>
        <v>1125157.9833605255</v>
      </c>
      <c r="F693" s="2">
        <f>(F624/F612)*AB64</f>
        <v>-73069.673796725867</v>
      </c>
      <c r="G693" s="2">
        <f>(G625/G612)*AB77</f>
        <v>0</v>
      </c>
      <c r="H693" s="2">
        <f>(H628/H612)*AB60</f>
        <v>92128.03730351977</v>
      </c>
      <c r="I693" s="2">
        <f>(I629/I612)*AB78</f>
        <v>104904.1117393257</v>
      </c>
      <c r="J693" s="2">
        <f>(J630/J612)*AB79</f>
        <v>0</v>
      </c>
      <c r="K693" s="2">
        <f>(K644/K612)*AB75</f>
        <v>2834619.9563280051</v>
      </c>
      <c r="L693" s="2">
        <f>(L647/L612)*AB80</f>
        <v>0</v>
      </c>
      <c r="M693" s="2">
        <f t="shared" si="21"/>
        <v>4211379</v>
      </c>
      <c r="N693" s="332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8">
        <v>7180</v>
      </c>
      <c r="B694" s="332" t="s">
        <v>706</v>
      </c>
      <c r="C694" s="2">
        <f>AC71</f>
        <v>2785605</v>
      </c>
      <c r="D694" s="2">
        <f>(D615/D612)*AC76</f>
        <v>10096.278390393165</v>
      </c>
      <c r="E694" s="2">
        <f>(E623/E612)*SUM(C694:D694)</f>
        <v>63814.747499539233</v>
      </c>
      <c r="F694" s="2">
        <f>(F624/F612)*AC64</f>
        <v>-690.95148155232926</v>
      </c>
      <c r="G694" s="2">
        <f>(G625/G612)*AC77</f>
        <v>0</v>
      </c>
      <c r="H694" s="2">
        <f>(H628/H612)*AC60</f>
        <v>22749.184652091022</v>
      </c>
      <c r="I694" s="2">
        <f>(I629/I612)*AC78</f>
        <v>8252.0441879508908</v>
      </c>
      <c r="J694" s="2">
        <f>(J630/J612)*AC79</f>
        <v>8931.2306445997383</v>
      </c>
      <c r="K694" s="2">
        <f>(K644/K612)*AC75</f>
        <v>791666.34191959002</v>
      </c>
      <c r="L694" s="2">
        <f>(L647/L612)*AC80</f>
        <v>0</v>
      </c>
      <c r="M694" s="2">
        <f t="shared" si="21"/>
        <v>904819</v>
      </c>
      <c r="N694" s="332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8">
        <v>7190</v>
      </c>
      <c r="B695" s="332" t="s">
        <v>117</v>
      </c>
      <c r="C695" s="2">
        <f>AD71</f>
        <v>2620402</v>
      </c>
      <c r="D695" s="2">
        <f>(D615/D612)*AD76</f>
        <v>18486.309267258348</v>
      </c>
      <c r="E695" s="2">
        <f>(E623/E612)*SUM(C695:D695)</f>
        <v>60235.330733307565</v>
      </c>
      <c r="F695" s="2">
        <f>(F624/F612)*AD64</f>
        <v>-76.38731043321016</v>
      </c>
      <c r="G695" s="2">
        <f>(G625/G612)*AD77</f>
        <v>0</v>
      </c>
      <c r="H695" s="2">
        <f>(H628/H612)*AD60</f>
        <v>0</v>
      </c>
      <c r="I695" s="2">
        <f>(I629/I612)*AD78</f>
        <v>15163.131195359761</v>
      </c>
      <c r="J695" s="2">
        <f>(J630/J612)*AD79</f>
        <v>2003.6143725165732</v>
      </c>
      <c r="K695" s="2">
        <f>(K644/K612)*AD75</f>
        <v>300193.92380179465</v>
      </c>
      <c r="L695" s="2">
        <f>(L647/L612)*AD80</f>
        <v>0</v>
      </c>
      <c r="M695" s="2">
        <f t="shared" si="21"/>
        <v>396006</v>
      </c>
      <c r="N695" s="332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8">
        <v>7200</v>
      </c>
      <c r="B696" s="332" t="s">
        <v>709</v>
      </c>
      <c r="C696" s="2">
        <f>AE71</f>
        <v>9598313</v>
      </c>
      <c r="D696" s="2">
        <f>(D615/D612)*AE76</f>
        <v>222494.67576404891</v>
      </c>
      <c r="E696" s="2">
        <f>(E623/E612)*SUM(C696:D696)</f>
        <v>224170.00232272496</v>
      </c>
      <c r="F696" s="2">
        <f>(F624/F612)*AE64</f>
        <v>-1431.3171523650437</v>
      </c>
      <c r="G696" s="2">
        <f>(G625/G612)*AE77</f>
        <v>0</v>
      </c>
      <c r="H696" s="2">
        <f>(H628/H612)*AE60</f>
        <v>75875.419415689103</v>
      </c>
      <c r="I696" s="2">
        <f>(I629/I612)*AE78</f>
        <v>182885.9293154616</v>
      </c>
      <c r="J696" s="2">
        <f>(J630/J612)*AE79</f>
        <v>12899.485458425665</v>
      </c>
      <c r="K696" s="2">
        <f>(K644/K612)*AE75</f>
        <v>1117630.7590543597</v>
      </c>
      <c r="L696" s="2">
        <f>(L647/L612)*AE80</f>
        <v>101328.80842846473</v>
      </c>
      <c r="M696" s="2">
        <f t="shared" si="21"/>
        <v>1935854</v>
      </c>
      <c r="N696" s="332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8">
        <v>7220</v>
      </c>
      <c r="B697" s="332" t="s">
        <v>711</v>
      </c>
      <c r="C697" s="2">
        <f>AF71</f>
        <v>711072</v>
      </c>
      <c r="D697" s="2">
        <f>(D615/D612)*AF76</f>
        <v>12108.47373393306</v>
      </c>
      <c r="E697" s="2">
        <f>(E623/E612)*SUM(C697:D697)</f>
        <v>16507.335631544451</v>
      </c>
      <c r="F697" s="2">
        <f>(F624/F612)*AF64</f>
        <v>-3.5703494458208977</v>
      </c>
      <c r="G697" s="2">
        <f>(G625/G612)*AF77</f>
        <v>0</v>
      </c>
      <c r="H697" s="2">
        <f>(H628/H612)*AF60</f>
        <v>5622.8905442391397</v>
      </c>
      <c r="I697" s="2">
        <f>(I629/I612)*AF78</f>
        <v>10005.603577890455</v>
      </c>
      <c r="J697" s="2">
        <f>(J630/J612)*AF79</f>
        <v>0</v>
      </c>
      <c r="K697" s="2">
        <f>(K644/K612)*AF75</f>
        <v>24179.261604174677</v>
      </c>
      <c r="L697" s="2">
        <f>(L647/L612)*AF80</f>
        <v>0</v>
      </c>
      <c r="M697" s="2">
        <f t="shared" si="21"/>
        <v>68420</v>
      </c>
      <c r="N697" s="332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8">
        <v>7230</v>
      </c>
      <c r="B698" s="332" t="s">
        <v>713</v>
      </c>
      <c r="C698" s="2">
        <f>AG71</f>
        <v>14030688</v>
      </c>
      <c r="D698" s="2">
        <f>(D615/D612)*AG76</f>
        <v>176531.89791687441</v>
      </c>
      <c r="E698" s="2">
        <f>(E623/E612)*SUM(C698:D698)</f>
        <v>324294.35772121593</v>
      </c>
      <c r="F698" s="2">
        <f>(F624/F612)*AG64</f>
        <v>-1736.3095143723747</v>
      </c>
      <c r="G698" s="2">
        <f>(G625/G612)*AG77</f>
        <v>432805.75562105095</v>
      </c>
      <c r="H698" s="2">
        <f>(H628/H612)*AG60</f>
        <v>80938.26110094029</v>
      </c>
      <c r="I698" s="2">
        <f>(I629/I612)*AG78</f>
        <v>145132.82715558627</v>
      </c>
      <c r="J698" s="2">
        <f>(J630/J612)*AG79</f>
        <v>118724.33793999066</v>
      </c>
      <c r="K698" s="2">
        <f>(K644/K612)*AG75</f>
        <v>2435638.7173424559</v>
      </c>
      <c r="L698" s="2">
        <f>(L647/L612)*AG80</f>
        <v>278819.25381089764</v>
      </c>
      <c r="M698" s="2">
        <f t="shared" si="21"/>
        <v>3991149</v>
      </c>
      <c r="N698" s="332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8">
        <v>7240</v>
      </c>
      <c r="B699" s="332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1"/>
        <v>0</v>
      </c>
      <c r="N699" s="332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8">
        <v>7250</v>
      </c>
      <c r="B700" s="332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332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8">
        <v>7260</v>
      </c>
      <c r="B701" s="332" t="s">
        <v>121</v>
      </c>
      <c r="C701" s="2">
        <f>AJ71</f>
        <v>275190195</v>
      </c>
      <c r="D701" s="2">
        <f>(D615/D612)*AJ76</f>
        <v>2535342.5984118069</v>
      </c>
      <c r="E701" s="2">
        <f>(E623/E612)*SUM(C701:D701)</f>
        <v>6339370.086857181</v>
      </c>
      <c r="F701" s="2">
        <f>(F624/F612)*AJ64</f>
        <v>-186436.79567549238</v>
      </c>
      <c r="G701" s="2">
        <f>(G625/G612)*AJ77</f>
        <v>5791.4270764107177</v>
      </c>
      <c r="H701" s="2">
        <f>(H628/H612)*AJ60</f>
        <v>951119.7762420763</v>
      </c>
      <c r="I701" s="2">
        <f>(I629/I612)*AJ78</f>
        <v>2084260.0607716963</v>
      </c>
      <c r="J701" s="2">
        <f>(J630/J612)*AJ79</f>
        <v>251538.63778255475</v>
      </c>
      <c r="K701" s="2">
        <f>(K644/K612)*AJ75</f>
        <v>28192743.003719367</v>
      </c>
      <c r="L701" s="2">
        <f>(L647/L612)*AJ80</f>
        <v>2389891.1062814528</v>
      </c>
      <c r="M701" s="2">
        <f t="shared" si="21"/>
        <v>42563620</v>
      </c>
      <c r="N701" s="332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8">
        <v>7310</v>
      </c>
      <c r="B702" s="332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1"/>
        <v>0</v>
      </c>
      <c r="N702" s="332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8">
        <v>7320</v>
      </c>
      <c r="B703" s="332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1"/>
        <v>0</v>
      </c>
      <c r="N703" s="332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8">
        <v>7330</v>
      </c>
      <c r="B704" s="332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1"/>
        <v>0</v>
      </c>
      <c r="N704" s="332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8">
        <v>7340</v>
      </c>
      <c r="B705" s="332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332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8">
        <v>7350</v>
      </c>
      <c r="B706" s="332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1"/>
        <v>0</v>
      </c>
      <c r="N706" s="332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8">
        <v>7380</v>
      </c>
      <c r="B707" s="332" t="s">
        <v>729</v>
      </c>
      <c r="C707" s="2">
        <f>AP71</f>
        <v>183286329</v>
      </c>
      <c r="D707" s="2">
        <f>(D615/D612)*AP76</f>
        <v>3225219.6534159794</v>
      </c>
      <c r="E707" s="2">
        <f>(E623/E612)*SUM(C707:D707)</f>
        <v>4257317.2874601157</v>
      </c>
      <c r="F707" s="2">
        <f>(F624/F612)*AP64</f>
        <v>-73007.506666801157</v>
      </c>
      <c r="G707" s="2">
        <f>(G625/G612)*AP77</f>
        <v>0</v>
      </c>
      <c r="H707" s="2">
        <f>(H628/H612)*AP60</f>
        <v>890567.29360829794</v>
      </c>
      <c r="I707" s="2">
        <f>(I629/I612)*AP78</f>
        <v>2651381.7975886213</v>
      </c>
      <c r="J707" s="2">
        <f>(J630/J612)*AP79</f>
        <v>319840.45222320594</v>
      </c>
      <c r="K707" s="2">
        <f>(K644/K612)*AP75</f>
        <v>18794961.809252739</v>
      </c>
      <c r="L707" s="2">
        <f>(L647/L612)*AP80</f>
        <v>3053479.2800450632</v>
      </c>
      <c r="M707" s="2">
        <f t="shared" si="21"/>
        <v>33119760</v>
      </c>
      <c r="N707" s="332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8">
        <v>7390</v>
      </c>
      <c r="B708" s="332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1"/>
        <v>0</v>
      </c>
      <c r="N708" s="332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8">
        <v>7400</v>
      </c>
      <c r="B709" s="332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1"/>
        <v>0</v>
      </c>
      <c r="N709" s="332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8">
        <v>7410</v>
      </c>
      <c r="B710" s="332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332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8">
        <v>7420</v>
      </c>
      <c r="B711" s="332" t="s">
        <v>736</v>
      </c>
      <c r="C711" s="2">
        <f>AT71</f>
        <v>6356284</v>
      </c>
      <c r="D711" s="2">
        <f>(D615/D612)*AT76</f>
        <v>25781.988290619374</v>
      </c>
      <c r="E711" s="2">
        <f>(E623/E612)*SUM(C711:D711)</f>
        <v>145677.19831735606</v>
      </c>
      <c r="F711" s="2">
        <f>(F624/F612)*AT64</f>
        <v>-4560.0293798439734</v>
      </c>
      <c r="G711" s="2">
        <f>(G625/G612)*AT77</f>
        <v>0</v>
      </c>
      <c r="H711" s="2">
        <f>(H628/H612)*AT60</f>
        <v>22536.3660856756</v>
      </c>
      <c r="I711" s="2">
        <f>(I629/I612)*AT78</f>
        <v>21249.013783973543</v>
      </c>
      <c r="J711" s="2">
        <f>(J630/J612)*AT79</f>
        <v>0</v>
      </c>
      <c r="K711" s="2">
        <f>(K644/K612)*AT75</f>
        <v>398341.81109601411</v>
      </c>
      <c r="L711" s="2">
        <f>(L647/L612)*AT80</f>
        <v>60153.665589862205</v>
      </c>
      <c r="M711" s="2">
        <f t="shared" si="21"/>
        <v>669180</v>
      </c>
      <c r="N711" s="332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8">
        <v>7430</v>
      </c>
      <c r="B712" s="332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332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8">
        <v>7490</v>
      </c>
      <c r="B713" s="332" t="s">
        <v>740</v>
      </c>
      <c r="C713" s="2">
        <f>AV71</f>
        <v>25665469</v>
      </c>
      <c r="D713" s="2">
        <f>(D615/D612)*AV76</f>
        <v>101056.92169778146</v>
      </c>
      <c r="E713" s="2">
        <f>(E623/E612)*SUM(C713:D713)</f>
        <v>588147.36693906097</v>
      </c>
      <c r="F713" s="2">
        <f>(F624/F612)*AV64</f>
        <v>-28932.09568836608</v>
      </c>
      <c r="G713" s="2">
        <f>(G625/G612)*AV77</f>
        <v>1137.6017471521052</v>
      </c>
      <c r="H713" s="2">
        <f>(H628/H612)*AV60</f>
        <v>58592.311627320603</v>
      </c>
      <c r="I713" s="2">
        <f>(I629/I612)*AV78</f>
        <v>83036.194641255832</v>
      </c>
      <c r="J713" s="2">
        <f>(J630/J612)*AV79</f>
        <v>52069.172092844492</v>
      </c>
      <c r="K713" s="2">
        <f>(K644/K612)*AV75</f>
        <v>5586693.8750331393</v>
      </c>
      <c r="L713" s="2">
        <f>(L647/L612)*AV80</f>
        <v>231785.52351429759</v>
      </c>
      <c r="M713" s="2">
        <f t="shared" si="21"/>
        <v>6673587</v>
      </c>
      <c r="N713" s="324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1053535056</v>
      </c>
      <c r="D715" s="2">
        <f>SUM(D616:D647)+SUM(D668:D713)</f>
        <v>13452126.000000002</v>
      </c>
      <c r="E715" s="2">
        <f>SUM(E624:E647)+SUM(E668:E713)</f>
        <v>23511347.015315086</v>
      </c>
      <c r="F715" s="2">
        <f>SUM(F625:F648)+SUM(F668:F713)</f>
        <v>-561076.64166197588</v>
      </c>
      <c r="G715" s="2">
        <f>SUM(G626:G647)+SUM(G668:G713)</f>
        <v>5092491.4575165072</v>
      </c>
      <c r="H715" s="2">
        <f>SUM(H629:H647)+SUM(H668:H713)</f>
        <v>4810584.4781858195</v>
      </c>
      <c r="I715" s="2">
        <f>SUM(I630:I647)+SUM(I668:I713)</f>
        <v>10250998.741929645</v>
      </c>
      <c r="J715" s="2">
        <f>SUM(J631:J647)+SUM(J668:J713)</f>
        <v>2100853.4451074204</v>
      </c>
      <c r="K715" s="2">
        <f>SUM(K668:K713)</f>
        <v>115145868.39957872</v>
      </c>
      <c r="L715" s="2">
        <f>SUM(L668:L713)</f>
        <v>12478626.254902169</v>
      </c>
      <c r="M715" s="2">
        <f>SUM(M668:M713)</f>
        <v>177685594</v>
      </c>
      <c r="N715" s="332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1053535056</v>
      </c>
      <c r="D716" s="2">
        <f>D615</f>
        <v>13452126</v>
      </c>
      <c r="E716" s="2">
        <f>E623</f>
        <v>23511347.015315093</v>
      </c>
      <c r="F716" s="2">
        <f>F624</f>
        <v>-561076.64166197588</v>
      </c>
      <c r="G716" s="2">
        <f>G625</f>
        <v>5092491.4575165082</v>
      </c>
      <c r="H716" s="2">
        <f>H628</f>
        <v>4810584.4781858195</v>
      </c>
      <c r="I716" s="2">
        <f>I629</f>
        <v>10250998.741929645</v>
      </c>
      <c r="J716" s="2">
        <f>J630</f>
        <v>2100853.4451074204</v>
      </c>
      <c r="K716" s="2">
        <f>K644</f>
        <v>115145868.39957872</v>
      </c>
      <c r="L716" s="2">
        <f>L647</f>
        <v>12478626.254902169</v>
      </c>
      <c r="M716" s="2">
        <f>C648</f>
        <v>177685593</v>
      </c>
      <c r="N716" s="332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>ter*010*A</v>
      </c>
      <c r="B721" s="284">
        <f>ROUND(C166,0)</f>
        <v>5258584</v>
      </c>
      <c r="C721" s="284">
        <f>ROUND(C167,0)</f>
        <v>2415268</v>
      </c>
      <c r="D721" s="284">
        <f>ROUND(C168,0)</f>
        <v>40399470</v>
      </c>
      <c r="E721" s="284">
        <f>ROUND(C169,0)</f>
        <v>566804</v>
      </c>
      <c r="F721" s="284">
        <f>ROUND(C170,0)</f>
        <v>24116889</v>
      </c>
      <c r="G721" s="284">
        <f>ROUND(C171,0)</f>
        <v>9960164</v>
      </c>
      <c r="H721" s="284">
        <f>ROUND(C172+C173,0)</f>
        <v>0</v>
      </c>
      <c r="I721" s="284">
        <f>ROUND(C176,0)</f>
        <v>6164641</v>
      </c>
      <c r="J721" s="284">
        <f>ROUND(C177,0)</f>
        <v>0</v>
      </c>
      <c r="K721" s="284">
        <f>ROUND(C180,0)</f>
        <v>2687003</v>
      </c>
      <c r="L721" s="284">
        <f>ROUND(C181,0)</f>
        <v>0</v>
      </c>
      <c r="M721" s="284">
        <f>ROUND(C184,0)</f>
        <v>21755290</v>
      </c>
      <c r="N721" s="284">
        <f>ROUND(C185,0)</f>
        <v>0</v>
      </c>
      <c r="O721" s="284">
        <f>ROUND(C186,0)</f>
        <v>0</v>
      </c>
      <c r="P721" s="284">
        <f>ROUND(C189,0)</f>
        <v>0</v>
      </c>
      <c r="Q721" s="284">
        <f>ROUND(C190,0)</f>
        <v>0</v>
      </c>
      <c r="R721" s="284">
        <f>ROUND(B196,0)</f>
        <v>3251771</v>
      </c>
      <c r="S721" s="284">
        <f>ROUND(C196,0)</f>
        <v>51010</v>
      </c>
      <c r="T721" s="284">
        <f>ROUND(D196,0)</f>
        <v>0</v>
      </c>
      <c r="U721" s="284">
        <f>ROUND(B197,0)</f>
        <v>630139708</v>
      </c>
      <c r="V721" s="284">
        <f>ROUND(C197,0)</f>
        <v>48773471</v>
      </c>
      <c r="W721" s="284">
        <f>ROUND(D197,0)</f>
        <v>0</v>
      </c>
      <c r="X721" s="284">
        <f>ROUND(B198,0)</f>
        <v>42589797</v>
      </c>
      <c r="Y721" s="284">
        <f>ROUND(C198,0)</f>
        <v>1898206</v>
      </c>
      <c r="Z721" s="284">
        <f>ROUND(D198,0)</f>
        <v>12143</v>
      </c>
      <c r="AA721" s="284">
        <f>ROUND(B199,0)</f>
        <v>3797270</v>
      </c>
      <c r="AB721" s="284">
        <f>ROUND(C199,0)</f>
        <v>0</v>
      </c>
      <c r="AC721" s="284">
        <f>ROUND(D199,0)</f>
        <v>0</v>
      </c>
      <c r="AD721" s="284">
        <f>ROUND(B200,0)</f>
        <v>372463875</v>
      </c>
      <c r="AE721" s="284">
        <f>ROUND(C200,0)</f>
        <v>31860018</v>
      </c>
      <c r="AF721" s="284">
        <f>ROUND(D200,0)</f>
        <v>103389</v>
      </c>
      <c r="AG721" s="284">
        <f>ROUND(B201,0)</f>
        <v>19505473</v>
      </c>
      <c r="AH721" s="284">
        <f>ROUND(C201,0)</f>
        <v>1949150</v>
      </c>
      <c r="AI721" s="284">
        <f>ROUND(D201,0)</f>
        <v>11614</v>
      </c>
      <c r="AJ721" s="284">
        <f>ROUND(B202,0)</f>
        <v>23236047</v>
      </c>
      <c r="AK721" s="284">
        <f>ROUND(C202,0)</f>
        <v>4925844</v>
      </c>
      <c r="AL721" s="284">
        <f>ROUND(D202,0)</f>
        <v>208997</v>
      </c>
      <c r="AM721" s="284">
        <f>ROUND(B203,0)</f>
        <v>44804258</v>
      </c>
      <c r="AN721" s="284">
        <f>ROUND(C203,0)</f>
        <v>0</v>
      </c>
      <c r="AO721" s="284">
        <f>ROUND(D203,0)</f>
        <v>26167811</v>
      </c>
      <c r="AP721" s="284">
        <f>ROUND(B204,0)</f>
        <v>1180637391</v>
      </c>
      <c r="AQ721" s="284">
        <f>ROUND(C204,0)</f>
        <v>89420439</v>
      </c>
      <c r="AR721" s="284">
        <f>ROUND(D204,0)</f>
        <v>26503954</v>
      </c>
      <c r="AS721" s="284"/>
      <c r="AT721" s="284"/>
      <c r="AU721" s="284"/>
      <c r="AV721" s="284">
        <f>ROUND(B210,0)</f>
        <v>250483310</v>
      </c>
      <c r="AW721" s="284">
        <f>ROUND(C210,0)</f>
        <v>19994281</v>
      </c>
      <c r="AX721" s="284">
        <f>ROUND(D210,0)</f>
        <v>0</v>
      </c>
      <c r="AY721" s="284">
        <f>ROUND(B211,0)</f>
        <v>37699920</v>
      </c>
      <c r="AZ721" s="284">
        <f>ROUND(C211,0)</f>
        <v>840996</v>
      </c>
      <c r="BA721" s="284">
        <f>ROUND(D211,0)</f>
        <v>0</v>
      </c>
      <c r="BB721" s="284">
        <f>ROUND(B212,0)</f>
        <v>3797270</v>
      </c>
      <c r="BC721" s="284">
        <f>ROUND(C212,0)</f>
        <v>0</v>
      </c>
      <c r="BD721" s="284">
        <f>ROUND(D212,0)</f>
        <v>0</v>
      </c>
      <c r="BE721" s="284">
        <f>ROUND(B213,0)</f>
        <v>308382451</v>
      </c>
      <c r="BF721" s="284">
        <f>ROUND(C213,0)</f>
        <v>18490918</v>
      </c>
      <c r="BG721" s="284">
        <f>ROUND(D213,0)</f>
        <v>0</v>
      </c>
      <c r="BH721" s="284">
        <f>ROUND(B214,0)</f>
        <v>17524885</v>
      </c>
      <c r="BI721" s="284">
        <f>ROUND(C214,0)</f>
        <v>1397626</v>
      </c>
      <c r="BJ721" s="284">
        <f>ROUND(D214,0)</f>
        <v>0</v>
      </c>
      <c r="BK721" s="284">
        <f>ROUND(B215,0)</f>
        <v>17263640</v>
      </c>
      <c r="BL721" s="284">
        <f>ROUND(C215,0)</f>
        <v>2320727</v>
      </c>
      <c r="BM721" s="284">
        <f>ROUND(D215,0)</f>
        <v>4296371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636410564</v>
      </c>
      <c r="BR721" s="284">
        <f>ROUND(C217,0)</f>
        <v>43145203</v>
      </c>
      <c r="BS721" s="284">
        <f>ROUND(D217,0)</f>
        <v>4296371</v>
      </c>
      <c r="BT721" s="284">
        <f>ROUND(C222,0)</f>
        <v>0</v>
      </c>
      <c r="BU721" s="284">
        <f>ROUND(C223,0)</f>
        <v>832246691</v>
      </c>
      <c r="BV721" s="284">
        <f>ROUND(C224,0)</f>
        <v>142648105</v>
      </c>
      <c r="BW721" s="284">
        <f>ROUND(C225,0)</f>
        <v>14077302</v>
      </c>
      <c r="BX721" s="284">
        <f>ROUND(C226,0)</f>
        <v>26728984</v>
      </c>
      <c r="BY721" s="284">
        <f>ROUND(C227,0)</f>
        <v>359373724</v>
      </c>
      <c r="BZ721" s="284">
        <f>ROUND(C230,0)</f>
        <v>0</v>
      </c>
      <c r="CA721" s="284">
        <f>ROUND(C232,0)</f>
        <v>0</v>
      </c>
      <c r="CB721" s="284">
        <f>ROUND(C233,0)</f>
        <v>4878529</v>
      </c>
      <c r="CC721" s="284">
        <f>ROUND(C237+C238,0)</f>
        <v>62966997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>ter*010*A</v>
      </c>
      <c r="B725" s="284">
        <f>ROUND(C112,0)</f>
        <v>67</v>
      </c>
      <c r="C725" s="284">
        <f>ROUND(C113,0)</f>
        <v>0</v>
      </c>
      <c r="D725" s="284">
        <f>ROUND(C114,0)</f>
        <v>0</v>
      </c>
      <c r="E725" s="284">
        <f>ROUND(C115,0)</f>
        <v>0</v>
      </c>
      <c r="F725" s="284">
        <f>ROUND(D112,0)</f>
        <v>12126</v>
      </c>
      <c r="G725" s="284">
        <f>ROUND(D113,0)</f>
        <v>0</v>
      </c>
      <c r="H725" s="284">
        <f>ROUND(D114,0)</f>
        <v>0</v>
      </c>
      <c r="I725" s="284">
        <f>ROUND(D115,0)</f>
        <v>0</v>
      </c>
      <c r="J725" s="284">
        <f>ROUND(C117,0)</f>
        <v>0</v>
      </c>
      <c r="K725" s="284">
        <f>ROUND(C118,0)</f>
        <v>209</v>
      </c>
      <c r="L725" s="284">
        <f>ROUND(C119,0)</f>
        <v>0</v>
      </c>
      <c r="M725" s="284">
        <f>ROUND(C120,0)</f>
        <v>0</v>
      </c>
      <c r="N725" s="284">
        <f>ROUND(C121,0)</f>
        <v>0</v>
      </c>
      <c r="O725" s="284">
        <f>ROUND(C122,0)</f>
        <v>0</v>
      </c>
      <c r="P725" s="284">
        <f>ROUND(C123,0)</f>
        <v>35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0</v>
      </c>
      <c r="W725" s="284">
        <f>ROUND(C130,0)</f>
        <v>0</v>
      </c>
      <c r="X725" s="284">
        <f>ROUND(B139,0)</f>
        <v>36277</v>
      </c>
      <c r="Y725" s="284">
        <f>ROUND(B140,0)</f>
        <v>0</v>
      </c>
      <c r="Z725" s="284">
        <f>ROUND(B141,0)</f>
        <v>434305978</v>
      </c>
      <c r="AA725" s="284">
        <f>ROUND(B142,0)</f>
        <v>747677685</v>
      </c>
      <c r="AB725" s="284">
        <f>ROUND(B143,0)</f>
        <v>0</v>
      </c>
      <c r="AC725" s="284">
        <f>ROUND(C139,0)</f>
        <v>9209</v>
      </c>
      <c r="AD725" s="284">
        <f>ROUND(C140,0)</f>
        <v>0</v>
      </c>
      <c r="AE725" s="284">
        <f>ROUND(C141,0)</f>
        <v>85478384</v>
      </c>
      <c r="AF725" s="284">
        <f>ROUND(C142,0)</f>
        <v>99543886</v>
      </c>
      <c r="AG725" s="284">
        <f>ROUND(C143,0)</f>
        <v>0</v>
      </c>
      <c r="AH725" s="284">
        <f>ROUND(D139,0)</f>
        <v>14678</v>
      </c>
      <c r="AI725" s="284">
        <f>ROUND(D140,0)</f>
        <v>0</v>
      </c>
      <c r="AJ725" s="284">
        <f>ROUND(D141,0)</f>
        <v>233805176</v>
      </c>
      <c r="AK725" s="284">
        <f>ROUND(D142,0)</f>
        <v>922661737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12076</v>
      </c>
      <c r="AS725" s="284">
        <f>ROUND(C146,0)</f>
        <v>0</v>
      </c>
      <c r="AT725" s="284">
        <f>ROUND(C147,0)</f>
        <v>10690792</v>
      </c>
      <c r="AU725" s="284">
        <f>ROUND(C148,0)</f>
        <v>0</v>
      </c>
      <c r="AV725" s="284">
        <f>ROUND(C149,0)</f>
        <v>0</v>
      </c>
      <c r="AW725" s="284">
        <f>ROUND(D145,0)</f>
        <v>50</v>
      </c>
      <c r="AX725" s="284">
        <f>ROUND(D146,0)</f>
        <v>0</v>
      </c>
      <c r="AY725" s="284">
        <f>ROUND(D147,0)</f>
        <v>51176</v>
      </c>
      <c r="AZ725" s="284">
        <f>ROUND(D148,0)</f>
        <v>275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>ter*010*A</v>
      </c>
      <c r="B729" s="284">
        <f>ROUND(C249,0)</f>
        <v>0</v>
      </c>
      <c r="C729" s="284">
        <f>ROUND(C250,0)</f>
        <v>205449979</v>
      </c>
      <c r="D729" s="284">
        <f>ROUND(C251,0)</f>
        <v>0</v>
      </c>
      <c r="E729" s="284">
        <f>ROUND(C252,0)</f>
        <v>298232098</v>
      </c>
      <c r="F729" s="284">
        <f>ROUND(C253,0)</f>
        <v>191870079</v>
      </c>
      <c r="G729" s="284">
        <f>ROUND(C254,0)</f>
        <v>0</v>
      </c>
      <c r="H729" s="284">
        <f>ROUND(C255,0)</f>
        <v>16515438</v>
      </c>
      <c r="I729" s="284">
        <f>ROUND(C256,0)</f>
        <v>0</v>
      </c>
      <c r="J729" s="284">
        <f>ROUND(C257,0)</f>
        <v>22339149</v>
      </c>
      <c r="K729" s="284">
        <f>ROUND(C258,0)</f>
        <v>5292650</v>
      </c>
      <c r="L729" s="284">
        <f>ROUND(C261,0)</f>
        <v>0</v>
      </c>
      <c r="M729" s="284">
        <f>ROUND(C262,0)</f>
        <v>0</v>
      </c>
      <c r="N729" s="284">
        <f>ROUND(C263,0)</f>
        <v>404681467</v>
      </c>
      <c r="O729" s="284">
        <f>ROUND(C266,0)</f>
        <v>0</v>
      </c>
      <c r="P729" s="284">
        <f>ROUND(C267,0)</f>
        <v>40847330</v>
      </c>
      <c r="Q729" s="284">
        <f>ROUND(C268,0)</f>
        <v>3267382</v>
      </c>
      <c r="R729" s="284">
        <f>ROUND(C269,0)</f>
        <v>678913179</v>
      </c>
      <c r="S729" s="284">
        <f>ROUND(C270,0)</f>
        <v>44475859</v>
      </c>
      <c r="T729" s="284">
        <f>ROUND(C271,0)</f>
        <v>3797270</v>
      </c>
      <c r="U729" s="284">
        <f>ROUND(C272,0)</f>
        <v>425663513</v>
      </c>
      <c r="V729" s="284">
        <f>ROUND(C273,0)</f>
        <v>27952895</v>
      </c>
      <c r="W729" s="284">
        <f>ROUND(C274,0)</f>
        <v>18636447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55165152</v>
      </c>
      <c r="AJ729" s="284">
        <f>ROUND(C306,0)</f>
        <v>77200417</v>
      </c>
      <c r="AK729" s="284">
        <f>ROUND(C307,0)</f>
        <v>7258586</v>
      </c>
      <c r="AL729" s="284">
        <f>ROUND(C308,0)</f>
        <v>0</v>
      </c>
      <c r="AM729" s="284">
        <f>ROUND(C309,0)</f>
        <v>112366210</v>
      </c>
      <c r="AN729" s="284">
        <f>ROUND(C310,0)</f>
        <v>0</v>
      </c>
      <c r="AO729" s="284">
        <f>ROUND(C311,0)</f>
        <v>0</v>
      </c>
      <c r="AP729" s="284">
        <f>ROUND(C312,0)</f>
        <v>40317666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413453431</v>
      </c>
      <c r="AZ729" s="284">
        <f>ROUND(C326,0)</f>
        <v>0</v>
      </c>
      <c r="BA729" s="284">
        <f>ROUND(C327,0)</f>
        <v>163032094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4690.7</v>
      </c>
      <c r="BJ729" s="284">
        <f>ROUND(C358,0)</f>
        <v>0</v>
      </c>
      <c r="BK729" s="284">
        <f>ROUND(C359,0)</f>
        <v>764331506</v>
      </c>
      <c r="BL729" s="284">
        <f>ROUND(C362,0)</f>
        <v>0</v>
      </c>
      <c r="BM729" s="284">
        <f>ROUND(C363,0)</f>
        <v>97685</v>
      </c>
      <c r="BN729" s="284">
        <f>ROUND(C364,0)</f>
        <v>1375074806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533229977</v>
      </c>
      <c r="BT729" s="284">
        <f>ROUND(C379,0)</f>
        <v>114985972</v>
      </c>
      <c r="BU729" s="284">
        <f>ROUND(C380,0)</f>
        <v>11660595</v>
      </c>
      <c r="BV729" s="284">
        <f>ROUND(C381,0)</f>
        <v>288017014</v>
      </c>
      <c r="BW729" s="284">
        <f>ROUND(C382,0)</f>
        <v>12681817</v>
      </c>
      <c r="BX729" s="284">
        <f>ROUND(C383,0)</f>
        <v>47307421</v>
      </c>
      <c r="BY729" s="284">
        <f>ROUND(C384,0)</f>
        <v>42674345</v>
      </c>
      <c r="BZ729" s="284">
        <f>ROUND(C385,0)</f>
        <v>22702216</v>
      </c>
      <c r="CA729" s="284">
        <f>ROUND(C386,0)</f>
        <v>10793651</v>
      </c>
      <c r="CB729" s="284">
        <f>ROUND(C387,0)</f>
        <v>22895475</v>
      </c>
      <c r="CC729" s="284">
        <f>ROUND(C388,0)</f>
        <v>12514135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ter*010*6010*A</v>
      </c>
      <c r="B733" s="284">
        <f>ROUND(C59,0)</f>
        <v>5990</v>
      </c>
      <c r="C733" s="287">
        <f>ROUND(C60,2)</f>
        <v>92.65</v>
      </c>
      <c r="D733" s="284">
        <f>ROUND(C61,0)</f>
        <v>9691471</v>
      </c>
      <c r="E733" s="284">
        <f>ROUND(C62,0)</f>
        <v>1840790</v>
      </c>
      <c r="F733" s="284">
        <f>ROUND(C63,0)</f>
        <v>0</v>
      </c>
      <c r="G733" s="284">
        <f>ROUND(C64,0)</f>
        <v>1535048</v>
      </c>
      <c r="H733" s="284">
        <f>ROUND(C65,0)</f>
        <v>32054</v>
      </c>
      <c r="I733" s="284">
        <f>ROUND(C66,0)</f>
        <v>35848</v>
      </c>
      <c r="J733" s="284">
        <f>ROUND(C67,0)</f>
        <v>1600934</v>
      </c>
      <c r="K733" s="284">
        <f>ROUND(C68,0)</f>
        <v>13324</v>
      </c>
      <c r="L733" s="284">
        <f>ROUND(C70,0)</f>
        <v>500</v>
      </c>
      <c r="M733" s="284">
        <f>ROUND(C71,0)</f>
        <v>14851053</v>
      </c>
      <c r="N733" s="284">
        <f>ROUND(C76,0)</f>
        <v>23477</v>
      </c>
      <c r="O733" s="284">
        <f>ROUND(C74,0)</f>
        <v>149551</v>
      </c>
      <c r="P733" s="284">
        <f>IF(C77&gt;0,ROUND(C77,0),0)</f>
        <v>9270</v>
      </c>
      <c r="Q733" s="284">
        <f>IF(C78&gt;0,ROUND(C78,0),0)</f>
        <v>2201</v>
      </c>
      <c r="R733" s="284">
        <f>IF(C79&gt;0,ROUND(C79,0),0)</f>
        <v>46324</v>
      </c>
      <c r="S733" s="284">
        <f>IF(C80&gt;0,ROUND(C80,0),0)</f>
        <v>82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ter*010*6030*A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>
        <f t="shared" ref="Z734:Z778" si="22">IF(M668&lt;&gt;0,ROUND(M668,0),0)</f>
        <v>3866225</v>
      </c>
    </row>
    <row r="735" spans="1:84" ht="12.65" customHeight="1" x14ac:dyDescent="0.35">
      <c r="A735" s="209" t="str">
        <f>RIGHT($C$84,3)&amp;"*"&amp;RIGHT($C$83,4)&amp;"*"&amp;E$55&amp;"*"&amp;"A"</f>
        <v>ter*010*6070*A</v>
      </c>
      <c r="B735" s="284">
        <f>ROUND(E59,0)</f>
        <v>54174</v>
      </c>
      <c r="C735" s="287">
        <f>ROUND(E60,2)</f>
        <v>512.66999999999996</v>
      </c>
      <c r="D735" s="284">
        <f>ROUND(E61,0)</f>
        <v>42204975</v>
      </c>
      <c r="E735" s="284">
        <f>ROUND(E62,0)</f>
        <v>7995848</v>
      </c>
      <c r="F735" s="284">
        <f>ROUND(E63,0)</f>
        <v>6803</v>
      </c>
      <c r="G735" s="284">
        <f>ROUND(E64,0)</f>
        <v>3455009</v>
      </c>
      <c r="H735" s="284">
        <f>ROUND(E65,0)</f>
        <v>190393</v>
      </c>
      <c r="I735" s="284">
        <f>ROUND(E66,0)</f>
        <v>277619</v>
      </c>
      <c r="J735" s="284">
        <f>ROUND(E67,0)</f>
        <v>2359905</v>
      </c>
      <c r="K735" s="284">
        <f>ROUND(E68,0)</f>
        <v>2187716</v>
      </c>
      <c r="L735" s="284">
        <f>ROUND(E70,0)</f>
        <v>13049</v>
      </c>
      <c r="M735" s="284">
        <f>ROUND(E71,0)</f>
        <v>59248958</v>
      </c>
      <c r="N735" s="284">
        <f>ROUND(E76,0)</f>
        <v>122486</v>
      </c>
      <c r="O735" s="284">
        <f>ROUND(E74,0)</f>
        <v>15446957</v>
      </c>
      <c r="P735" s="284">
        <f>IF(E77&gt;0,ROUND(E77,0),0)</f>
        <v>260083</v>
      </c>
      <c r="Q735" s="284">
        <f>IF(E78&gt;0,ROUND(E78,0),0)</f>
        <v>11487</v>
      </c>
      <c r="R735" s="284">
        <f>IF(E79&gt;0,ROUND(E79,0),0)</f>
        <v>381269</v>
      </c>
      <c r="S735" s="284">
        <f>IF(E80&gt;0,ROUND(E80,0),0)</f>
        <v>452</v>
      </c>
      <c r="T735" s="287">
        <f>IF(E81&gt;0,ROUND(E81,2),0)</f>
        <v>0</v>
      </c>
      <c r="U735" s="284"/>
      <c r="X735" s="284"/>
      <c r="Y735" s="284"/>
      <c r="Z735" s="284">
        <f t="shared" si="22"/>
        <v>0</v>
      </c>
    </row>
    <row r="736" spans="1:84" ht="12.65" customHeight="1" x14ac:dyDescent="0.35">
      <c r="A736" s="209" t="str">
        <f>RIGHT($C$84,3)&amp;"*"&amp;RIGHT($C$83,4)&amp;"*"&amp;F$55&amp;"*"&amp;"A"</f>
        <v>ter*010*6100*A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>
        <f>ROUND(F62,0)</f>
        <v>0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>
        <f>ROUND(F67,0)</f>
        <v>0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>
        <f t="shared" si="22"/>
        <v>22286424</v>
      </c>
    </row>
    <row r="737" spans="1:26" ht="12.65" customHeight="1" x14ac:dyDescent="0.35">
      <c r="A737" s="209" t="str">
        <f>RIGHT($C$84,3)&amp;"*"&amp;RIGHT($C$83,4)&amp;"*"&amp;G$55&amp;"*"&amp;"A"</f>
        <v>ter*010*6120*A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>
        <f>ROUND(G62,0)</f>
        <v>0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>
        <f>ROUND(G67,0)</f>
        <v>0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>
        <f t="shared" si="22"/>
        <v>0</v>
      </c>
    </row>
    <row r="738" spans="1:26" ht="12.65" customHeight="1" x14ac:dyDescent="0.35">
      <c r="A738" s="209" t="str">
        <f>RIGHT($C$84,3)&amp;"*"&amp;RIGHT($C$83,4)&amp;"*"&amp;H$55&amp;"*"&amp;"A"</f>
        <v>ter*010*6140*A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>
        <f>ROUND(H62,0)</f>
        <v>0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>
        <f>ROUND(H67,0)</f>
        <v>0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>
        <f t="shared" si="22"/>
        <v>0</v>
      </c>
    </row>
    <row r="739" spans="1:26" ht="12.65" customHeight="1" x14ac:dyDescent="0.35">
      <c r="A739" s="209" t="str">
        <f>RIGHT($C$84,3)&amp;"*"&amp;RIGHT($C$83,4)&amp;"*"&amp;I$55&amp;"*"&amp;"A"</f>
        <v>ter*010*6150*A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>
        <f t="shared" si="22"/>
        <v>0</v>
      </c>
    </row>
    <row r="740" spans="1:26" ht="12.65" customHeight="1" x14ac:dyDescent="0.35">
      <c r="A740" s="209" t="str">
        <f>RIGHT($C$84,3)&amp;"*"&amp;RIGHT($C$83,4)&amp;"*"&amp;J$55&amp;"*"&amp;"A"</f>
        <v>ter*010*6170*A</v>
      </c>
      <c r="B740" s="284">
        <f>ROUND(J59,0)</f>
        <v>0</v>
      </c>
      <c r="C740" s="287">
        <f>ROUND(J60,2)</f>
        <v>0</v>
      </c>
      <c r="D740" s="284">
        <f>ROUND(J61,0)</f>
        <v>0</v>
      </c>
      <c r="E740" s="284">
        <f>ROUND(J62,0)</f>
        <v>0</v>
      </c>
      <c r="F740" s="284">
        <f>ROUND(J63,0)</f>
        <v>0</v>
      </c>
      <c r="G740" s="284">
        <f>ROUND(J64,0)</f>
        <v>0</v>
      </c>
      <c r="H740" s="284">
        <f>ROUND(J65,0)</f>
        <v>0</v>
      </c>
      <c r="I740" s="284">
        <f>ROUND(J66,0)</f>
        <v>0</v>
      </c>
      <c r="J740" s="284">
        <f>ROUND(J67,0)</f>
        <v>0</v>
      </c>
      <c r="K740" s="284">
        <f>ROUND(J68,0)</f>
        <v>0</v>
      </c>
      <c r="L740" s="284">
        <f>ROUND(J70,0)</f>
        <v>0</v>
      </c>
      <c r="M740" s="284">
        <f>ROUND(J71,0)</f>
        <v>0</v>
      </c>
      <c r="N740" s="284">
        <f>ROUND(J76,0)</f>
        <v>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>
        <f t="shared" si="22"/>
        <v>0</v>
      </c>
    </row>
    <row r="741" spans="1:26" ht="12.65" customHeight="1" x14ac:dyDescent="0.35">
      <c r="A741" s="209" t="str">
        <f>RIGHT($C$84,3)&amp;"*"&amp;RIGHT($C$83,4)&amp;"*"&amp;K$55&amp;"*"&amp;"A"</f>
        <v>ter*010*6200*A</v>
      </c>
      <c r="B741" s="284">
        <f>ROUND(K59,0)</f>
        <v>12126</v>
      </c>
      <c r="C741" s="287">
        <f>ROUND(K60,2)</f>
        <v>124.67</v>
      </c>
      <c r="D741" s="284">
        <f>ROUND(K61,0)</f>
        <v>9487723</v>
      </c>
      <c r="E741" s="284">
        <f>ROUND(K62,0)</f>
        <v>1893446</v>
      </c>
      <c r="F741" s="284">
        <f>ROUND(K63,0)</f>
        <v>0</v>
      </c>
      <c r="G741" s="284">
        <f>ROUND(K64,0)</f>
        <v>1217290</v>
      </c>
      <c r="H741" s="284">
        <f>ROUND(K65,0)</f>
        <v>408100</v>
      </c>
      <c r="I741" s="284">
        <f>ROUND(K66,0)</f>
        <v>1155781</v>
      </c>
      <c r="J741" s="284">
        <f>ROUND(K67,0)</f>
        <v>419135</v>
      </c>
      <c r="K741" s="284">
        <f>ROUND(K68,0)</f>
        <v>815129</v>
      </c>
      <c r="L741" s="284">
        <f>ROUND(K70,0)</f>
        <v>7259469</v>
      </c>
      <c r="M741" s="284">
        <f>ROUND(K71,0)</f>
        <v>8868502</v>
      </c>
      <c r="N741" s="284">
        <f>ROUND(K76,0)</f>
        <v>0</v>
      </c>
      <c r="O741" s="284">
        <f>ROUND(K74,0)</f>
        <v>277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890</v>
      </c>
      <c r="S741" s="284">
        <f>IF(K80&gt;0,ROUND(K80,0),0)</f>
        <v>75</v>
      </c>
      <c r="T741" s="287">
        <f>IF(K81&gt;0,ROUND(K81,2),0)</f>
        <v>0</v>
      </c>
      <c r="U741" s="284"/>
      <c r="X741" s="284"/>
      <c r="Y741" s="284"/>
      <c r="Z741" s="284">
        <f t="shared" si="22"/>
        <v>0</v>
      </c>
    </row>
    <row r="742" spans="1:26" ht="12.65" customHeight="1" x14ac:dyDescent="0.35">
      <c r="A742" s="209" t="str">
        <f>RIGHT($C$84,3)&amp;"*"&amp;RIGHT($C$83,4)&amp;"*"&amp;L$55&amp;"*"&amp;"A"</f>
        <v>ter*010*6210*A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>
        <f t="shared" si="22"/>
        <v>1449725</v>
      </c>
    </row>
    <row r="743" spans="1:26" ht="12.65" customHeight="1" x14ac:dyDescent="0.35">
      <c r="A743" s="209" t="str">
        <f>RIGHT($C$84,3)&amp;"*"&amp;RIGHT($C$83,4)&amp;"*"&amp;M$55&amp;"*"&amp;"A"</f>
        <v>ter*010*6330*A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>
        <f>ROUND(M62,0)</f>
        <v>0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>
        <f>ROUND(M67,0)</f>
        <v>0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>
        <f t="shared" si="22"/>
        <v>0</v>
      </c>
    </row>
    <row r="744" spans="1:26" ht="12.65" customHeight="1" x14ac:dyDescent="0.35">
      <c r="A744" s="209" t="str">
        <f>RIGHT($C$84,3)&amp;"*"&amp;RIGHT($C$83,4)&amp;"*"&amp;N$55&amp;"*"&amp;"A"</f>
        <v>ter*010*6400*A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>
        <f>ROUND(N62,0)</f>
        <v>0</v>
      </c>
      <c r="F744" s="284">
        <f>ROUND(N63,0)</f>
        <v>0</v>
      </c>
      <c r="G744" s="284">
        <f>ROUND(N64,0)</f>
        <v>11148</v>
      </c>
      <c r="H744" s="284">
        <f>ROUND(N65,0)</f>
        <v>15</v>
      </c>
      <c r="I744" s="284">
        <f>ROUND(N66,0)</f>
        <v>0</v>
      </c>
      <c r="J744" s="284">
        <f>ROUND(N67,0)</f>
        <v>0</v>
      </c>
      <c r="K744" s="284">
        <f>ROUND(N68,0)</f>
        <v>490</v>
      </c>
      <c r="L744" s="284">
        <f>ROUND(N70,0)</f>
        <v>0</v>
      </c>
      <c r="M744" s="284">
        <f>ROUND(N71,0)</f>
        <v>-192</v>
      </c>
      <c r="N744" s="284">
        <f>ROUND(N76,0)</f>
        <v>0</v>
      </c>
      <c r="O744" s="284">
        <f>ROUND(N74,0)</f>
        <v>0</v>
      </c>
      <c r="P744" s="284">
        <f>IF(N77&gt;0,ROUND(N77,0),0)</f>
        <v>264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>
        <f t="shared" si="22"/>
        <v>0</v>
      </c>
    </row>
    <row r="745" spans="1:26" ht="12.65" customHeight="1" x14ac:dyDescent="0.35">
      <c r="A745" s="209" t="str">
        <f>RIGHT($C$84,3)&amp;"*"&amp;RIGHT($C$83,4)&amp;"*"&amp;O$55&amp;"*"&amp;"A"</f>
        <v>ter*010*7010*A</v>
      </c>
      <c r="B745" s="284">
        <f>ROUND(O59,0)</f>
        <v>0</v>
      </c>
      <c r="C745" s="287">
        <f>ROUND(O60,2)</f>
        <v>0</v>
      </c>
      <c r="D745" s="284">
        <f>ROUND(O61,0)</f>
        <v>0</v>
      </c>
      <c r="E745" s="284">
        <f>ROUND(O62,0)</f>
        <v>0</v>
      </c>
      <c r="F745" s="284">
        <f>ROUND(O63,0)</f>
        <v>0</v>
      </c>
      <c r="G745" s="284">
        <f>ROUND(O64,0)</f>
        <v>0</v>
      </c>
      <c r="H745" s="284">
        <f>ROUND(O65,0)</f>
        <v>0</v>
      </c>
      <c r="I745" s="284">
        <f>ROUND(O66,0)</f>
        <v>0</v>
      </c>
      <c r="J745" s="284">
        <f>ROUND(O67,0)</f>
        <v>0</v>
      </c>
      <c r="K745" s="284">
        <f>ROUND(O68,0)</f>
        <v>0</v>
      </c>
      <c r="L745" s="284">
        <f>ROUND(O70,0)</f>
        <v>0</v>
      </c>
      <c r="M745" s="284">
        <f>ROUND(O71,0)</f>
        <v>0</v>
      </c>
      <c r="N745" s="284">
        <f>ROUND(O76,0)</f>
        <v>0</v>
      </c>
      <c r="O745" s="284">
        <f>ROUND(O74,0)</f>
        <v>0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>
        <f t="shared" si="22"/>
        <v>4524</v>
      </c>
    </row>
    <row r="746" spans="1:26" ht="12.65" customHeight="1" x14ac:dyDescent="0.35">
      <c r="A746" s="209" t="str">
        <f>RIGHT($C$84,3)&amp;"*"&amp;RIGHT($C$83,4)&amp;"*"&amp;P$55&amp;"*"&amp;"A"</f>
        <v>ter*010*7020*A</v>
      </c>
      <c r="B746" s="284">
        <f>ROUND(P59,0)</f>
        <v>2066830</v>
      </c>
      <c r="C746" s="287">
        <f>ROUND(P60,2)</f>
        <v>132.47999999999999</v>
      </c>
      <c r="D746" s="284">
        <f>ROUND(P61,0)</f>
        <v>12654555</v>
      </c>
      <c r="E746" s="284">
        <f>ROUND(P62,0)</f>
        <v>2395331</v>
      </c>
      <c r="F746" s="284">
        <f>ROUND(P63,0)</f>
        <v>1908415</v>
      </c>
      <c r="G746" s="284">
        <f>ROUND(P64,0)</f>
        <v>47494579</v>
      </c>
      <c r="H746" s="284">
        <f>ROUND(P65,0)</f>
        <v>108844</v>
      </c>
      <c r="I746" s="284">
        <f>ROUND(P66,0)</f>
        <v>568424</v>
      </c>
      <c r="J746" s="284">
        <f>ROUND(P67,0)</f>
        <v>3904245</v>
      </c>
      <c r="K746" s="284">
        <f>ROUND(P68,0)</f>
        <v>398173</v>
      </c>
      <c r="L746" s="284">
        <f>ROUND(P70,0)</f>
        <v>233297</v>
      </c>
      <c r="M746" s="284">
        <f>ROUND(P71,0)</f>
        <v>71663614</v>
      </c>
      <c r="N746" s="284">
        <f>ROUND(P76,0)</f>
        <v>46923</v>
      </c>
      <c r="O746" s="284">
        <f>ROUND(P74,0)</f>
        <v>183113732</v>
      </c>
      <c r="P746" s="284">
        <f>IF(P77&gt;0,ROUND(P77,0),0)</f>
        <v>0</v>
      </c>
      <c r="Q746" s="284">
        <f>IF(P78&gt;0,ROUND(P78,0),0)</f>
        <v>4400</v>
      </c>
      <c r="R746" s="284">
        <f>IF(P79&gt;0,ROUND(P79,0),0)</f>
        <v>512216</v>
      </c>
      <c r="S746" s="284">
        <f>IF(P80&gt;0,ROUND(P80,0),0)</f>
        <v>56</v>
      </c>
      <c r="T746" s="287">
        <f>IF(P81&gt;0,ROUND(P81,2),0)</f>
        <v>0</v>
      </c>
      <c r="U746" s="284"/>
      <c r="X746" s="284"/>
      <c r="Y746" s="284"/>
      <c r="Z746" s="284">
        <f t="shared" si="22"/>
        <v>0</v>
      </c>
    </row>
    <row r="747" spans="1:26" ht="12.65" customHeight="1" x14ac:dyDescent="0.35">
      <c r="A747" s="209" t="str">
        <f>RIGHT($C$84,3)&amp;"*"&amp;RIGHT($C$83,4)&amp;"*"&amp;Q$55&amp;"*"&amp;"A"</f>
        <v>ter*010*7030*A</v>
      </c>
      <c r="B747" s="284">
        <f>ROUND(Q59,0)</f>
        <v>1895448</v>
      </c>
      <c r="C747" s="287">
        <f>ROUND(Q60,2)</f>
        <v>71.760000000000005</v>
      </c>
      <c r="D747" s="284">
        <f>ROUND(Q61,0)</f>
        <v>7353687</v>
      </c>
      <c r="E747" s="284">
        <f>ROUND(Q62,0)</f>
        <v>1411899</v>
      </c>
      <c r="F747" s="284">
        <f>ROUND(Q63,0)</f>
        <v>0</v>
      </c>
      <c r="G747" s="284">
        <f>ROUND(Q64,0)</f>
        <v>1050683</v>
      </c>
      <c r="H747" s="284">
        <f>ROUND(Q65,0)</f>
        <v>37478</v>
      </c>
      <c r="I747" s="284">
        <f>ROUND(Q66,0)</f>
        <v>110319</v>
      </c>
      <c r="J747" s="284">
        <f>ROUND(Q67,0)</f>
        <v>881926</v>
      </c>
      <c r="K747" s="284">
        <f>ROUND(Q68,0)</f>
        <v>205604</v>
      </c>
      <c r="L747" s="284">
        <f>ROUND(Q70,0)</f>
        <v>0</v>
      </c>
      <c r="M747" s="284">
        <f>ROUND(Q71,0)</f>
        <v>11151129</v>
      </c>
      <c r="N747" s="284">
        <f>ROUND(Q76,0)</f>
        <v>28078</v>
      </c>
      <c r="O747" s="284">
        <f>ROUND(Q74,0)</f>
        <v>13138550</v>
      </c>
      <c r="P747" s="284">
        <f>IF(Q77&gt;0,ROUND(Q77,0),0)</f>
        <v>296</v>
      </c>
      <c r="Q747" s="284">
        <f>IF(Q78&gt;0,ROUND(Q78,0),0)</f>
        <v>2633</v>
      </c>
      <c r="R747" s="284">
        <f>IF(Q79&gt;0,ROUND(Q79,0),0)</f>
        <v>16630</v>
      </c>
      <c r="S747" s="284">
        <f>IF(Q80&gt;0,ROUND(Q80,0),0)</f>
        <v>66</v>
      </c>
      <c r="T747" s="287">
        <f>IF(Q81&gt;0,ROUND(Q81,2),0)</f>
        <v>0</v>
      </c>
      <c r="U747" s="284"/>
      <c r="X747" s="284"/>
      <c r="Y747" s="284"/>
      <c r="Z747" s="284">
        <f t="shared" si="22"/>
        <v>23383607</v>
      </c>
    </row>
    <row r="748" spans="1:26" ht="12.65" customHeight="1" x14ac:dyDescent="0.35">
      <c r="A748" s="209" t="str">
        <f>RIGHT($C$84,3)&amp;"*"&amp;RIGHT($C$83,4)&amp;"*"&amp;R$55&amp;"*"&amp;"A"</f>
        <v>ter*010*7040*A</v>
      </c>
      <c r="B748" s="284">
        <f>ROUND(R59,0)</f>
        <v>2207576</v>
      </c>
      <c r="C748" s="287">
        <f>ROUND(R60,2)</f>
        <v>80.67</v>
      </c>
      <c r="D748" s="284">
        <f>ROUND(R61,0)</f>
        <v>18060932</v>
      </c>
      <c r="E748" s="284">
        <f>ROUND(R62,0)</f>
        <v>5392391</v>
      </c>
      <c r="F748" s="284">
        <f>ROUND(R63,0)</f>
        <v>-182</v>
      </c>
      <c r="G748" s="284">
        <f>ROUND(R64,0)</f>
        <v>3093491</v>
      </c>
      <c r="H748" s="284">
        <f>ROUND(R65,0)</f>
        <v>32556</v>
      </c>
      <c r="I748" s="284">
        <f>ROUND(R66,0)</f>
        <v>19520</v>
      </c>
      <c r="J748" s="284">
        <f>ROUND(R67,0)</f>
        <v>354714</v>
      </c>
      <c r="K748" s="284">
        <f>ROUND(R68,0)</f>
        <v>21573</v>
      </c>
      <c r="L748" s="284">
        <f>ROUND(R70,0)</f>
        <v>30298</v>
      </c>
      <c r="M748" s="284">
        <f>ROUND(R71,0)</f>
        <v>27779348</v>
      </c>
      <c r="N748" s="284">
        <f>ROUND(R76,0)</f>
        <v>18969</v>
      </c>
      <c r="O748" s="284">
        <f>ROUND(R74,0)</f>
        <v>63223692</v>
      </c>
      <c r="P748" s="284">
        <f>IF(R77&gt;0,ROUND(R77,0),0)</f>
        <v>0</v>
      </c>
      <c r="Q748" s="284">
        <f>IF(R78&gt;0,ROUND(R78,0),0)</f>
        <v>1779</v>
      </c>
      <c r="R748" s="284">
        <f>IF(R79&gt;0,ROUND(R79,0),0)</f>
        <v>35736</v>
      </c>
      <c r="S748" s="284">
        <f>IF(R80&gt;0,ROUND(R80,0),0)</f>
        <v>6</v>
      </c>
      <c r="T748" s="287">
        <f>IF(R81&gt;0,ROUND(R81,2),0)</f>
        <v>0</v>
      </c>
      <c r="U748" s="284"/>
      <c r="X748" s="284"/>
      <c r="Y748" s="284"/>
      <c r="Z748" s="284">
        <f t="shared" si="22"/>
        <v>2395962</v>
      </c>
    </row>
    <row r="749" spans="1:26" ht="12.65" customHeight="1" x14ac:dyDescent="0.35">
      <c r="A749" s="209" t="str">
        <f>RIGHT($C$84,3)&amp;"*"&amp;RIGHT($C$83,4)&amp;"*"&amp;S$55&amp;"*"&amp;"A"</f>
        <v>ter*010*7050*A</v>
      </c>
      <c r="B749" s="284"/>
      <c r="C749" s="287">
        <f>ROUND(S60,2)</f>
        <v>123.48</v>
      </c>
      <c r="D749" s="284">
        <f>ROUND(S61,0)</f>
        <v>7114768</v>
      </c>
      <c r="E749" s="284">
        <f>ROUND(S62,0)</f>
        <v>1348002</v>
      </c>
      <c r="F749" s="284">
        <f>ROUND(S63,0)</f>
        <v>0</v>
      </c>
      <c r="G749" s="284">
        <f>ROUND(S64,0)</f>
        <v>1194221</v>
      </c>
      <c r="H749" s="284">
        <f>ROUND(S65,0)</f>
        <v>27182</v>
      </c>
      <c r="I749" s="284">
        <f>ROUND(S66,0)</f>
        <v>55347</v>
      </c>
      <c r="J749" s="284">
        <f>ROUND(S67,0)</f>
        <v>704273</v>
      </c>
      <c r="K749" s="284">
        <f>ROUND(S68,0)</f>
        <v>0</v>
      </c>
      <c r="L749" s="284">
        <f>ROUND(S70,0)</f>
        <v>14192</v>
      </c>
      <c r="M749" s="284">
        <f>ROUND(S71,0)</f>
        <v>10970247</v>
      </c>
      <c r="N749" s="284">
        <f>ROUND(S76,0)</f>
        <v>17856</v>
      </c>
      <c r="O749" s="284">
        <f>ROUND(S74,0)</f>
        <v>0</v>
      </c>
      <c r="P749" s="284">
        <f>IF(S77&gt;0,ROUND(S77,0),0)</f>
        <v>0</v>
      </c>
      <c r="Q749" s="284">
        <f>IF(S78&gt;0,ROUND(S78,0),0)</f>
        <v>1675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>
        <f t="shared" si="22"/>
        <v>4517305</v>
      </c>
    </row>
    <row r="750" spans="1:26" ht="12.65" customHeight="1" x14ac:dyDescent="0.35">
      <c r="A750" s="209" t="str">
        <f>RIGHT($C$84,3)&amp;"*"&amp;RIGHT($C$83,4)&amp;"*"&amp;T$55&amp;"*"&amp;"A"</f>
        <v>ter*010*7060*A</v>
      </c>
      <c r="B750" s="284"/>
      <c r="C750" s="287">
        <f>ROUND(T60,2)</f>
        <v>17.760000000000002</v>
      </c>
      <c r="D750" s="284">
        <f>ROUND(T61,0)</f>
        <v>2185210</v>
      </c>
      <c r="E750" s="284">
        <f>ROUND(T62,0)</f>
        <v>413331</v>
      </c>
      <c r="F750" s="284">
        <f>ROUND(T63,0)</f>
        <v>951</v>
      </c>
      <c r="G750" s="284">
        <f>ROUND(T64,0)</f>
        <v>554024</v>
      </c>
      <c r="H750" s="284">
        <f>ROUND(T65,0)</f>
        <v>3158</v>
      </c>
      <c r="I750" s="284">
        <f>ROUND(T66,0)</f>
        <v>2674</v>
      </c>
      <c r="J750" s="284">
        <f>ROUND(T67,0)</f>
        <v>25461</v>
      </c>
      <c r="K750" s="284">
        <f>ROUND(T68,0)</f>
        <v>0</v>
      </c>
      <c r="L750" s="284">
        <f>ROUND(T70,0)</f>
        <v>0</v>
      </c>
      <c r="M750" s="284">
        <f>ROUND(T71,0)</f>
        <v>3190601</v>
      </c>
      <c r="N750" s="284">
        <f>ROUND(T76,0)</f>
        <v>984</v>
      </c>
      <c r="O750" s="284">
        <f>ROUND(T74,0)</f>
        <v>589525</v>
      </c>
      <c r="P750" s="284">
        <f>IF(T77&gt;0,ROUND(T77,0),0)</f>
        <v>0</v>
      </c>
      <c r="Q750" s="284">
        <f>IF(T78&gt;0,ROUND(T78,0),0)</f>
        <v>92</v>
      </c>
      <c r="R750" s="284">
        <f>IF(T79&gt;0,ROUND(T79,0),0)</f>
        <v>752</v>
      </c>
      <c r="S750" s="284">
        <f>IF(T80&gt;0,ROUND(T80,0),0)</f>
        <v>17</v>
      </c>
      <c r="T750" s="287">
        <f>IF(T81&gt;0,ROUND(T81,2),0)</f>
        <v>0</v>
      </c>
      <c r="U750" s="284"/>
      <c r="X750" s="284"/>
      <c r="Y750" s="284"/>
      <c r="Z750" s="284">
        <f t="shared" si="22"/>
        <v>774295</v>
      </c>
    </row>
    <row r="751" spans="1:26" ht="12.65" customHeight="1" x14ac:dyDescent="0.35">
      <c r="A751" s="209" t="str">
        <f>RIGHT($C$84,3)&amp;"*"&amp;RIGHT($C$83,4)&amp;"*"&amp;U$55&amp;"*"&amp;"A"</f>
        <v>ter*010*7070*A</v>
      </c>
      <c r="B751" s="284">
        <f>ROUND(U59,0)</f>
        <v>2080691</v>
      </c>
      <c r="C751" s="287">
        <f>ROUND(U60,2)</f>
        <v>160.66999999999999</v>
      </c>
      <c r="D751" s="284">
        <f>ROUND(U61,0)</f>
        <v>15948045</v>
      </c>
      <c r="E751" s="284">
        <f>ROUND(U62,0)</f>
        <v>3870594</v>
      </c>
      <c r="F751" s="284">
        <f>ROUND(U63,0)</f>
        <v>17147</v>
      </c>
      <c r="G751" s="284">
        <f>ROUND(U64,0)</f>
        <v>16055656</v>
      </c>
      <c r="H751" s="284">
        <f>ROUND(U65,0)</f>
        <v>53773</v>
      </c>
      <c r="I751" s="284">
        <f>ROUND(U66,0)</f>
        <v>3954941</v>
      </c>
      <c r="J751" s="284">
        <f>ROUND(U67,0)</f>
        <v>484568</v>
      </c>
      <c r="K751" s="284">
        <f>ROUND(U68,0)</f>
        <v>619436</v>
      </c>
      <c r="L751" s="284">
        <f>ROUND(U70,0)</f>
        <v>364509</v>
      </c>
      <c r="M751" s="284">
        <f>ROUND(U71,0)</f>
        <v>41510723</v>
      </c>
      <c r="N751" s="284">
        <f>ROUND(U76,0)</f>
        <v>30797</v>
      </c>
      <c r="O751" s="284">
        <f>ROUND(U74,0)</f>
        <v>119551928</v>
      </c>
      <c r="P751" s="284">
        <f>IF(U77&gt;0,ROUND(U77,0),0)</f>
        <v>0</v>
      </c>
      <c r="Q751" s="284">
        <f>IF(U78&gt;0,ROUND(U78,0),0)</f>
        <v>2888</v>
      </c>
      <c r="R751" s="284">
        <f>IF(U79&gt;0,ROUND(U79,0),0)</f>
        <v>46766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>
        <f t="shared" si="22"/>
        <v>418652</v>
      </c>
    </row>
    <row r="752" spans="1:26" ht="12.65" customHeight="1" x14ac:dyDescent="0.35">
      <c r="A752" s="209" t="str">
        <f>RIGHT($C$84,3)&amp;"*"&amp;RIGHT($C$83,4)&amp;"*"&amp;V$55&amp;"*"&amp;"A"</f>
        <v>ter*010*7110*A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>
        <f>ROUND(V62,0)</f>
        <v>0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>
        <f>ROUND(V67,0)</f>
        <v>0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>
        <f t="shared" si="22"/>
        <v>8991608</v>
      </c>
    </row>
    <row r="753" spans="1:26" ht="12.65" customHeight="1" x14ac:dyDescent="0.35">
      <c r="A753" s="209" t="str">
        <f>RIGHT($C$84,3)&amp;"*"&amp;RIGHT($C$83,4)&amp;"*"&amp;W$55&amp;"*"&amp;"A"</f>
        <v>ter*010*7120*A</v>
      </c>
      <c r="B753" s="284">
        <f>ROUND(W59,0)</f>
        <v>87644</v>
      </c>
      <c r="C753" s="287">
        <f>ROUND(W60,2)</f>
        <v>11.45</v>
      </c>
      <c r="D753" s="284">
        <f>ROUND(W61,0)</f>
        <v>2157822</v>
      </c>
      <c r="E753" s="284">
        <f>ROUND(W62,0)</f>
        <v>636989</v>
      </c>
      <c r="F753" s="284">
        <f>ROUND(W63,0)</f>
        <v>1164</v>
      </c>
      <c r="G753" s="284">
        <f>ROUND(W64,0)</f>
        <v>425653</v>
      </c>
      <c r="H753" s="284">
        <f>ROUND(W65,0)</f>
        <v>16080</v>
      </c>
      <c r="I753" s="284">
        <f>ROUND(W66,0)</f>
        <v>179621</v>
      </c>
      <c r="J753" s="284">
        <f>ROUND(W67,0)</f>
        <v>519835</v>
      </c>
      <c r="K753" s="284">
        <f>ROUND(W68,0)</f>
        <v>411</v>
      </c>
      <c r="L753" s="284">
        <f>ROUND(W70,0)</f>
        <v>0</v>
      </c>
      <c r="M753" s="284">
        <f>ROUND(W71,0)</f>
        <v>4461577</v>
      </c>
      <c r="N753" s="284">
        <f>ROUND(W76,0)</f>
        <v>6650</v>
      </c>
      <c r="O753" s="284">
        <f>ROUND(W74,0)</f>
        <v>24353747</v>
      </c>
      <c r="P753" s="284">
        <f>IF(W77&gt;0,ROUND(W77,0),0)</f>
        <v>0</v>
      </c>
      <c r="Q753" s="284">
        <f>IF(W78&gt;0,ROUND(W78,0),0)</f>
        <v>624</v>
      </c>
      <c r="R753" s="284">
        <f>IF(W79&gt;0,ROUND(W79,0),0)</f>
        <v>7338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>
        <f t="shared" si="22"/>
        <v>0</v>
      </c>
    </row>
    <row r="754" spans="1:26" ht="12.65" customHeight="1" x14ac:dyDescent="0.35">
      <c r="A754" s="209" t="str">
        <f>RIGHT($C$84,3)&amp;"*"&amp;RIGHT($C$83,4)&amp;"*"&amp;X$55&amp;"*"&amp;"A"</f>
        <v>ter*010*7130*A</v>
      </c>
      <c r="B754" s="284">
        <f>ROUND(X59,0)</f>
        <v>147031</v>
      </c>
      <c r="C754" s="287">
        <f>ROUND(X60,2)</f>
        <v>19.8</v>
      </c>
      <c r="D754" s="284">
        <f>ROUND(X61,0)</f>
        <v>3691405</v>
      </c>
      <c r="E754" s="284">
        <f>ROUND(X62,0)</f>
        <v>1089072</v>
      </c>
      <c r="F754" s="284">
        <f>ROUND(X63,0)</f>
        <v>205</v>
      </c>
      <c r="G754" s="284">
        <f>ROUND(X64,0)</f>
        <v>631998</v>
      </c>
      <c r="H754" s="284">
        <f>ROUND(X65,0)</f>
        <v>11021</v>
      </c>
      <c r="I754" s="284">
        <f>ROUND(X66,0)</f>
        <v>57224</v>
      </c>
      <c r="J754" s="284">
        <f>ROUND(X67,0)</f>
        <v>374960</v>
      </c>
      <c r="K754" s="284">
        <f>ROUND(X68,0)</f>
        <v>675</v>
      </c>
      <c r="L754" s="284">
        <f>ROUND(X70,0)</f>
        <v>0</v>
      </c>
      <c r="M754" s="284">
        <f>ROUND(X71,0)</f>
        <v>6437701</v>
      </c>
      <c r="N754" s="284">
        <f>ROUND(X76,0)</f>
        <v>3995</v>
      </c>
      <c r="O754" s="284">
        <f>ROUND(X74,0)</f>
        <v>44391319</v>
      </c>
      <c r="P754" s="284">
        <f>IF(X77&gt;0,ROUND(X77,0),0)</f>
        <v>0</v>
      </c>
      <c r="Q754" s="284">
        <f>IF(X78&gt;0,ROUND(X78,0),0)</f>
        <v>375</v>
      </c>
      <c r="R754" s="284">
        <f>IF(X79&gt;0,ROUND(X79,0),0)</f>
        <v>86252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>
        <f t="shared" si="22"/>
        <v>1543709</v>
      </c>
    </row>
    <row r="755" spans="1:26" ht="12.65" customHeight="1" x14ac:dyDescent="0.35">
      <c r="A755" s="209" t="str">
        <f>RIGHT($C$84,3)&amp;"*"&amp;RIGHT($C$83,4)&amp;"*"&amp;Y$55&amp;"*"&amp;"A"</f>
        <v>ter*010*7140*A</v>
      </c>
      <c r="B755" s="284">
        <f>ROUND(Y59,0)</f>
        <v>143531</v>
      </c>
      <c r="C755" s="287">
        <f>ROUND(Y60,2)</f>
        <v>114.26</v>
      </c>
      <c r="D755" s="284">
        <f>ROUND(Y61,0)</f>
        <v>12560497</v>
      </c>
      <c r="E755" s="284">
        <f>ROUND(Y62,0)</f>
        <v>2900724</v>
      </c>
      <c r="F755" s="284">
        <f>ROUND(Y63,0)</f>
        <v>42445</v>
      </c>
      <c r="G755" s="284">
        <f>ROUND(Y64,0)</f>
        <v>6140966</v>
      </c>
      <c r="H755" s="284">
        <f>ROUND(Y65,0)</f>
        <v>61336</v>
      </c>
      <c r="I755" s="284">
        <f>ROUND(Y66,0)</f>
        <v>198825</v>
      </c>
      <c r="J755" s="284">
        <f>ROUND(Y67,0)</f>
        <v>2352016</v>
      </c>
      <c r="K755" s="284">
        <f>ROUND(Y68,0)</f>
        <v>11362</v>
      </c>
      <c r="L755" s="284">
        <f>ROUND(Y70,0)</f>
        <v>16515</v>
      </c>
      <c r="M755" s="284">
        <f>ROUND(Y71,0)</f>
        <v>27065060</v>
      </c>
      <c r="N755" s="284">
        <f>ROUND(Y76,0)</f>
        <v>34217</v>
      </c>
      <c r="O755" s="284">
        <f>ROUND(Y74,0)</f>
        <v>70370058</v>
      </c>
      <c r="P755" s="284">
        <f>IF(Y77&gt;0,ROUND(Y77,0),0)</f>
        <v>25</v>
      </c>
      <c r="Q755" s="284">
        <f>IF(Y78&gt;0,ROUND(Y78,0),0)</f>
        <v>3209</v>
      </c>
      <c r="R755" s="284">
        <f>IF(Y79&gt;0,ROUND(Y79,0),0)</f>
        <v>312881</v>
      </c>
      <c r="S755" s="284">
        <f>IF(Y80&gt;0,ROUND(Y80,0),0)</f>
        <v>13</v>
      </c>
      <c r="T755" s="287">
        <f>IF(Y81&gt;0,ROUND(Y81,2),0)</f>
        <v>0</v>
      </c>
      <c r="U755" s="284"/>
      <c r="X755" s="284"/>
      <c r="Y755" s="284"/>
      <c r="Z755" s="284">
        <f t="shared" si="22"/>
        <v>3003272</v>
      </c>
    </row>
    <row r="756" spans="1:26" ht="12.65" customHeight="1" x14ac:dyDescent="0.35">
      <c r="A756" s="209" t="str">
        <f>RIGHT($C$84,3)&amp;"*"&amp;RIGHT($C$83,4)&amp;"*"&amp;Z$55&amp;"*"&amp;"A"</f>
        <v>ter*010*7150*A</v>
      </c>
      <c r="B756" s="284">
        <f>ROUND(Z59,0)</f>
        <v>198252</v>
      </c>
      <c r="C756" s="287">
        <f>ROUND(Z60,2)</f>
        <v>36.86</v>
      </c>
      <c r="D756" s="284">
        <f>ROUND(Z61,0)</f>
        <v>6440438</v>
      </c>
      <c r="E756" s="284">
        <f>ROUND(Z62,0)</f>
        <v>1851526</v>
      </c>
      <c r="F756" s="284">
        <f>ROUND(Z63,0)</f>
        <v>343319</v>
      </c>
      <c r="G756" s="284">
        <f>ROUND(Z64,0)</f>
        <v>333687</v>
      </c>
      <c r="H756" s="284">
        <f>ROUND(Z65,0)</f>
        <v>33693</v>
      </c>
      <c r="I756" s="284">
        <f>ROUND(Z66,0)</f>
        <v>239129</v>
      </c>
      <c r="J756" s="284">
        <f>ROUND(Z67,0)</f>
        <v>612855</v>
      </c>
      <c r="K756" s="284">
        <f>ROUND(Z68,0)</f>
        <v>0</v>
      </c>
      <c r="L756" s="284">
        <f>ROUND(Z70,0)</f>
        <v>2210153</v>
      </c>
      <c r="M756" s="284">
        <f>ROUND(Z71,0)</f>
        <v>8605331</v>
      </c>
      <c r="N756" s="284">
        <f>ROUND(Z76,0)</f>
        <v>11246</v>
      </c>
      <c r="O756" s="284">
        <f>ROUND(Z74,0)</f>
        <v>27191226</v>
      </c>
      <c r="P756" s="284">
        <f>IF(Z77&gt;0,ROUND(Z77,0),0)</f>
        <v>0</v>
      </c>
      <c r="Q756" s="284">
        <f>IF(Z78&gt;0,ROUND(Z78,0),0)</f>
        <v>1055</v>
      </c>
      <c r="R756" s="284">
        <f>IF(Z79&gt;0,ROUND(Z79,0),0)</f>
        <v>26413</v>
      </c>
      <c r="S756" s="284">
        <f>IF(Z80&gt;0,ROUND(Z80,0),0)</f>
        <v>4</v>
      </c>
      <c r="T756" s="287">
        <f>IF(Z81&gt;0,ROUND(Z81,2),0)</f>
        <v>0</v>
      </c>
      <c r="U756" s="284"/>
      <c r="X756" s="284"/>
      <c r="Y756" s="284"/>
      <c r="Z756" s="284">
        <f t="shared" si="22"/>
        <v>6740480</v>
      </c>
    </row>
    <row r="757" spans="1:26" ht="12.65" customHeight="1" x14ac:dyDescent="0.35">
      <c r="A757" s="209" t="str">
        <f>RIGHT($C$84,3)&amp;"*"&amp;RIGHT($C$83,4)&amp;"*"&amp;AA$55&amp;"*"&amp;"A"</f>
        <v>ter*010*7160*A</v>
      </c>
      <c r="B757" s="284">
        <f>ROUND(AA59,0)</f>
        <v>19736</v>
      </c>
      <c r="C757" s="287">
        <f>ROUND(AA60,2)</f>
        <v>7.26</v>
      </c>
      <c r="D757" s="284">
        <f>ROUND(AA61,0)</f>
        <v>998361</v>
      </c>
      <c r="E757" s="284">
        <f>ROUND(AA62,0)</f>
        <v>235996</v>
      </c>
      <c r="F757" s="284">
        <f>ROUND(AA63,0)</f>
        <v>5260</v>
      </c>
      <c r="G757" s="284">
        <f>ROUND(AA64,0)</f>
        <v>8895146</v>
      </c>
      <c r="H757" s="284">
        <f>ROUND(AA65,0)</f>
        <v>5338</v>
      </c>
      <c r="I757" s="284">
        <f>ROUND(AA66,0)</f>
        <v>120909</v>
      </c>
      <c r="J757" s="284">
        <f>ROUND(AA67,0)</f>
        <v>110893</v>
      </c>
      <c r="K757" s="284">
        <f>ROUND(AA68,0)</f>
        <v>396</v>
      </c>
      <c r="L757" s="284">
        <f>ROUND(AA70,0)</f>
        <v>0</v>
      </c>
      <c r="M757" s="284">
        <f>ROUND(AA71,0)</f>
        <v>10636324</v>
      </c>
      <c r="N757" s="284">
        <f>ROUND(AA76,0)</f>
        <v>6039</v>
      </c>
      <c r="O757" s="284">
        <f>ROUND(AA74,0)</f>
        <v>33609050</v>
      </c>
      <c r="P757" s="284">
        <f>IF(AA77&gt;0,ROUND(AA77,0),0)</f>
        <v>0</v>
      </c>
      <c r="Q757" s="284">
        <f>IF(AA78&gt;0,ROUND(AA78,0),0)</f>
        <v>566</v>
      </c>
      <c r="R757" s="284">
        <f>IF(AA79&gt;0,ROUND(AA79,0),0)</f>
        <v>29019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>
        <f t="shared" si="22"/>
        <v>1810504</v>
      </c>
    </row>
    <row r="758" spans="1:26" ht="12.65" customHeight="1" x14ac:dyDescent="0.35">
      <c r="A758" s="209" t="str">
        <f>RIGHT($C$84,3)&amp;"*"&amp;RIGHT($C$83,4)&amp;"*"&amp;AB$55&amp;"*"&amp;"A"</f>
        <v>ter*010*7170*A</v>
      </c>
      <c r="B758" s="284"/>
      <c r="C758" s="287">
        <f>ROUND(AB60,2)</f>
        <v>82.25</v>
      </c>
      <c r="D758" s="284">
        <f>ROUND(AB61,0)</f>
        <v>9202368</v>
      </c>
      <c r="E758" s="284">
        <f>ROUND(AB62,0)</f>
        <v>1761190</v>
      </c>
      <c r="F758" s="284">
        <f>ROUND(AB63,0)</f>
        <v>6839</v>
      </c>
      <c r="G758" s="284">
        <f>ROUND(AB64,0)</f>
        <v>37001972</v>
      </c>
      <c r="H758" s="284">
        <f>ROUND(AB65,0)</f>
        <v>34894</v>
      </c>
      <c r="I758" s="284">
        <f>ROUND(AB66,0)</f>
        <v>68642</v>
      </c>
      <c r="J758" s="284">
        <f>ROUND(AB67,0)</f>
        <v>411181</v>
      </c>
      <c r="K758" s="284">
        <f>ROUND(AB68,0)</f>
        <v>310100</v>
      </c>
      <c r="L758" s="284">
        <f>ROUND(AB70,0)</f>
        <v>193547</v>
      </c>
      <c r="M758" s="284">
        <f>ROUND(AB71,0)</f>
        <v>49165130</v>
      </c>
      <c r="N758" s="284">
        <f>ROUND(AB76,0)</f>
        <v>10847</v>
      </c>
      <c r="O758" s="284">
        <f>ROUND(AB74,0)</f>
        <v>29976034</v>
      </c>
      <c r="P758" s="284">
        <f>IF(AB77&gt;0,ROUND(AB77,0),0)</f>
        <v>0</v>
      </c>
      <c r="Q758" s="284">
        <f>IF(AB78&gt;0,ROUND(AB78,0),0)</f>
        <v>1017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>
        <f t="shared" si="22"/>
        <v>1965528</v>
      </c>
    </row>
    <row r="759" spans="1:26" ht="12.65" customHeight="1" x14ac:dyDescent="0.35">
      <c r="A759" s="209" t="str">
        <f>RIGHT($C$84,3)&amp;"*"&amp;RIGHT($C$83,4)&amp;"*"&amp;AC$55&amp;"*"&amp;"A"</f>
        <v>ter*010*7180*A</v>
      </c>
      <c r="B759" s="284">
        <f>ROUND(AC59,0)</f>
        <v>228498</v>
      </c>
      <c r="C759" s="287">
        <f>ROUND(AC60,2)</f>
        <v>20.309999999999999</v>
      </c>
      <c r="D759" s="284">
        <f>ROUND(AC61,0)</f>
        <v>1876093</v>
      </c>
      <c r="E759" s="284">
        <f>ROUND(AC62,0)</f>
        <v>355047</v>
      </c>
      <c r="F759" s="284">
        <f>ROUND(AC63,0)</f>
        <v>0</v>
      </c>
      <c r="G759" s="284">
        <f>ROUND(AC64,0)</f>
        <v>349893</v>
      </c>
      <c r="H759" s="284">
        <f>ROUND(AC65,0)</f>
        <v>5568</v>
      </c>
      <c r="I759" s="284">
        <f>ROUND(AC66,0)</f>
        <v>0</v>
      </c>
      <c r="J759" s="284">
        <f>ROUND(AC67,0)</f>
        <v>80074</v>
      </c>
      <c r="K759" s="284">
        <f>ROUND(AC68,0)</f>
        <v>11530</v>
      </c>
      <c r="L759" s="284">
        <f>ROUND(AC70,0)</f>
        <v>0</v>
      </c>
      <c r="M759" s="284">
        <f>ROUND(AC71,0)</f>
        <v>2785605</v>
      </c>
      <c r="N759" s="284">
        <f>ROUND(AC76,0)</f>
        <v>858</v>
      </c>
      <c r="O759" s="284">
        <f>ROUND(AC74,0)</f>
        <v>460295</v>
      </c>
      <c r="P759" s="284">
        <f>IF(AC77&gt;0,ROUND(AC77,0),0)</f>
        <v>0</v>
      </c>
      <c r="Q759" s="284">
        <f>IF(AC78&gt;0,ROUND(AC78,0),0)</f>
        <v>80</v>
      </c>
      <c r="R759" s="284">
        <f>IF(AC79&gt;0,ROUND(AC79,0),0)</f>
        <v>10083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>
        <f t="shared" si="22"/>
        <v>4211379</v>
      </c>
    </row>
    <row r="760" spans="1:26" ht="12.65" customHeight="1" x14ac:dyDescent="0.35">
      <c r="A760" s="209" t="str">
        <f>RIGHT($C$84,3)&amp;"*"&amp;RIGHT($C$83,4)&amp;"*"&amp;AD$55&amp;"*"&amp;"A"</f>
        <v>ter*010*7190*A</v>
      </c>
      <c r="B760" s="284">
        <f>ROUND(AD59,0)</f>
        <v>17156</v>
      </c>
      <c r="C760" s="287">
        <f>ROUND(AD60,2)</f>
        <v>0</v>
      </c>
      <c r="D760" s="284">
        <f>ROUND(AD61,0)</f>
        <v>70038</v>
      </c>
      <c r="E760" s="284">
        <f>ROUND(AD62,0)</f>
        <v>14629</v>
      </c>
      <c r="F760" s="284">
        <f>ROUND(AD63,0)</f>
        <v>0</v>
      </c>
      <c r="G760" s="284">
        <f>ROUND(AD64,0)</f>
        <v>38682</v>
      </c>
      <c r="H760" s="284">
        <f>ROUND(AD65,0)</f>
        <v>1808</v>
      </c>
      <c r="I760" s="284">
        <f>ROUND(AD66,0)</f>
        <v>2463511</v>
      </c>
      <c r="J760" s="284">
        <f>ROUND(AD67,0)</f>
        <v>15865</v>
      </c>
      <c r="K760" s="284">
        <f>ROUND(AD68,0)</f>
        <v>4891</v>
      </c>
      <c r="L760" s="284">
        <f>ROUND(AD70,0)</f>
        <v>0</v>
      </c>
      <c r="M760" s="284">
        <f>ROUND(AD71,0)</f>
        <v>2620402</v>
      </c>
      <c r="N760" s="284">
        <f>ROUND(AD76,0)</f>
        <v>1571</v>
      </c>
      <c r="O760" s="284">
        <f>ROUND(AD74,0)</f>
        <v>450364</v>
      </c>
      <c r="P760" s="284">
        <f>IF(AD77&gt;0,ROUND(AD77,0),0)</f>
        <v>0</v>
      </c>
      <c r="Q760" s="284">
        <f>IF(AD78&gt;0,ROUND(AD78,0),0)</f>
        <v>147</v>
      </c>
      <c r="R760" s="284">
        <f>IF(AD79&gt;0,ROUND(AD79,0),0)</f>
        <v>2262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>
        <f t="shared" si="22"/>
        <v>904819</v>
      </c>
    </row>
    <row r="761" spans="1:26" ht="12.65" customHeight="1" x14ac:dyDescent="0.35">
      <c r="A761" s="209" t="str">
        <f>RIGHT($C$84,3)&amp;"*"&amp;RIGHT($C$83,4)&amp;"*"&amp;AE$55&amp;"*"&amp;"A"</f>
        <v>ter*010*7200*A</v>
      </c>
      <c r="B761" s="284">
        <f>ROUND(AE59,0)</f>
        <v>194611</v>
      </c>
      <c r="C761" s="287">
        <f>ROUND(AE60,2)</f>
        <v>67.739999999999995</v>
      </c>
      <c r="D761" s="284">
        <f>ROUND(AE61,0)</f>
        <v>7103633</v>
      </c>
      <c r="E761" s="284">
        <f>ROUND(AE62,0)</f>
        <v>1635121</v>
      </c>
      <c r="F761" s="284">
        <f>ROUND(AE63,0)</f>
        <v>0</v>
      </c>
      <c r="G761" s="284">
        <f>ROUND(AE64,0)</f>
        <v>724809</v>
      </c>
      <c r="H761" s="284">
        <f>ROUND(AE65,0)</f>
        <v>30392</v>
      </c>
      <c r="I761" s="284">
        <f>ROUND(AE66,0)</f>
        <v>28466</v>
      </c>
      <c r="J761" s="284">
        <f>ROUND(AE67,0)</f>
        <v>32863</v>
      </c>
      <c r="K761" s="284">
        <f>ROUND(AE68,0)</f>
        <v>6454</v>
      </c>
      <c r="L761" s="284">
        <f>ROUND(AE70,0)</f>
        <v>150</v>
      </c>
      <c r="M761" s="284">
        <f>ROUND(AE71,0)</f>
        <v>9598313</v>
      </c>
      <c r="N761" s="284">
        <f>ROUND(AE76,0)</f>
        <v>18908</v>
      </c>
      <c r="O761" s="284">
        <f>ROUND(AE74,0)</f>
        <v>12681611</v>
      </c>
      <c r="P761" s="284">
        <f>IF(AE77&gt;0,ROUND(AE77,0),0)</f>
        <v>0</v>
      </c>
      <c r="Q761" s="284">
        <f>IF(AE78&gt;0,ROUND(AE78,0),0)</f>
        <v>1773</v>
      </c>
      <c r="R761" s="284">
        <f>IF(AE79&gt;0,ROUND(AE79,0),0)</f>
        <v>14563</v>
      </c>
      <c r="S761" s="284">
        <f>IF(AE80&gt;0,ROUND(AE80,0),0)</f>
        <v>12</v>
      </c>
      <c r="T761" s="287">
        <f>IF(AE81&gt;0,ROUND(AE81,2),0)</f>
        <v>0</v>
      </c>
      <c r="U761" s="284"/>
      <c r="X761" s="284"/>
      <c r="Y761" s="284"/>
      <c r="Z761" s="284">
        <f t="shared" si="22"/>
        <v>396006</v>
      </c>
    </row>
    <row r="762" spans="1:26" ht="12.65" customHeight="1" x14ac:dyDescent="0.35">
      <c r="A762" s="209" t="str">
        <f>RIGHT($C$84,3)&amp;"*"&amp;RIGHT($C$83,4)&amp;"*"&amp;AF$55&amp;"*"&amp;"A"</f>
        <v>ter*010*7220*A</v>
      </c>
      <c r="B762" s="284">
        <f>ROUND(AF59,0)</f>
        <v>2244</v>
      </c>
      <c r="C762" s="287">
        <f>ROUND(AF60,2)</f>
        <v>5.0199999999999996</v>
      </c>
      <c r="D762" s="284">
        <f>ROUND(AF61,0)</f>
        <v>547857</v>
      </c>
      <c r="E762" s="284">
        <f>ROUND(AF62,0)</f>
        <v>148293</v>
      </c>
      <c r="F762" s="284">
        <f>ROUND(AF63,0)</f>
        <v>0</v>
      </c>
      <c r="G762" s="284">
        <f>ROUND(AF64,0)</f>
        <v>1808</v>
      </c>
      <c r="H762" s="284">
        <f>ROUND(AF65,0)</f>
        <v>2506</v>
      </c>
      <c r="I762" s="284">
        <f>ROUND(AF66,0)</f>
        <v>439</v>
      </c>
      <c r="J762" s="284">
        <f>ROUND(AF67,0)</f>
        <v>5432</v>
      </c>
      <c r="K762" s="284">
        <f>ROUND(AF68,0)</f>
        <v>0</v>
      </c>
      <c r="L762" s="284">
        <f>ROUND(AF70,0)</f>
        <v>0</v>
      </c>
      <c r="M762" s="284">
        <f>ROUND(AF71,0)</f>
        <v>711072</v>
      </c>
      <c r="N762" s="284">
        <f>ROUND(AF76,0)</f>
        <v>1029</v>
      </c>
      <c r="O762" s="284">
        <f>ROUND(AF74,0)</f>
        <v>532155</v>
      </c>
      <c r="P762" s="284">
        <f>IF(AF77&gt;0,ROUND(AF77,0),0)</f>
        <v>0</v>
      </c>
      <c r="Q762" s="284">
        <f>IF(AF78&gt;0,ROUND(AF78,0),0)</f>
        <v>97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>
        <f t="shared" si="22"/>
        <v>1935854</v>
      </c>
    </row>
    <row r="763" spans="1:26" ht="12.65" customHeight="1" x14ac:dyDescent="0.35">
      <c r="A763" s="209" t="str">
        <f>RIGHT($C$84,3)&amp;"*"&amp;RIGHT($C$83,4)&amp;"*"&amp;AG$55&amp;"*"&amp;"A"</f>
        <v>ter*010*7230*A</v>
      </c>
      <c r="B763" s="284">
        <f>ROUND(AG59,0)</f>
        <v>19330</v>
      </c>
      <c r="C763" s="287">
        <f>ROUND(AG60,2)</f>
        <v>72.260000000000005</v>
      </c>
      <c r="D763" s="284">
        <f>ROUND(AG61,0)</f>
        <v>9595635</v>
      </c>
      <c r="E763" s="284">
        <f>ROUND(AG62,0)</f>
        <v>2611582</v>
      </c>
      <c r="F763" s="284">
        <f>ROUND(AG63,0)</f>
        <v>252845</v>
      </c>
      <c r="G763" s="284">
        <f>ROUND(AG64,0)</f>
        <v>879255</v>
      </c>
      <c r="H763" s="284">
        <f>ROUND(AG65,0)</f>
        <v>26082</v>
      </c>
      <c r="I763" s="284">
        <f>ROUND(AG66,0)</f>
        <v>30081</v>
      </c>
      <c r="J763" s="284">
        <f>ROUND(AG67,0)</f>
        <v>528576</v>
      </c>
      <c r="K763" s="284">
        <f>ROUND(AG68,0)</f>
        <v>10145</v>
      </c>
      <c r="L763" s="284">
        <f>ROUND(AG70,0)</f>
        <v>0</v>
      </c>
      <c r="M763" s="284">
        <f>ROUND(AG71,0)</f>
        <v>14030688</v>
      </c>
      <c r="N763" s="284">
        <f>ROUND(AG76,0)</f>
        <v>15002</v>
      </c>
      <c r="O763" s="284">
        <f>ROUND(AG74,0)</f>
        <v>41800455</v>
      </c>
      <c r="P763" s="284">
        <f>IF(AG77&gt;0,ROUND(AG77,0),0)</f>
        <v>25110</v>
      </c>
      <c r="Q763" s="284">
        <f>IF(AG78&gt;0,ROUND(AG78,0),0)</f>
        <v>1407</v>
      </c>
      <c r="R763" s="284">
        <f>IF(AG79&gt;0,ROUND(AG79,0),0)</f>
        <v>134035</v>
      </c>
      <c r="S763" s="284">
        <f>IF(AG80&gt;0,ROUND(AG80,0),0)</f>
        <v>34</v>
      </c>
      <c r="T763" s="287">
        <f>IF(AG81&gt;0,ROUND(AG81,2),0)</f>
        <v>0</v>
      </c>
      <c r="U763" s="284"/>
      <c r="X763" s="284"/>
      <c r="Y763" s="284"/>
      <c r="Z763" s="284">
        <f t="shared" si="22"/>
        <v>68420</v>
      </c>
    </row>
    <row r="764" spans="1:26" ht="12.65" customHeight="1" x14ac:dyDescent="0.35">
      <c r="A764" s="209" t="str">
        <f>RIGHT($C$84,3)&amp;"*"&amp;RIGHT($C$83,4)&amp;"*"&amp;AH$55&amp;"*"&amp;"A"</f>
        <v>ter*010*7240*A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>
        <f t="shared" si="22"/>
        <v>3991149</v>
      </c>
    </row>
    <row r="765" spans="1:26" ht="12.65" customHeight="1" x14ac:dyDescent="0.35">
      <c r="A765" s="209" t="str">
        <f>RIGHT($C$84,3)&amp;"*"&amp;RIGHT($C$83,4)&amp;"*"&amp;AI$55&amp;"*"&amp;"A"</f>
        <v>ter*010*7250*A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>
        <f>ROUND(AI62,0)</f>
        <v>0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>
        <f>ROUND(AI67,0)</f>
        <v>0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>
        <f t="shared" si="22"/>
        <v>0</v>
      </c>
    </row>
    <row r="766" spans="1:26" ht="12.65" customHeight="1" x14ac:dyDescent="0.35">
      <c r="A766" s="209" t="str">
        <f>RIGHT($C$84,3)&amp;"*"&amp;RIGHT($C$83,4)&amp;"*"&amp;AJ$55&amp;"*"&amp;"A"</f>
        <v>ter*010*7260*A</v>
      </c>
      <c r="B766" s="284">
        <f>ROUND(AJ59,0)</f>
        <v>310186</v>
      </c>
      <c r="C766" s="287">
        <f>ROUND(AJ60,2)</f>
        <v>849.14</v>
      </c>
      <c r="D766" s="284">
        <f>ROUND(AJ61,0)</f>
        <v>134945202</v>
      </c>
      <c r="E766" s="284">
        <f>ROUND(AJ62,0)</f>
        <v>39928504</v>
      </c>
      <c r="F766" s="284">
        <f>ROUND(AJ63,0)</f>
        <v>562975</v>
      </c>
      <c r="G766" s="284">
        <f>ROUND(AJ64,0)</f>
        <v>94410290</v>
      </c>
      <c r="H766" s="284">
        <f>ROUND(AJ65,0)</f>
        <v>670274</v>
      </c>
      <c r="I766" s="284">
        <f>ROUND(AJ66,0)</f>
        <v>2228491</v>
      </c>
      <c r="J766" s="284">
        <f>ROUND(AJ67,0)</f>
        <v>2918145</v>
      </c>
      <c r="K766" s="284">
        <f>ROUND(AJ68,0)</f>
        <v>283170</v>
      </c>
      <c r="L766" s="284">
        <f>ROUND(AJ70,0)</f>
        <v>3997826</v>
      </c>
      <c r="M766" s="284">
        <f>ROUND(AJ71,0)</f>
        <v>275190195</v>
      </c>
      <c r="N766" s="284">
        <f>ROUND(AJ76,0)</f>
        <v>215458</v>
      </c>
      <c r="O766" s="284">
        <f>ROUND(AJ74,0)</f>
        <v>590719718</v>
      </c>
      <c r="P766" s="284">
        <f>IF(AJ77&gt;0,ROUND(AJ77,0),0)</f>
        <v>336</v>
      </c>
      <c r="Q766" s="284">
        <f>IF(AJ78&gt;0,ROUND(AJ78,0),0)</f>
        <v>20206</v>
      </c>
      <c r="R766" s="284">
        <f>IF(AJ79&gt;0,ROUND(AJ79,0),0)</f>
        <v>283977</v>
      </c>
      <c r="S766" s="284">
        <f>IF(AJ80&gt;0,ROUND(AJ80,0),0)</f>
        <v>290</v>
      </c>
      <c r="T766" s="287">
        <f>IF(AJ81&gt;0,ROUND(AJ81,2),0)</f>
        <v>0</v>
      </c>
      <c r="U766" s="284"/>
      <c r="X766" s="284"/>
      <c r="Y766" s="284"/>
      <c r="Z766" s="284">
        <f t="shared" si="22"/>
        <v>0</v>
      </c>
    </row>
    <row r="767" spans="1:26" ht="12.65" customHeight="1" x14ac:dyDescent="0.35">
      <c r="A767" s="209" t="str">
        <f>RIGHT($C$84,3)&amp;"*"&amp;RIGHT($C$83,4)&amp;"*"&amp;AK$55&amp;"*"&amp;"A"</f>
        <v>ter*010*7310*A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>
        <f>ROUND(AK62,0)</f>
        <v>0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>
        <f>ROUND(AK67,0)</f>
        <v>0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>
        <f t="shared" si="22"/>
        <v>42563620</v>
      </c>
    </row>
    <row r="768" spans="1:26" ht="12.65" customHeight="1" x14ac:dyDescent="0.35">
      <c r="A768" s="209" t="str">
        <f>RIGHT($C$84,3)&amp;"*"&amp;RIGHT($C$83,4)&amp;"*"&amp;AL$55&amp;"*"&amp;"A"</f>
        <v>ter*010*7320*A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>
        <f>ROUND(AL62,0)</f>
        <v>0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>
        <f>ROUND(AL67,0)</f>
        <v>0</v>
      </c>
      <c r="K768" s="284">
        <f>ROUND(AL68,0)</f>
        <v>0</v>
      </c>
      <c r="L768" s="284">
        <f>ROUND(AL70,0)</f>
        <v>0</v>
      </c>
      <c r="M768" s="284">
        <f>ROUND(AL71,0)</f>
        <v>0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>
        <f t="shared" si="22"/>
        <v>0</v>
      </c>
    </row>
    <row r="769" spans="1:26" ht="12.65" customHeight="1" x14ac:dyDescent="0.35">
      <c r="A769" s="209" t="str">
        <f>RIGHT($C$84,3)&amp;"*"&amp;RIGHT($C$83,4)&amp;"*"&amp;AM$55&amp;"*"&amp;"A"</f>
        <v>ter*010*7330*A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>
        <f t="shared" si="22"/>
        <v>0</v>
      </c>
    </row>
    <row r="770" spans="1:26" ht="12.65" customHeight="1" x14ac:dyDescent="0.35">
      <c r="A770" s="209" t="str">
        <f>RIGHT($C$84,3)&amp;"*"&amp;RIGHT($C$83,4)&amp;"*"&amp;AN$55&amp;"*"&amp;"A"</f>
        <v>ter*010*7340*A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>
        <f t="shared" si="22"/>
        <v>0</v>
      </c>
    </row>
    <row r="771" spans="1:26" ht="12.65" customHeight="1" x14ac:dyDescent="0.35">
      <c r="A771" s="209" t="str">
        <f>RIGHT($C$84,3)&amp;"*"&amp;RIGHT($C$83,4)&amp;"*"&amp;AO$55&amp;"*"&amp;"A"</f>
        <v>ter*010*7350*A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>
        <f>ROUND(AO62,0)</f>
        <v>0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>
        <f t="shared" si="22"/>
        <v>0</v>
      </c>
    </row>
    <row r="772" spans="1:26" ht="12.65" customHeight="1" x14ac:dyDescent="0.35">
      <c r="A772" s="209" t="str">
        <f>RIGHT($C$84,3)&amp;"*"&amp;RIGHT($C$83,4)&amp;"*"&amp;AP$55&amp;"*"&amp;"A"</f>
        <v>ter*010*7380*A</v>
      </c>
      <c r="B772" s="284">
        <f>ROUND(AP59,0)</f>
        <v>515093</v>
      </c>
      <c r="C772" s="287">
        <f>ROUND(AP60,2)</f>
        <v>795.08</v>
      </c>
      <c r="D772" s="284">
        <f>ROUND(AP61,0)</f>
        <v>97114694</v>
      </c>
      <c r="E772" s="284">
        <f>ROUND(AP62,0)</f>
        <v>27091313</v>
      </c>
      <c r="F772" s="284">
        <f>ROUND(AP63,0)</f>
        <v>128624</v>
      </c>
      <c r="G772" s="284">
        <f>ROUND(AP64,0)</f>
        <v>36970491</v>
      </c>
      <c r="H772" s="284">
        <f>ROUND(AP65,0)</f>
        <v>1780702</v>
      </c>
      <c r="I772" s="284">
        <f>ROUND(AP66,0)</f>
        <v>1900872</v>
      </c>
      <c r="J772" s="284">
        <f>ROUND(AP67,0)</f>
        <v>5803333</v>
      </c>
      <c r="K772" s="284">
        <f>ROUND(AP68,0)</f>
        <v>10488033</v>
      </c>
      <c r="L772" s="284">
        <f>ROUND(AP70,0)</f>
        <v>2031394</v>
      </c>
      <c r="M772" s="284">
        <f>ROUND(AP71,0)</f>
        <v>183286329</v>
      </c>
      <c r="N772" s="284">
        <f>ROUND(AP76,0)</f>
        <v>274085</v>
      </c>
      <c r="O772" s="284">
        <f>ROUND(AP74,0)</f>
        <v>413614732</v>
      </c>
      <c r="P772" s="284">
        <f>IF(AP77&gt;0,ROUND(AP77,0),0)</f>
        <v>0</v>
      </c>
      <c r="Q772" s="284">
        <f>IF(AP78&gt;0,ROUND(AP78,0),0)</f>
        <v>25704</v>
      </c>
      <c r="R772" s="284">
        <f>IF(AP79&gt;0,ROUND(AP79,0),0)</f>
        <v>361087</v>
      </c>
      <c r="S772" s="284">
        <f>IF(AP80&gt;0,ROUND(AP80,0),0)</f>
        <v>370</v>
      </c>
      <c r="T772" s="287">
        <f>IF(AP81&gt;0,ROUND(AP81,2),0)</f>
        <v>0</v>
      </c>
      <c r="U772" s="284"/>
      <c r="X772" s="284"/>
      <c r="Y772" s="284"/>
      <c r="Z772" s="284">
        <f t="shared" si="22"/>
        <v>0</v>
      </c>
    </row>
    <row r="773" spans="1:26" ht="12.65" customHeight="1" x14ac:dyDescent="0.35">
      <c r="A773" s="209" t="str">
        <f>RIGHT($C$84,3)&amp;"*"&amp;RIGHT($C$83,4)&amp;"*"&amp;AQ$55&amp;"*"&amp;"A"</f>
        <v>ter*010*7390*A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>
        <f t="shared" si="22"/>
        <v>33119760</v>
      </c>
    </row>
    <row r="774" spans="1:26" ht="12.65" customHeight="1" x14ac:dyDescent="0.35">
      <c r="A774" s="209" t="str">
        <f>RIGHT($C$84,3)&amp;"*"&amp;RIGHT($C$83,4)&amp;"*"&amp;AR$55&amp;"*"&amp;"A"</f>
        <v>ter*010*7400*A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>
        <f>ROUND(AR62,0)</f>
        <v>0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>
        <f t="shared" si="22"/>
        <v>0</v>
      </c>
    </row>
    <row r="775" spans="1:26" ht="12.65" customHeight="1" x14ac:dyDescent="0.35">
      <c r="A775" s="209" t="str">
        <f>RIGHT($C$84,3)&amp;"*"&amp;RIGHT($C$83,4)&amp;"*"&amp;AS$55&amp;"*"&amp;"A"</f>
        <v>ter*010*7410*A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>
        <f>ROUND(AS62,0)</f>
        <v>0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>
        <f t="shared" si="22"/>
        <v>0</v>
      </c>
    </row>
    <row r="776" spans="1:26" ht="12.65" customHeight="1" x14ac:dyDescent="0.35">
      <c r="A776" s="209" t="str">
        <f>RIGHT($C$84,3)&amp;"*"&amp;RIGHT($C$83,4)&amp;"*"&amp;AT$55&amp;"*"&amp;"A"</f>
        <v>ter*010*7420*A</v>
      </c>
      <c r="B776" s="284">
        <f>ROUND(AT59,0)</f>
        <v>72</v>
      </c>
      <c r="C776" s="287">
        <f>ROUND(AT60,2)</f>
        <v>20.12</v>
      </c>
      <c r="D776" s="284">
        <f>ROUND(AT61,0)</f>
        <v>2017104</v>
      </c>
      <c r="E776" s="284">
        <f>ROUND(AT62,0)</f>
        <v>444242</v>
      </c>
      <c r="F776" s="284">
        <f>ROUND(AT63,0)</f>
        <v>395605</v>
      </c>
      <c r="G776" s="284">
        <f>ROUND(AT64,0)</f>
        <v>2309167</v>
      </c>
      <c r="H776" s="284">
        <f>ROUND(AT65,0)</f>
        <v>9376</v>
      </c>
      <c r="I776" s="284">
        <f>ROUND(AT66,0)</f>
        <v>1169486</v>
      </c>
      <c r="J776" s="284">
        <f>ROUND(AT67,0)</f>
        <v>690</v>
      </c>
      <c r="K776" s="284">
        <f>ROUND(AT68,0)</f>
        <v>0</v>
      </c>
      <c r="L776" s="284">
        <f>ROUND(AT70,0)</f>
        <v>163</v>
      </c>
      <c r="M776" s="284">
        <f>ROUND(AT71,0)</f>
        <v>6356284</v>
      </c>
      <c r="N776" s="284">
        <f>ROUND(AT76,0)</f>
        <v>2191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206</v>
      </c>
      <c r="R776" s="284">
        <f>IF(AT79&gt;0,ROUND(AT79,0),0)</f>
        <v>0</v>
      </c>
      <c r="S776" s="284">
        <f>IF(AT80&gt;0,ROUND(AT80,0),0)</f>
        <v>7</v>
      </c>
      <c r="T776" s="287">
        <f>IF(AT81&gt;0,ROUND(AT81,2),0)</f>
        <v>0</v>
      </c>
      <c r="U776" s="284"/>
      <c r="X776" s="284"/>
      <c r="Y776" s="284"/>
      <c r="Z776" s="284">
        <f t="shared" si="22"/>
        <v>0</v>
      </c>
    </row>
    <row r="777" spans="1:26" ht="12.65" customHeight="1" x14ac:dyDescent="0.35">
      <c r="A777" s="209" t="str">
        <f>RIGHT($C$84,3)&amp;"*"&amp;RIGHT($C$83,4)&amp;"*"&amp;AU$55&amp;"*"&amp;"A"</f>
        <v>ter*010*7430*A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>
        <f t="shared" si="22"/>
        <v>669180</v>
      </c>
    </row>
    <row r="778" spans="1:26" ht="12.65" customHeight="1" x14ac:dyDescent="0.35">
      <c r="A778" s="209" t="str">
        <f>RIGHT($C$84,3)&amp;"*"&amp;RIGHT($C$83,4)&amp;"*"&amp;AV$55&amp;"*"&amp;"A"</f>
        <v>ter*010*7490*A</v>
      </c>
      <c r="B778" s="284"/>
      <c r="C778" s="287">
        <f>ROUND(AV60,2)</f>
        <v>52.31</v>
      </c>
      <c r="D778" s="284">
        <f>ROUND(AV61,0)</f>
        <v>6943786</v>
      </c>
      <c r="E778" s="284">
        <f>ROUND(AV62,0)</f>
        <v>1598057</v>
      </c>
      <c r="F778" s="284">
        <f>ROUND(AV63,0)</f>
        <v>121705</v>
      </c>
      <c r="G778" s="284">
        <f>ROUND(AV64,0)</f>
        <v>14651011</v>
      </c>
      <c r="H778" s="284">
        <f>ROUND(AV65,0)</f>
        <v>37053</v>
      </c>
      <c r="I778" s="284">
        <f>ROUND(AV66,0)</f>
        <v>82546</v>
      </c>
      <c r="J778" s="284">
        <f>ROUND(AV67,0)</f>
        <v>1144132</v>
      </c>
      <c r="K778" s="284">
        <f>ROUND(AV68,0)</f>
        <v>78945</v>
      </c>
      <c r="L778" s="284">
        <f>ROUND(AV70,0)</f>
        <v>343361</v>
      </c>
      <c r="M778" s="284">
        <f>ROUND(AV71,0)</f>
        <v>25665469</v>
      </c>
      <c r="N778" s="284">
        <f>ROUND(AV76,0)</f>
        <v>8588</v>
      </c>
      <c r="O778" s="284">
        <f>ROUND(AV74,0)</f>
        <v>84518607</v>
      </c>
      <c r="P778" s="284">
        <f>IF(AV77&gt;0,ROUND(AV77,0),0)</f>
        <v>66</v>
      </c>
      <c r="Q778" s="284">
        <f>IF(AV78&gt;0,ROUND(AV78,0),0)</f>
        <v>805</v>
      </c>
      <c r="R778" s="284">
        <f>IF(AV79&gt;0,ROUND(AV79,0),0)</f>
        <v>58784</v>
      </c>
      <c r="S778" s="284">
        <f>IF(AV80&gt;0,ROUND(AV80,0),0)</f>
        <v>28</v>
      </c>
      <c r="T778" s="287">
        <f>IF(AV81&gt;0,ROUND(AV81,2),0)</f>
        <v>0</v>
      </c>
      <c r="U778" s="284"/>
      <c r="X778" s="284"/>
      <c r="Y778" s="284"/>
      <c r="Z778" s="284">
        <f t="shared" si="22"/>
        <v>0</v>
      </c>
    </row>
    <row r="779" spans="1:26" ht="12.65" customHeight="1" x14ac:dyDescent="0.35">
      <c r="A779" s="209" t="str">
        <f>RIGHT($C$84,3)&amp;"*"&amp;RIGHT($C$83,4)&amp;"*"&amp;AW$55&amp;"*"&amp;"A"</f>
        <v>ter*010*8200*A</v>
      </c>
      <c r="B779" s="284"/>
      <c r="C779" s="287">
        <f>ROUND(AW60,2)</f>
        <v>154.69</v>
      </c>
      <c r="D779" s="284">
        <f>ROUND(AW61,0)</f>
        <v>13497559</v>
      </c>
      <c r="E779" s="284">
        <f>ROUND(AW62,0)</f>
        <v>3216651</v>
      </c>
      <c r="F779" s="284">
        <f>ROUND(AW63,0)</f>
        <v>130394</v>
      </c>
      <c r="G779" s="284">
        <f>ROUND(AW64,0)</f>
        <v>331831</v>
      </c>
      <c r="H779" s="284">
        <f>ROUND(AW65,0)</f>
        <v>39467</v>
      </c>
      <c r="I779" s="284">
        <f>ROUND(AW66,0)</f>
        <v>130026</v>
      </c>
      <c r="J779" s="284">
        <f>ROUND(AW67,0)</f>
        <v>69130</v>
      </c>
      <c r="K779" s="284">
        <f>ROUND(AW68,0)</f>
        <v>331926</v>
      </c>
      <c r="L779" s="284">
        <f>ROUND(AW70,0)</f>
        <v>132092</v>
      </c>
      <c r="M779" s="284">
        <f>ROUND(AW71,0)</f>
        <v>17961648</v>
      </c>
      <c r="N779" s="284"/>
      <c r="O779" s="284"/>
      <c r="P779" s="284">
        <f>IF(AW77&gt;0,ROUND(AW77,0),0)</f>
        <v>0</v>
      </c>
      <c r="Q779" s="284">
        <f>IF(AW78&gt;0,ROUND(AW78,0),0)</f>
        <v>1545</v>
      </c>
      <c r="R779" s="284">
        <f>IF(AW79&gt;0,ROUND(AW79,0),0)</f>
        <v>3240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>ter*010*8310*A</v>
      </c>
      <c r="B780" s="284"/>
      <c r="C780" s="287">
        <f>ROUND(AX60,2)</f>
        <v>4</v>
      </c>
      <c r="D780" s="284">
        <f>ROUND(AX61,0)</f>
        <v>380845</v>
      </c>
      <c r="E780" s="284">
        <f>ROUND(AX62,0)</f>
        <v>72037</v>
      </c>
      <c r="F780" s="284">
        <f>ROUND(AX63,0)</f>
        <v>737298</v>
      </c>
      <c r="G780" s="284">
        <f>ROUND(AX64,0)</f>
        <v>33315</v>
      </c>
      <c r="H780" s="284">
        <f>ROUND(AX65,0)</f>
        <v>1417</v>
      </c>
      <c r="I780" s="284">
        <f>ROUND(AX66,0)</f>
        <v>3613</v>
      </c>
      <c r="J780" s="284">
        <f>ROUND(AX67,0)</f>
        <v>14259</v>
      </c>
      <c r="K780" s="284">
        <f>ROUND(AX68,0)</f>
        <v>0</v>
      </c>
      <c r="L780" s="284">
        <f>ROUND(AX70,0)</f>
        <v>0</v>
      </c>
      <c r="M780" s="284">
        <f>ROUND(AX71,0)</f>
        <v>1333481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>ter*010*8320*A</v>
      </c>
      <c r="B781" s="284">
        <f>ROUND(AY59,0)</f>
        <v>295450</v>
      </c>
      <c r="C781" s="287">
        <f>ROUND(AY60,2)</f>
        <v>46.75</v>
      </c>
      <c r="D781" s="284">
        <f>ROUND(AY61,0)</f>
        <v>2403818</v>
      </c>
      <c r="E781" s="284">
        <f>ROUND(AY62,0)</f>
        <v>454680</v>
      </c>
      <c r="F781" s="284">
        <f>ROUND(AY63,0)</f>
        <v>0</v>
      </c>
      <c r="G781" s="284">
        <f>ROUND(AY64,0)</f>
        <v>751557</v>
      </c>
      <c r="H781" s="284">
        <f>ROUND(AY65,0)</f>
        <v>9144</v>
      </c>
      <c r="I781" s="284">
        <f>ROUND(AY66,0)</f>
        <v>1244526</v>
      </c>
      <c r="J781" s="284">
        <f>ROUND(AY67,0)</f>
        <v>16909</v>
      </c>
      <c r="K781" s="284">
        <f>ROUND(AY68,0)</f>
        <v>0</v>
      </c>
      <c r="L781" s="284">
        <f>ROUND(AY70,0)</f>
        <v>0</v>
      </c>
      <c r="M781" s="284">
        <f>ROUND(AY71,0)</f>
        <v>4915905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>ter*010*8330*A</v>
      </c>
      <c r="B782" s="284">
        <f>ROUND(AZ59,0)</f>
        <v>688175</v>
      </c>
      <c r="C782" s="287">
        <f>ROUND(AZ60,2)</f>
        <v>25.22</v>
      </c>
      <c r="D782" s="284">
        <f>ROUND(AZ61,0)</f>
        <v>1169683</v>
      </c>
      <c r="E782" s="284">
        <f>ROUND(AZ62,0)</f>
        <v>221245</v>
      </c>
      <c r="F782" s="284">
        <f>ROUND(AZ63,0)</f>
        <v>0</v>
      </c>
      <c r="G782" s="284">
        <f>ROUND(AZ64,0)</f>
        <v>2140137</v>
      </c>
      <c r="H782" s="284">
        <f>ROUND(AZ65,0)</f>
        <v>38772</v>
      </c>
      <c r="I782" s="284">
        <f>ROUND(AZ66,0)</f>
        <v>143418</v>
      </c>
      <c r="J782" s="284">
        <f>ROUND(AZ67,0)</f>
        <v>162684</v>
      </c>
      <c r="K782" s="284">
        <f>ROUND(AZ68,0)</f>
        <v>0</v>
      </c>
      <c r="L782" s="284">
        <f>ROUND(AZ70,0)</f>
        <v>2926356</v>
      </c>
      <c r="M782" s="284">
        <f>ROUND(AZ71,0)</f>
        <v>1117956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>ter*010*8350*A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>
        <f>ROUND(BA62,0)</f>
        <v>0</v>
      </c>
      <c r="F783" s="284">
        <f>ROUND(BA63,0)</f>
        <v>0</v>
      </c>
      <c r="G783" s="284">
        <f>ROUND(BA64,0)</f>
        <v>851</v>
      </c>
      <c r="H783" s="284">
        <f>ROUND(BA65,0)</f>
        <v>1041</v>
      </c>
      <c r="I783" s="284">
        <f>ROUND(BA66,0)</f>
        <v>1979103</v>
      </c>
      <c r="J783" s="284">
        <f>ROUND(BA67,0)</f>
        <v>5554</v>
      </c>
      <c r="K783" s="284">
        <f>ROUND(BA68,0)</f>
        <v>0</v>
      </c>
      <c r="L783" s="284">
        <f>ROUND(BA70,0)</f>
        <v>0</v>
      </c>
      <c r="M783" s="284">
        <f>ROUND(BA71,0)</f>
        <v>1986717</v>
      </c>
      <c r="N783" s="284"/>
      <c r="O783" s="284"/>
      <c r="P783" s="284">
        <f>IF(BA77&gt;0,ROUND(BA77,0),0)</f>
        <v>0</v>
      </c>
      <c r="Q783" s="284">
        <f>IF(BA78&gt;0,ROUND(BA78,0),0)</f>
        <v>297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>ter*010*8360*A</v>
      </c>
      <c r="B784" s="284"/>
      <c r="C784" s="287">
        <f>ROUND(BB60,2)</f>
        <v>9.06</v>
      </c>
      <c r="D784" s="284">
        <f>ROUND(BB61,0)</f>
        <v>794457</v>
      </c>
      <c r="E784" s="284">
        <f>ROUND(BB62,0)</f>
        <v>151453</v>
      </c>
      <c r="F784" s="284">
        <f>ROUND(BB63,0)</f>
        <v>7899</v>
      </c>
      <c r="G784" s="284">
        <f>ROUND(BB64,0)</f>
        <v>1445</v>
      </c>
      <c r="H784" s="284">
        <f>ROUND(BB65,0)</f>
        <v>9114</v>
      </c>
      <c r="I784" s="284">
        <f>ROUND(BB66,0)</f>
        <v>3027</v>
      </c>
      <c r="J784" s="284">
        <f>ROUND(BB67,0)</f>
        <v>460</v>
      </c>
      <c r="K784" s="284">
        <f>ROUND(BB68,0)</f>
        <v>0</v>
      </c>
      <c r="L784" s="284">
        <f>ROUND(BB70,0)</f>
        <v>0</v>
      </c>
      <c r="M784" s="284">
        <f>ROUND(BB71,0)</f>
        <v>987281</v>
      </c>
      <c r="N784" s="284"/>
      <c r="O784" s="284"/>
      <c r="P784" s="284">
        <f>IF(BB77&gt;0,ROUND(BB77,0),0)</f>
        <v>0</v>
      </c>
      <c r="Q784" s="284">
        <f>IF(BB78&gt;0,ROUND(BB78,0),0)</f>
        <v>34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>ter*010*8370*A</v>
      </c>
      <c r="B785" s="284"/>
      <c r="C785" s="287">
        <f>ROUND(BC60,2)</f>
        <v>0</v>
      </c>
      <c r="D785" s="284">
        <f>ROUND(BC61,0)</f>
        <v>0</v>
      </c>
      <c r="E785" s="284">
        <f>ROUND(BC62,0)</f>
        <v>0</v>
      </c>
      <c r="F785" s="284">
        <f>ROUND(BC63,0)</f>
        <v>0</v>
      </c>
      <c r="G785" s="284">
        <f>ROUND(BC64,0)</f>
        <v>165298</v>
      </c>
      <c r="H785" s="284">
        <f>ROUND(BC65,0)</f>
        <v>11699</v>
      </c>
      <c r="I785" s="284">
        <f>ROUND(BC66,0)</f>
        <v>3287433</v>
      </c>
      <c r="J785" s="284">
        <f>ROUND(BC67,0)</f>
        <v>78085</v>
      </c>
      <c r="K785" s="284">
        <f>ROUND(BC68,0)</f>
        <v>0</v>
      </c>
      <c r="L785" s="284">
        <f>ROUND(BC70,0)</f>
        <v>0</v>
      </c>
      <c r="M785" s="284">
        <f>ROUND(BC71,0)</f>
        <v>3544181</v>
      </c>
      <c r="N785" s="284"/>
      <c r="O785" s="284"/>
      <c r="P785" s="284">
        <f>IF(BC77&gt;0,ROUND(BC77,0),0)</f>
        <v>0</v>
      </c>
      <c r="Q785" s="284">
        <f>IF(BC78&gt;0,ROUND(BC78,0),0)</f>
        <v>63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>ter*010*8420*A</v>
      </c>
      <c r="B786" s="284"/>
      <c r="C786" s="287">
        <f>ROUND(BD60,2)</f>
        <v>49.43</v>
      </c>
      <c r="D786" s="284">
        <f>ROUND(BD61,0)</f>
        <v>6351675</v>
      </c>
      <c r="E786" s="284">
        <f>ROUND(BD62,0)</f>
        <v>1431175</v>
      </c>
      <c r="F786" s="284">
        <f>ROUND(BD63,0)</f>
        <v>296826</v>
      </c>
      <c r="G786" s="284">
        <f>ROUND(BD64,0)</f>
        <v>45018</v>
      </c>
      <c r="H786" s="284">
        <f>ROUND(BD65,0)</f>
        <v>89519</v>
      </c>
      <c r="I786" s="284">
        <f>ROUND(BD66,0)</f>
        <v>441192</v>
      </c>
      <c r="J786" s="284">
        <f>ROUND(BD67,0)</f>
        <v>66112</v>
      </c>
      <c r="K786" s="284">
        <f>ROUND(BD68,0)</f>
        <v>146031</v>
      </c>
      <c r="L786" s="284">
        <f>ROUND(BD70,0)</f>
        <v>10597329</v>
      </c>
      <c r="M786" s="284">
        <f>ROUND(BD71,0)</f>
        <v>-639210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>ter*010*8430*A</v>
      </c>
      <c r="B787" s="284">
        <f>ROUND(BE59,0)</f>
        <v>1528631</v>
      </c>
      <c r="C787" s="287">
        <f>ROUND(BE60,2)</f>
        <v>31.98</v>
      </c>
      <c r="D787" s="284">
        <f>ROUND(BE61,0)</f>
        <v>2280622</v>
      </c>
      <c r="E787" s="284">
        <f>ROUND(BE62,0)</f>
        <v>420345</v>
      </c>
      <c r="F787" s="284">
        <f>ROUND(BE63,0)</f>
        <v>80125</v>
      </c>
      <c r="G787" s="284">
        <f>ROUND(BE64,0)</f>
        <v>420625</v>
      </c>
      <c r="H787" s="284">
        <f>ROUND(BE65,0)</f>
        <v>6412647</v>
      </c>
      <c r="I787" s="284">
        <f>ROUND(BE66,0)</f>
        <v>4815460</v>
      </c>
      <c r="J787" s="284">
        <f>ROUND(BE67,0)</f>
        <v>7646652</v>
      </c>
      <c r="K787" s="284">
        <f>ROUND(BE68,0)</f>
        <v>638363</v>
      </c>
      <c r="L787" s="284">
        <f>ROUND(BE70,0)</f>
        <v>273392</v>
      </c>
      <c r="M787" s="284">
        <f>ROUND(BE71,0)</f>
        <v>24827529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>ter*010*8460*A</v>
      </c>
      <c r="B788" s="284"/>
      <c r="C788" s="287">
        <f>ROUND(BF60,2)</f>
        <v>0</v>
      </c>
      <c r="D788" s="284">
        <f>ROUND(BF61,0)</f>
        <v>0</v>
      </c>
      <c r="E788" s="284">
        <f>ROUND(BF62,0)</f>
        <v>0</v>
      </c>
      <c r="F788" s="284">
        <f>ROUND(BF63,0)</f>
        <v>0</v>
      </c>
      <c r="G788" s="284">
        <f>ROUND(BF64,0)</f>
        <v>36196</v>
      </c>
      <c r="H788" s="284">
        <f>ROUND(BF65,0)</f>
        <v>1475886</v>
      </c>
      <c r="I788" s="284">
        <f>ROUND(BF66,0)</f>
        <v>8259261</v>
      </c>
      <c r="J788" s="284">
        <f>ROUND(BF67,0)</f>
        <v>66238</v>
      </c>
      <c r="K788" s="284">
        <f>ROUND(BF68,0)</f>
        <v>0</v>
      </c>
      <c r="L788" s="284">
        <f>ROUND(BF70,0)</f>
        <v>0</v>
      </c>
      <c r="M788" s="284">
        <f>ROUND(BF71,0)</f>
        <v>9925339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>ter*010*8470*A</v>
      </c>
      <c r="B789" s="284"/>
      <c r="C789" s="287">
        <f>ROUND(BG60,2)</f>
        <v>96.69</v>
      </c>
      <c r="D789" s="284">
        <f>ROUND(BG61,0)</f>
        <v>4658767</v>
      </c>
      <c r="E789" s="284">
        <f>ROUND(BG62,0)</f>
        <v>881810</v>
      </c>
      <c r="F789" s="284">
        <f>ROUND(BG63,0)</f>
        <v>0</v>
      </c>
      <c r="G789" s="284">
        <f>ROUND(BG64,0)</f>
        <v>6460</v>
      </c>
      <c r="H789" s="284">
        <f>ROUND(BG65,0)</f>
        <v>65072</v>
      </c>
      <c r="I789" s="284">
        <f>ROUND(BG66,0)</f>
        <v>1979</v>
      </c>
      <c r="J789" s="284">
        <f>ROUND(BG67,0)</f>
        <v>7719</v>
      </c>
      <c r="K789" s="284">
        <f>ROUND(BG68,0)</f>
        <v>466448</v>
      </c>
      <c r="L789" s="284">
        <f>ROUND(BG70,0)</f>
        <v>0</v>
      </c>
      <c r="M789" s="284">
        <f>ROUND(BG71,0)</f>
        <v>6251198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>ter*010*8480*A</v>
      </c>
      <c r="B790" s="284"/>
      <c r="C790" s="287">
        <f>ROUND(BH60,2)</f>
        <v>153.61000000000001</v>
      </c>
      <c r="D790" s="284">
        <f>ROUND(BH61,0)</f>
        <v>16939040</v>
      </c>
      <c r="E790" s="284">
        <f>ROUND(BH62,0)</f>
        <v>1284282</v>
      </c>
      <c r="F790" s="284">
        <f>ROUND(BH63,0)</f>
        <v>57600</v>
      </c>
      <c r="G790" s="284">
        <f>ROUND(BH64,0)</f>
        <v>10482</v>
      </c>
      <c r="H790" s="284">
        <f>ROUND(BH65,0)</f>
        <v>232282</v>
      </c>
      <c r="I790" s="284">
        <f>ROUND(BH66,0)</f>
        <v>971701</v>
      </c>
      <c r="J790" s="284">
        <f>ROUND(BH67,0)</f>
        <v>7676919</v>
      </c>
      <c r="K790" s="284">
        <f>ROUND(BH68,0)</f>
        <v>2971601</v>
      </c>
      <c r="L790" s="284">
        <f>ROUND(BH70,0)</f>
        <v>9500</v>
      </c>
      <c r="M790" s="284">
        <f>ROUND(BH71,0)</f>
        <v>43748362</v>
      </c>
      <c r="N790" s="284"/>
      <c r="O790" s="284"/>
      <c r="P790" s="284">
        <f>IF(BH77&gt;0,ROUND(BH77,0),0)</f>
        <v>0</v>
      </c>
      <c r="Q790" s="284">
        <f>IF(BH78&gt;0,ROUND(BH78,0),0)</f>
        <v>4258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>ter*010*8490*A</v>
      </c>
      <c r="B791" s="284"/>
      <c r="C791" s="287">
        <f>ROUND(BI60,2)</f>
        <v>6.46</v>
      </c>
      <c r="D791" s="284">
        <f>ROUND(BI61,0)</f>
        <v>857694</v>
      </c>
      <c r="E791" s="284">
        <f>ROUND(BI62,0)</f>
        <v>179111</v>
      </c>
      <c r="F791" s="284">
        <f>ROUND(BI63,0)</f>
        <v>0</v>
      </c>
      <c r="G791" s="284">
        <f>ROUND(BI64,0)</f>
        <v>201855</v>
      </c>
      <c r="H791" s="284">
        <f>ROUND(BI65,0)</f>
        <v>13735</v>
      </c>
      <c r="I791" s="284">
        <f>ROUND(BI66,0)</f>
        <v>673802</v>
      </c>
      <c r="J791" s="284">
        <f>ROUND(BI67,0)</f>
        <v>11269</v>
      </c>
      <c r="K791" s="284">
        <f>ROUND(BI68,0)</f>
        <v>0</v>
      </c>
      <c r="L791" s="284">
        <f>ROUND(BI70,0)</f>
        <v>0</v>
      </c>
      <c r="M791" s="284">
        <f>ROUND(BI71,0)</f>
        <v>2678459</v>
      </c>
      <c r="N791" s="284"/>
      <c r="O791" s="284"/>
      <c r="P791" s="284">
        <f>IF(BI77&gt;0,ROUND(BI77,0),0)</f>
        <v>0</v>
      </c>
      <c r="Q791" s="284">
        <f>IF(BI78&gt;0,ROUND(BI78,0),0)</f>
        <v>664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>ter*010*8510*A</v>
      </c>
      <c r="B792" s="284"/>
      <c r="C792" s="287">
        <f>ROUND(BJ60,2)</f>
        <v>22.01</v>
      </c>
      <c r="D792" s="284">
        <f>ROUND(BJ61,0)</f>
        <v>2058385</v>
      </c>
      <c r="E792" s="284">
        <f>ROUND(BJ62,0)</f>
        <v>375828</v>
      </c>
      <c r="F792" s="284">
        <f>ROUND(BJ63,0)</f>
        <v>0</v>
      </c>
      <c r="G792" s="284">
        <f>ROUND(BJ64,0)</f>
        <v>13190</v>
      </c>
      <c r="H792" s="284">
        <f>ROUND(BJ65,0)</f>
        <v>9757</v>
      </c>
      <c r="I792" s="284">
        <f>ROUND(BJ66,0)</f>
        <v>543019</v>
      </c>
      <c r="J792" s="284">
        <f>ROUND(BJ67,0)</f>
        <v>6471</v>
      </c>
      <c r="K792" s="284">
        <f>ROUND(BJ68,0)</f>
        <v>117678</v>
      </c>
      <c r="L792" s="284">
        <f>ROUND(BJ70,0)</f>
        <v>103243</v>
      </c>
      <c r="M792" s="284">
        <f>ROUND(BJ71,0)</f>
        <v>3065999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>ter*010*8530*A</v>
      </c>
      <c r="B793" s="284"/>
      <c r="C793" s="287">
        <f>ROUND(BK60,2)</f>
        <v>193.41</v>
      </c>
      <c r="D793" s="284">
        <f>ROUND(BK61,0)</f>
        <v>13357966</v>
      </c>
      <c r="E793" s="284">
        <f>ROUND(BK62,0)</f>
        <v>2637004</v>
      </c>
      <c r="F793" s="284">
        <f>ROUND(BK63,0)</f>
        <v>2609985</v>
      </c>
      <c r="G793" s="284">
        <f>ROUND(BK64,0)</f>
        <v>300428</v>
      </c>
      <c r="H793" s="284">
        <f>ROUND(BK65,0)</f>
        <v>80383</v>
      </c>
      <c r="I793" s="284">
        <f>ROUND(BK66,0)</f>
        <v>1048058</v>
      </c>
      <c r="J793" s="284">
        <f>ROUND(BK67,0)</f>
        <v>30204</v>
      </c>
      <c r="K793" s="284">
        <f>ROUND(BK68,0)</f>
        <v>823992</v>
      </c>
      <c r="L793" s="284">
        <f>ROUND(BK70,0)</f>
        <v>0</v>
      </c>
      <c r="M793" s="284">
        <f>ROUND(BK71,0)</f>
        <v>22224420</v>
      </c>
      <c r="N793" s="284"/>
      <c r="O793" s="284"/>
      <c r="P793" s="284">
        <f>IF(BK77&gt;0,ROUND(BK77,0),0)</f>
        <v>0</v>
      </c>
      <c r="Q793" s="284">
        <f>IF(BK78&gt;0,ROUND(BK78,0),0)</f>
        <v>2221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>ter*010*8560*A</v>
      </c>
      <c r="B794" s="284"/>
      <c r="C794" s="287">
        <f>ROUND(BL60,2)</f>
        <v>75.19</v>
      </c>
      <c r="D794" s="284">
        <f>ROUND(BL61,0)</f>
        <v>5307339</v>
      </c>
      <c r="E794" s="284">
        <f>ROUND(BL62,0)</f>
        <v>1047150</v>
      </c>
      <c r="F794" s="284">
        <f>ROUND(BL63,0)</f>
        <v>0</v>
      </c>
      <c r="G794" s="284">
        <f>ROUND(BL64,0)</f>
        <v>24836</v>
      </c>
      <c r="H794" s="284">
        <f>ROUND(BL65,0)</f>
        <v>50003</v>
      </c>
      <c r="I794" s="284">
        <f>ROUND(BL66,0)</f>
        <v>1268</v>
      </c>
      <c r="J794" s="284">
        <f>ROUND(BL67,0)</f>
        <v>15171</v>
      </c>
      <c r="K794" s="284">
        <f>ROUND(BL68,0)</f>
        <v>0</v>
      </c>
      <c r="L794" s="284">
        <f>ROUND(BL70,0)</f>
        <v>0</v>
      </c>
      <c r="M794" s="284">
        <f>ROUND(BL71,0)</f>
        <v>6459011</v>
      </c>
      <c r="N794" s="284"/>
      <c r="O794" s="284"/>
      <c r="P794" s="284">
        <f>IF(BL77&gt;0,ROUND(BL77,0),0)</f>
        <v>0</v>
      </c>
      <c r="Q794" s="284">
        <f>IF(BL78&gt;0,ROUND(BL78,0),0)</f>
        <v>693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>ter*010*8590*A</v>
      </c>
      <c r="B795" s="284"/>
      <c r="C795" s="287">
        <f>ROUND(BM60,2)</f>
        <v>20.29</v>
      </c>
      <c r="D795" s="284">
        <f>ROUND(BM61,0)</f>
        <v>2668893</v>
      </c>
      <c r="E795" s="284">
        <f>ROUND(BM62,0)</f>
        <v>547478</v>
      </c>
      <c r="F795" s="284">
        <f>ROUND(BM63,0)</f>
        <v>0</v>
      </c>
      <c r="G795" s="284">
        <f>ROUND(BM64,0)</f>
        <v>-6459</v>
      </c>
      <c r="H795" s="284">
        <f>ROUND(BM65,0)</f>
        <v>9526</v>
      </c>
      <c r="I795" s="284">
        <f>ROUND(BM66,0)</f>
        <v>278349</v>
      </c>
      <c r="J795" s="284">
        <f>ROUND(BM67,0)</f>
        <v>74297</v>
      </c>
      <c r="K795" s="284">
        <f>ROUND(BM68,0)</f>
        <v>78171</v>
      </c>
      <c r="L795" s="284">
        <f>ROUND(BM70,0)</f>
        <v>287109</v>
      </c>
      <c r="M795" s="284">
        <f>ROUND(BM71,0)</f>
        <v>3546020</v>
      </c>
      <c r="N795" s="284"/>
      <c r="O795" s="284"/>
      <c r="P795" s="284">
        <f>IF(BM77&gt;0,ROUND(BM77,0),0)</f>
        <v>0</v>
      </c>
      <c r="Q795" s="284">
        <f>IF(BM78&gt;0,ROUND(BM78,0),0)</f>
        <v>374</v>
      </c>
      <c r="R795" s="284">
        <f>IF(BM79&gt;0,ROUND(BM79,0),0)</f>
        <v>1262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>ter*010*8610*A</v>
      </c>
      <c r="B796" s="284"/>
      <c r="C796" s="287">
        <f>ROUND(BN60,2)</f>
        <v>55.81</v>
      </c>
      <c r="D796" s="284">
        <f>ROUND(BN61,0)</f>
        <v>10537354</v>
      </c>
      <c r="E796" s="284">
        <f>ROUND(BN62,0)</f>
        <v>2030725</v>
      </c>
      <c r="F796" s="284">
        <f>ROUND(BN63,0)</f>
        <v>38689</v>
      </c>
      <c r="G796" s="284">
        <f>ROUND(BN64,0)</f>
        <v>18565</v>
      </c>
      <c r="H796" s="284">
        <f>ROUND(BN65,0)</f>
        <v>86156</v>
      </c>
      <c r="I796" s="284">
        <f>ROUND(BN66,0)</f>
        <v>353445</v>
      </c>
      <c r="J796" s="284">
        <f>ROUND(BN67,0)</f>
        <v>17615</v>
      </c>
      <c r="K796" s="284">
        <f>ROUND(BN68,0)</f>
        <v>48725</v>
      </c>
      <c r="L796" s="284">
        <f>ROUND(BN70,0)</f>
        <v>17432851</v>
      </c>
      <c r="M796" s="284">
        <f>ROUND(BN71,0)</f>
        <v>-1976466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>ter*010*8620*A</v>
      </c>
      <c r="B797" s="284"/>
      <c r="C797" s="287">
        <f>ROUND(BO60,2)</f>
        <v>7.24</v>
      </c>
      <c r="D797" s="284">
        <f>ROUND(BO61,0)</f>
        <v>713723</v>
      </c>
      <c r="E797" s="284">
        <f>ROUND(BO62,0)</f>
        <v>583741</v>
      </c>
      <c r="F797" s="284">
        <f>ROUND(BO63,0)</f>
        <v>0</v>
      </c>
      <c r="G797" s="284">
        <f>ROUND(BO64,0)</f>
        <v>513071</v>
      </c>
      <c r="H797" s="284">
        <f>ROUND(BO65,0)</f>
        <v>6104</v>
      </c>
      <c r="I797" s="284">
        <f>ROUND(BO66,0)</f>
        <v>14776</v>
      </c>
      <c r="J797" s="284">
        <f>ROUND(BO67,0)</f>
        <v>77480</v>
      </c>
      <c r="K797" s="284">
        <f>ROUND(BO68,0)</f>
        <v>162</v>
      </c>
      <c r="L797" s="284">
        <f>ROUND(BO70,0)</f>
        <v>5731</v>
      </c>
      <c r="M797" s="284">
        <f>ROUND(BO71,0)</f>
        <v>1843288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>ter*010*8630*A</v>
      </c>
      <c r="B798" s="284"/>
      <c r="C798" s="287">
        <f>ROUND(BP60,2)</f>
        <v>14.8</v>
      </c>
      <c r="D798" s="284">
        <f>ROUND(BP61,0)</f>
        <v>1772282</v>
      </c>
      <c r="E798" s="284">
        <f>ROUND(BP62,0)</f>
        <v>335675</v>
      </c>
      <c r="F798" s="284">
        <f>ROUND(BP63,0)</f>
        <v>0</v>
      </c>
      <c r="G798" s="284">
        <f>ROUND(BP64,0)</f>
        <v>17344</v>
      </c>
      <c r="H798" s="284">
        <f>ROUND(BP65,0)</f>
        <v>14710</v>
      </c>
      <c r="I798" s="284">
        <f>ROUND(BP66,0)</f>
        <v>144422</v>
      </c>
      <c r="J798" s="284">
        <f>ROUND(BP67,0)</f>
        <v>116452</v>
      </c>
      <c r="K798" s="284">
        <f>ROUND(BP68,0)</f>
        <v>0</v>
      </c>
      <c r="L798" s="284">
        <f>ROUND(BP70,0)</f>
        <v>0</v>
      </c>
      <c r="M798" s="284">
        <f>ROUND(BP71,0)</f>
        <v>2753385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>ter*010*8640*A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>ter*010*8650*A</v>
      </c>
      <c r="B800" s="284"/>
      <c r="C800" s="287">
        <f>ROUND(BR60,2)</f>
        <v>4.87</v>
      </c>
      <c r="D800" s="284">
        <f>ROUND(BR61,0)</f>
        <v>522787</v>
      </c>
      <c r="E800" s="284">
        <f>ROUND(BR62,0)</f>
        <v>197376</v>
      </c>
      <c r="F800" s="284">
        <f>ROUND(BR63,0)</f>
        <v>263177</v>
      </c>
      <c r="G800" s="284">
        <f>ROUND(BR64,0)</f>
        <v>1843</v>
      </c>
      <c r="H800" s="284">
        <f>ROUND(BR65,0)</f>
        <v>10583</v>
      </c>
      <c r="I800" s="284">
        <f>ROUND(BR66,0)</f>
        <v>517153</v>
      </c>
      <c r="J800" s="284">
        <f>ROUND(BR67,0)</f>
        <v>3912</v>
      </c>
      <c r="K800" s="284">
        <f>ROUND(BR68,0)</f>
        <v>11</v>
      </c>
      <c r="L800" s="284">
        <f>ROUND(BR70,0)</f>
        <v>83181</v>
      </c>
      <c r="M800" s="284">
        <f>ROUND(BR71,0)</f>
        <v>1532747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>ter*010*8660*A</v>
      </c>
      <c r="B801" s="284"/>
      <c r="C801" s="287">
        <f>ROUND(BS60,2)</f>
        <v>0</v>
      </c>
      <c r="D801" s="284">
        <f>ROUND(BS61,0)</f>
        <v>0</v>
      </c>
      <c r="E801" s="284">
        <f>ROUND(BS62,0)</f>
        <v>0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>
        <f>ROUND(BS67,0)</f>
        <v>0</v>
      </c>
      <c r="K801" s="284">
        <f>ROUND(BS68,0)</f>
        <v>0</v>
      </c>
      <c r="L801" s="284">
        <f>ROUND(BS70,0)</f>
        <v>0</v>
      </c>
      <c r="M801" s="284">
        <f>ROUND(BS71,0)</f>
        <v>0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>ter*010*8670*A</v>
      </c>
      <c r="B802" s="284"/>
      <c r="C802" s="287">
        <f>ROUND(BT60,2)</f>
        <v>1.6</v>
      </c>
      <c r="D802" s="284">
        <f>ROUND(BT61,0)</f>
        <v>136992</v>
      </c>
      <c r="E802" s="284">
        <f>ROUND(BT62,0)</f>
        <v>25912</v>
      </c>
      <c r="F802" s="284">
        <f>ROUND(BT63,0)</f>
        <v>0</v>
      </c>
      <c r="G802" s="284">
        <f>ROUND(BT64,0)</f>
        <v>598</v>
      </c>
      <c r="H802" s="284">
        <f>ROUND(BT65,0)</f>
        <v>486</v>
      </c>
      <c r="I802" s="284">
        <f>ROUND(BT66,0)</f>
        <v>2087</v>
      </c>
      <c r="J802" s="284">
        <f>ROUND(BT67,0)</f>
        <v>8803</v>
      </c>
      <c r="K802" s="284">
        <f>ROUND(BT68,0)</f>
        <v>0</v>
      </c>
      <c r="L802" s="284">
        <f>ROUND(BT70,0)</f>
        <v>0</v>
      </c>
      <c r="M802" s="284">
        <f>ROUND(BT71,0)</f>
        <v>175158</v>
      </c>
      <c r="N802" s="284"/>
      <c r="O802" s="284"/>
      <c r="P802" s="284">
        <f>IF(BT77&gt;0,ROUND(BT77,0),0)</f>
        <v>0</v>
      </c>
      <c r="Q802" s="284">
        <f>IF(BT78&gt;0,ROUND(BT78,0),0)</f>
        <v>79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>ter*010*8680*A</v>
      </c>
      <c r="B803" s="284"/>
      <c r="C803" s="287">
        <f>ROUND(BU60,2)</f>
        <v>7.38</v>
      </c>
      <c r="D803" s="284">
        <f>ROUND(BU61,0)</f>
        <v>592583</v>
      </c>
      <c r="E803" s="284">
        <f>ROUND(BU62,0)</f>
        <v>111120</v>
      </c>
      <c r="F803" s="284">
        <f>ROUND(BU63,0)</f>
        <v>0</v>
      </c>
      <c r="G803" s="284">
        <f>ROUND(BU64,0)</f>
        <v>3631</v>
      </c>
      <c r="H803" s="284">
        <f>ROUND(BU65,0)</f>
        <v>6239</v>
      </c>
      <c r="I803" s="284">
        <f>ROUND(BU66,0)</f>
        <v>34000</v>
      </c>
      <c r="J803" s="284">
        <f>ROUND(BU67,0)</f>
        <v>10806</v>
      </c>
      <c r="K803" s="284">
        <f>ROUND(BU68,0)</f>
        <v>0</v>
      </c>
      <c r="L803" s="284">
        <f>ROUND(BU70,0)</f>
        <v>528800</v>
      </c>
      <c r="M803" s="284">
        <f>ROUND(BU71,0)</f>
        <v>932592</v>
      </c>
      <c r="N803" s="284"/>
      <c r="O803" s="284"/>
      <c r="P803" s="284">
        <f>IF(BU77&gt;0,ROUND(BU77,0),0)</f>
        <v>0</v>
      </c>
      <c r="Q803" s="284">
        <f>IF(BU78&gt;0,ROUND(BU78,0),0)</f>
        <v>493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>ter*010*8690*A</v>
      </c>
      <c r="B804" s="284"/>
      <c r="C804" s="287">
        <f>ROUND(BV60,2)</f>
        <v>40.97</v>
      </c>
      <c r="D804" s="284">
        <f>ROUND(BV61,0)</f>
        <v>2572234</v>
      </c>
      <c r="E804" s="284">
        <f>ROUND(BV62,0)</f>
        <v>486797</v>
      </c>
      <c r="F804" s="284">
        <f>ROUND(BV63,0)</f>
        <v>0</v>
      </c>
      <c r="G804" s="284">
        <f>ROUND(BV64,0)</f>
        <v>14688</v>
      </c>
      <c r="H804" s="284">
        <f>ROUND(BV65,0)</f>
        <v>67482</v>
      </c>
      <c r="I804" s="284">
        <f>ROUND(BV66,0)</f>
        <v>757343</v>
      </c>
      <c r="J804" s="284">
        <f>ROUND(BV67,0)</f>
        <v>254009</v>
      </c>
      <c r="K804" s="284">
        <f>ROUND(BV68,0)</f>
        <v>250641</v>
      </c>
      <c r="L804" s="284">
        <f>ROUND(BV70,0)</f>
        <v>211907</v>
      </c>
      <c r="M804" s="284">
        <f>ROUND(BV71,0)</f>
        <v>5009430</v>
      </c>
      <c r="N804" s="284"/>
      <c r="O804" s="284"/>
      <c r="P804" s="284">
        <f>IF(BV77&gt;0,ROUND(BV77,0),0)</f>
        <v>0</v>
      </c>
      <c r="Q804" s="284">
        <f>IF(BV78&gt;0,ROUND(BV78,0),0)</f>
        <v>1305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>ter*010*8700*A</v>
      </c>
      <c r="B805" s="284"/>
      <c r="C805" s="287">
        <f>ROUND(BW60,2)</f>
        <v>8.07</v>
      </c>
      <c r="D805" s="284">
        <f>ROUND(BW61,0)</f>
        <v>4078850</v>
      </c>
      <c r="E805" s="284">
        <f>ROUND(BW62,0)</f>
        <v>-14428875</v>
      </c>
      <c r="F805" s="284">
        <f>ROUND(BW63,0)</f>
        <v>0</v>
      </c>
      <c r="G805" s="284">
        <f>ROUND(BW64,0)</f>
        <v>5723</v>
      </c>
      <c r="H805" s="284">
        <f>ROUND(BW65,0)</f>
        <v>533</v>
      </c>
      <c r="I805" s="284">
        <f>ROUND(BW66,0)</f>
        <v>38757</v>
      </c>
      <c r="J805" s="284">
        <f>ROUND(BW67,0)</f>
        <v>40</v>
      </c>
      <c r="K805" s="284">
        <f>ROUND(BW68,0)</f>
        <v>0</v>
      </c>
      <c r="L805" s="284">
        <f>ROUND(BW70,0)</f>
        <v>3500</v>
      </c>
      <c r="M805" s="284">
        <f>ROUND(BW71,0)</f>
        <v>-8817886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>ter*010*8710*A</v>
      </c>
      <c r="B806" s="284"/>
      <c r="C806" s="287">
        <f>ROUND(BX60,2)</f>
        <v>61.57</v>
      </c>
      <c r="D806" s="284">
        <f>ROUND(BX61,0)</f>
        <v>6780516</v>
      </c>
      <c r="E806" s="284">
        <f>ROUND(BX62,0)</f>
        <v>1341457</v>
      </c>
      <c r="F806" s="284">
        <f>ROUND(BX63,0)</f>
        <v>109178</v>
      </c>
      <c r="G806" s="284">
        <f>ROUND(BX64,0)</f>
        <v>69593</v>
      </c>
      <c r="H806" s="284">
        <f>ROUND(BX65,0)</f>
        <v>67553</v>
      </c>
      <c r="I806" s="284">
        <f>ROUND(BX66,0)</f>
        <v>2766245</v>
      </c>
      <c r="J806" s="284">
        <f>ROUND(BX67,0)</f>
        <v>149980</v>
      </c>
      <c r="K806" s="284">
        <f>ROUND(BX68,0)</f>
        <v>377532</v>
      </c>
      <c r="L806" s="284">
        <f>ROUND(BX70,0)</f>
        <v>3600698</v>
      </c>
      <c r="M806" s="284">
        <f>ROUND(BX71,0)</f>
        <v>10207754</v>
      </c>
      <c r="N806" s="284"/>
      <c r="O806" s="284"/>
      <c r="P806" s="284">
        <f>IF(BX77&gt;0,ROUND(BX77,0),0)</f>
        <v>0</v>
      </c>
      <c r="Q806" s="284">
        <f>IF(BX78&gt;0,ROUND(BX78,0),0)</f>
        <v>2039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>ter*010*8720*A</v>
      </c>
      <c r="B807" s="284"/>
      <c r="C807" s="287">
        <f>ROUND(BY60,2)</f>
        <v>51.02</v>
      </c>
      <c r="D807" s="284">
        <f>ROUND(BY61,0)</f>
        <v>5375574</v>
      </c>
      <c r="E807" s="284">
        <f>ROUND(BY62,0)</f>
        <v>1039147</v>
      </c>
      <c r="F807" s="284">
        <f>ROUND(BY63,0)</f>
        <v>0</v>
      </c>
      <c r="G807" s="284">
        <f>ROUND(BY64,0)</f>
        <v>125935</v>
      </c>
      <c r="H807" s="284">
        <f>ROUND(BY65,0)</f>
        <v>52196</v>
      </c>
      <c r="I807" s="284">
        <f>ROUND(BY66,0)</f>
        <v>90462</v>
      </c>
      <c r="J807" s="284">
        <f>ROUND(BY67,0)</f>
        <v>261842</v>
      </c>
      <c r="K807" s="284">
        <f>ROUND(BY68,0)</f>
        <v>17430</v>
      </c>
      <c r="L807" s="284">
        <f>ROUND(BY70,0)</f>
        <v>88363</v>
      </c>
      <c r="M807" s="284">
        <f>ROUND(BY71,0)</f>
        <v>7192159</v>
      </c>
      <c r="N807" s="284"/>
      <c r="O807" s="284"/>
      <c r="P807" s="284">
        <f>IF(BY77&gt;0,ROUND(BY77,0),0)</f>
        <v>0</v>
      </c>
      <c r="Q807" s="284">
        <f>IF(BY78&gt;0,ROUND(BY78,0),0)</f>
        <v>525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>ter*010*8730*A</v>
      </c>
      <c r="B808" s="284"/>
      <c r="C808" s="287">
        <f>ROUND(BZ60,2)</f>
        <v>0</v>
      </c>
      <c r="D808" s="284">
        <f>ROUND(BZ61,0)</f>
        <v>0</v>
      </c>
      <c r="E808" s="284">
        <f>ROUND(BZ62,0)</f>
        <v>0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>ter*010*8740*A</v>
      </c>
      <c r="B809" s="284"/>
      <c r="C809" s="287">
        <f>ROUND(CA60,2)</f>
        <v>40.799999999999997</v>
      </c>
      <c r="D809" s="284">
        <f>ROUND(CA61,0)</f>
        <v>3829194</v>
      </c>
      <c r="E809" s="284">
        <f>ROUND(CA62,0)</f>
        <v>774113</v>
      </c>
      <c r="F809" s="284">
        <f>ROUND(CA63,0)</f>
        <v>4739</v>
      </c>
      <c r="G809" s="284">
        <f>ROUND(CA64,0)</f>
        <v>5773</v>
      </c>
      <c r="H809" s="284">
        <f>ROUND(CA65,0)</f>
        <v>8467</v>
      </c>
      <c r="I809" s="284">
        <f>ROUND(CA66,0)</f>
        <v>95058</v>
      </c>
      <c r="J809" s="284">
        <f>ROUND(CA67,0)</f>
        <v>10946</v>
      </c>
      <c r="K809" s="284">
        <f>ROUND(CA68,0)</f>
        <v>0</v>
      </c>
      <c r="L809" s="284">
        <f>ROUND(CA70,0)</f>
        <v>85607</v>
      </c>
      <c r="M809" s="284">
        <f>ROUND(CA71,0)</f>
        <v>4706770</v>
      </c>
      <c r="N809" s="284"/>
      <c r="O809" s="284"/>
      <c r="P809" s="284">
        <f>IF(CA77&gt;0,ROUND(CA77,0),0)</f>
        <v>0</v>
      </c>
      <c r="Q809" s="284">
        <f>IF(CA78&gt;0,ROUND(CA78,0),0)</f>
        <v>363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>ter*010*8770*A</v>
      </c>
      <c r="B810" s="284"/>
      <c r="C810" s="287">
        <f>ROUND(CB60,2)</f>
        <v>0</v>
      </c>
      <c r="D810" s="284">
        <f>ROUND(CB61,0)</f>
        <v>0</v>
      </c>
      <c r="E810" s="284">
        <f>ROUND(CB62,0)</f>
        <v>0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>
        <f>ROUND(CB67,0)</f>
        <v>0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>ter*010*8790*A</v>
      </c>
      <c r="B811" s="284"/>
      <c r="C811" s="287">
        <f>ROUND(CC60,2)</f>
        <v>37.11</v>
      </c>
      <c r="D811" s="284">
        <f>ROUND(CC61,0)</f>
        <v>3624846</v>
      </c>
      <c r="E811" s="284">
        <f>ROUND(CC62,0)</f>
        <v>704618</v>
      </c>
      <c r="F811" s="284">
        <f>ROUND(CC63,0)</f>
        <v>3530565</v>
      </c>
      <c r="G811" s="284">
        <f>ROUND(CC64,0)</f>
        <v>3337208</v>
      </c>
      <c r="H811" s="284">
        <f>ROUND(CC65,0)</f>
        <v>192168</v>
      </c>
      <c r="I811" s="284">
        <f>ROUND(CC66,0)</f>
        <v>3719723</v>
      </c>
      <c r="J811" s="284">
        <f>ROUND(CC67,0)</f>
        <v>168316</v>
      </c>
      <c r="K811" s="284">
        <f>ROUND(CC68,0)</f>
        <v>965948</v>
      </c>
      <c r="L811" s="284">
        <f>ROUND(CC70,0)</f>
        <v>5536458</v>
      </c>
      <c r="M811" s="284">
        <f>ROUND(CC71,0)</f>
        <v>11567769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>ter*010*9000*A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52628526</v>
      </c>
      <c r="V812" s="180">
        <f>ROUND(CD69,0)</f>
        <v>41253123</v>
      </c>
      <c r="W812" s="180">
        <f>ROUND(CD71,0)</f>
        <v>-11375403</v>
      </c>
      <c r="X812" s="284">
        <f>ROUND(CE73,0)</f>
        <v>764331506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3">SUM(C733:C812)</f>
        <v>4690.7</v>
      </c>
      <c r="D814" s="180">
        <f t="shared" si="23"/>
        <v>533229977</v>
      </c>
      <c r="E814" s="180">
        <f t="shared" si="23"/>
        <v>114985972</v>
      </c>
      <c r="F814" s="180">
        <f t="shared" si="23"/>
        <v>11660595</v>
      </c>
      <c r="G814" s="180">
        <f t="shared" si="23"/>
        <v>288017014</v>
      </c>
      <c r="H814" s="180">
        <f t="shared" si="23"/>
        <v>12681817</v>
      </c>
      <c r="I814" s="180">
        <f t="shared" si="23"/>
        <v>47307421</v>
      </c>
      <c r="J814" s="180">
        <f t="shared" si="23"/>
        <v>42674345</v>
      </c>
      <c r="K814" s="180">
        <f t="shared" si="23"/>
        <v>22702216</v>
      </c>
      <c r="L814" s="180">
        <f>SUM(L733:L812)+SUM(U733:U812)</f>
        <v>111243066</v>
      </c>
      <c r="M814" s="180">
        <f>SUM(M733:M812)+SUM(W733:W812)</f>
        <v>1053535056</v>
      </c>
      <c r="N814" s="180">
        <f t="shared" ref="N814:Z814" si="24">SUM(N733:N812)</f>
        <v>900254</v>
      </c>
      <c r="O814" s="180">
        <f t="shared" si="24"/>
        <v>1769883583</v>
      </c>
      <c r="P814" s="180">
        <f t="shared" si="24"/>
        <v>295450</v>
      </c>
      <c r="Q814" s="180">
        <f t="shared" si="24"/>
        <v>99379</v>
      </c>
      <c r="R814" s="180">
        <f t="shared" si="24"/>
        <v>2371779</v>
      </c>
      <c r="S814" s="180">
        <f t="shared" si="24"/>
        <v>1512</v>
      </c>
      <c r="T814" s="264">
        <f t="shared" si="24"/>
        <v>0</v>
      </c>
      <c r="U814" s="180">
        <f t="shared" si="24"/>
        <v>52628526</v>
      </c>
      <c r="V814" s="180">
        <f t="shared" si="24"/>
        <v>41253123</v>
      </c>
      <c r="W814" s="180">
        <f t="shared" si="24"/>
        <v>-11375403</v>
      </c>
      <c r="X814" s="180">
        <f t="shared" si="24"/>
        <v>764331506</v>
      </c>
      <c r="Y814" s="180">
        <f t="shared" si="24"/>
        <v>0</v>
      </c>
      <c r="Z814" s="180">
        <f t="shared" si="24"/>
        <v>171012007</v>
      </c>
    </row>
    <row r="815" spans="1:26" ht="12.65" customHeight="1" x14ac:dyDescent="0.35">
      <c r="B815" s="180" t="s">
        <v>1005</v>
      </c>
      <c r="C815" s="264">
        <f>CE60</f>
        <v>4690.7</v>
      </c>
      <c r="D815" s="180">
        <f>CE61</f>
        <v>533229977</v>
      </c>
      <c r="E815" s="180">
        <f>CE62</f>
        <v>114985972</v>
      </c>
      <c r="F815" s="180">
        <f>CE63</f>
        <v>11660595</v>
      </c>
      <c r="G815" s="180">
        <f>CE64</f>
        <v>288017014</v>
      </c>
      <c r="H815" s="241">
        <f>CE65</f>
        <v>12681817</v>
      </c>
      <c r="I815" s="241">
        <f>CE66</f>
        <v>47307421</v>
      </c>
      <c r="J815" s="241">
        <f>CE67</f>
        <v>42674345</v>
      </c>
      <c r="K815" s="241">
        <f>CE68</f>
        <v>22702216</v>
      </c>
      <c r="L815" s="241">
        <f>CE70</f>
        <v>111243066</v>
      </c>
      <c r="M815" s="241">
        <f>CE71</f>
        <v>1053535056</v>
      </c>
      <c r="N815" s="180">
        <f>CE76</f>
        <v>1528631</v>
      </c>
      <c r="O815" s="180">
        <f>CE74</f>
        <v>1769883583</v>
      </c>
      <c r="P815" s="180">
        <f>CE77</f>
        <v>295450</v>
      </c>
      <c r="Q815" s="180">
        <f>CE78</f>
        <v>99379</v>
      </c>
      <c r="R815" s="180">
        <f>CE79</f>
        <v>2371779</v>
      </c>
      <c r="S815" s="180">
        <f>CE80</f>
        <v>1512.2799999999997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177685594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533229977</v>
      </c>
      <c r="G816" s="241">
        <f>C379</f>
        <v>114985972</v>
      </c>
      <c r="H816" s="241">
        <f>C380</f>
        <v>11660595</v>
      </c>
      <c r="I816" s="241">
        <f>C381</f>
        <v>288017014</v>
      </c>
      <c r="J816" s="241">
        <f>C382</f>
        <v>12681817</v>
      </c>
      <c r="K816" s="241">
        <f>C383</f>
        <v>47307421</v>
      </c>
      <c r="L816" s="241">
        <f>C384+C385+C386+C388</f>
        <v>88684346.799999997</v>
      </c>
      <c r="M816" s="241">
        <f>C368</f>
        <v>0</v>
      </c>
      <c r="N816" s="180">
        <f>D360</f>
        <v>0</v>
      </c>
      <c r="O816" s="180">
        <f>C358</f>
        <v>0</v>
      </c>
    </row>
  </sheetData>
  <sheetProtection algorithmName="SHA-512" hashValue="2GiIsED0xuAkmtYwQQ3TRbOD3nKLk6xG+/dX26L+QXjerVPgAKNvmmAIDi4awLnA1fADtNSF9QFv1mJOnn9ttg==" saltValue="qEzgDudO/5npT+EwdlWVAg==" spinCount="100000" sheet="1" objects="1" scenarios="1"/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Virginia Mason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H-010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'1100 Ninth Avenue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'P.O Box 900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Setttle, WA 98111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6" zoomScale="75" workbookViewId="0">
      <selection activeCell="L15" sqref="L15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H-10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Virginia Mason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342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David Nosacka</v>
      </c>
      <c r="E8" s="70"/>
      <c r="F8" s="70"/>
      <c r="G8" s="24"/>
      <c r="H8" s="342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Uli Chi</v>
      </c>
      <c r="E9" s="70"/>
      <c r="F9" s="70"/>
      <c r="G9" s="24"/>
      <c r="H9" s="342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'(206) 625-7371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(206) 625-7333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11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11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11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11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11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11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11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5644</v>
      </c>
      <c r="G23" s="21">
        <f>data!D111</f>
        <v>32490</v>
      </c>
      <c r="H23" s="342"/>
    </row>
    <row r="24" spans="1:11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20</v>
      </c>
      <c r="G24" s="21">
        <f>data!D112</f>
        <v>5624</v>
      </c>
      <c r="H24" s="342"/>
      <c r="I24" s="343"/>
      <c r="J24" s="343"/>
      <c r="K24" s="343"/>
    </row>
    <row r="25" spans="1:11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11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11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11" ht="20.149999999999999" customHeight="1" x14ac:dyDescent="0.45">
      <c r="A28" s="74"/>
      <c r="B28" s="8"/>
      <c r="C28" s="8"/>
      <c r="D28" s="8"/>
      <c r="E28" s="8"/>
      <c r="F28" s="8"/>
      <c r="G28" s="28"/>
      <c r="H28" s="344"/>
    </row>
    <row r="29" spans="1:11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11" ht="20.149999999999999" customHeight="1" x14ac:dyDescent="0.45">
      <c r="A30" s="130"/>
      <c r="B30" s="49" t="s">
        <v>283</v>
      </c>
      <c r="C30" s="24"/>
      <c r="D30" s="21">
        <f>data!C116</f>
        <v>28</v>
      </c>
      <c r="E30" s="49" t="s">
        <v>288</v>
      </c>
      <c r="F30" s="24"/>
      <c r="G30" s="21">
        <f>data!C123</f>
        <v>35</v>
      </c>
      <c r="H30" s="344"/>
    </row>
    <row r="31" spans="1:11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11" ht="20.149999999999999" customHeight="1" x14ac:dyDescent="0.45">
      <c r="A32" s="130"/>
      <c r="B32" s="97" t="s">
        <v>1044</v>
      </c>
      <c r="C32" s="24"/>
      <c r="D32" s="21">
        <f>data!C118</f>
        <v>209</v>
      </c>
      <c r="E32" s="49" t="s">
        <v>1045</v>
      </c>
      <c r="F32" s="24"/>
      <c r="G32" s="21">
        <f>data!C125</f>
        <v>0</v>
      </c>
      <c r="H32" s="344"/>
    </row>
    <row r="33" spans="1:8" ht="20.149999999999999" customHeight="1" x14ac:dyDescent="0.4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344"/>
    </row>
    <row r="34" spans="1:8" ht="20.149999999999999" customHeight="1" x14ac:dyDescent="0.4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272</v>
      </c>
      <c r="H34" s="344"/>
    </row>
    <row r="35" spans="1:8" ht="20.149999999999999" customHeight="1" x14ac:dyDescent="0.4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344"/>
    </row>
    <row r="36" spans="1:8" ht="20.149999999999999" customHeight="1" x14ac:dyDescent="0.4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371</v>
      </c>
      <c r="H36" s="344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34"/>
  <sheetViews>
    <sheetView showGridLines="0" topLeftCell="C22" zoomScale="75" workbookViewId="0">
      <selection activeCell="H9" sqref="H9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4" width="8.9375" style="2"/>
    <col min="15" max="15" width="14.25" style="2" customWidth="1"/>
    <col min="16" max="16" width="10.1875" style="2" customWidth="1"/>
    <col min="17" max="17" width="11.5" style="2" customWidth="1"/>
    <col min="18" max="18" width="8.9375" style="2"/>
    <col min="19" max="19" width="13.9375" style="2" customWidth="1"/>
    <col min="20" max="20" width="10" style="2" customWidth="1"/>
    <col min="21" max="16384" width="8.9375" style="2"/>
  </cols>
  <sheetData>
    <row r="1" spans="1:20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20" ht="20.149999999999999" customHeight="1" x14ac:dyDescent="0.35">
      <c r="A2" s="105" t="str">
        <f>"Hospital Name: "&amp;data!C84</f>
        <v>Hospital Name: Virginia Mason Medical Center</v>
      </c>
      <c r="B2" s="8"/>
      <c r="C2" s="8"/>
      <c r="D2" s="8"/>
      <c r="E2" s="8"/>
      <c r="F2" s="11"/>
      <c r="G2" s="76" t="s">
        <v>1054</v>
      </c>
    </row>
    <row r="3" spans="1:20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20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20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20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  <c r="R6" s="1"/>
      <c r="S6" s="1"/>
      <c r="T6" s="1"/>
    </row>
    <row r="7" spans="1:20" ht="20.149999999999999" customHeight="1" x14ac:dyDescent="0.35">
      <c r="A7" s="23" t="s">
        <v>296</v>
      </c>
      <c r="B7" s="48">
        <f>data!B138</f>
        <v>3145</v>
      </c>
      <c r="C7" s="48">
        <f>data!B139</f>
        <v>20163</v>
      </c>
      <c r="D7" s="48">
        <f>data!B140</f>
        <v>0</v>
      </c>
      <c r="E7" s="48">
        <f>data!B141</f>
        <v>204872744.07176241</v>
      </c>
      <c r="F7" s="48">
        <f>data!B142</f>
        <v>366767805.68462813</v>
      </c>
      <c r="G7" s="48">
        <f>data!B141+data!B142</f>
        <v>571640549.75639057</v>
      </c>
      <c r="R7" s="1"/>
      <c r="S7" s="352"/>
      <c r="T7" s="352"/>
    </row>
    <row r="8" spans="1:20" ht="20.149999999999999" customHeight="1" x14ac:dyDescent="0.35">
      <c r="A8" s="23" t="s">
        <v>297</v>
      </c>
      <c r="B8" s="48">
        <f>data!C138</f>
        <v>549</v>
      </c>
      <c r="C8" s="48">
        <f>data!C139</f>
        <v>4468</v>
      </c>
      <c r="D8" s="48">
        <f>data!C140</f>
        <v>0</v>
      </c>
      <c r="E8" s="48">
        <f>data!C141</f>
        <v>41515083.94137083</v>
      </c>
      <c r="F8" s="48">
        <f>data!C142</f>
        <v>58870658.577635013</v>
      </c>
      <c r="G8" s="48">
        <f>data!C141+data!C142</f>
        <v>100385742.51900584</v>
      </c>
      <c r="K8" s="345"/>
      <c r="L8" s="345"/>
      <c r="M8" s="346"/>
      <c r="R8" s="353"/>
      <c r="S8" s="1"/>
      <c r="T8" s="1"/>
    </row>
    <row r="9" spans="1:20" ht="20.149999999999999" customHeight="1" x14ac:dyDescent="0.35">
      <c r="A9" s="23" t="s">
        <v>1058</v>
      </c>
      <c r="B9" s="48">
        <f>data!D138</f>
        <v>1950</v>
      </c>
      <c r="C9" s="48">
        <f>data!D139</f>
        <v>7859</v>
      </c>
      <c r="D9" s="48">
        <f>data!D140</f>
        <v>0</v>
      </c>
      <c r="E9" s="48">
        <f>data!D141</f>
        <v>159546075.78686672</v>
      </c>
      <c r="F9" s="48">
        <f>data!D142</f>
        <v>553906234.73773682</v>
      </c>
      <c r="G9" s="48">
        <f>data!D141+data!D142</f>
        <v>713452310.52460361</v>
      </c>
      <c r="K9" s="345"/>
      <c r="L9" s="345"/>
      <c r="M9" s="346"/>
      <c r="R9" s="353"/>
      <c r="S9" s="1"/>
      <c r="T9" s="1"/>
    </row>
    <row r="10" spans="1:20" ht="20.149999999999999" customHeight="1" x14ac:dyDescent="0.35">
      <c r="A10" s="111" t="s">
        <v>203</v>
      </c>
      <c r="B10" s="48">
        <f>data!E138</f>
        <v>5644</v>
      </c>
      <c r="C10" s="48">
        <f>data!E139</f>
        <v>32490</v>
      </c>
      <c r="D10" s="48">
        <f>data!E140</f>
        <v>0</v>
      </c>
      <c r="E10" s="48">
        <f>data!E141</f>
        <v>405933903.79999995</v>
      </c>
      <c r="F10" s="48">
        <f>data!E142</f>
        <v>979544699</v>
      </c>
      <c r="G10" s="48">
        <f>data!E141+data!E142</f>
        <v>1385478602.8</v>
      </c>
      <c r="K10" s="329"/>
      <c r="L10" s="345"/>
      <c r="M10" s="346"/>
      <c r="R10" s="350"/>
    </row>
    <row r="11" spans="1:20" ht="20.149999999999999" customHeight="1" x14ac:dyDescent="0.35">
      <c r="A11" s="112"/>
      <c r="B11" s="113"/>
      <c r="C11" s="113"/>
      <c r="D11" s="113"/>
      <c r="E11" s="113"/>
      <c r="F11" s="113"/>
      <c r="G11" s="114"/>
      <c r="K11" s="345"/>
      <c r="L11" s="345"/>
      <c r="M11" s="346"/>
      <c r="R11" s="350"/>
    </row>
    <row r="12" spans="1:20" ht="20.149999999999999" customHeight="1" x14ac:dyDescent="0.35">
      <c r="A12" s="73"/>
      <c r="B12" s="30"/>
      <c r="C12" s="30"/>
      <c r="D12" s="30"/>
      <c r="E12" s="30"/>
      <c r="F12" s="30"/>
      <c r="G12" s="20"/>
      <c r="K12" s="345"/>
      <c r="L12" s="345"/>
      <c r="M12" s="346"/>
    </row>
    <row r="13" spans="1:20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  <c r="K13" s="345"/>
      <c r="L13" s="345"/>
      <c r="M13" s="346"/>
    </row>
    <row r="14" spans="1:20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  <c r="K14" s="345"/>
      <c r="L14" s="345"/>
      <c r="M14" s="346"/>
      <c r="R14" s="348"/>
    </row>
    <row r="15" spans="1:20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K15" s="329"/>
      <c r="L15" s="345"/>
      <c r="M15" s="346"/>
      <c r="R15" s="348"/>
    </row>
    <row r="16" spans="1:20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  <c r="K16" s="345"/>
      <c r="L16" s="345"/>
      <c r="M16" s="346"/>
    </row>
    <row r="17" spans="1:19" ht="20.149999999999999" customHeight="1" x14ac:dyDescent="0.35">
      <c r="A17" s="23" t="s">
        <v>297</v>
      </c>
      <c r="B17" s="48">
        <f>data!C144</f>
        <v>20</v>
      </c>
      <c r="C17" s="48">
        <f>data!C145</f>
        <v>5624</v>
      </c>
      <c r="D17" s="48">
        <f>data!C146</f>
        <v>0</v>
      </c>
      <c r="E17" s="48">
        <f>data!C147</f>
        <v>5301778.54</v>
      </c>
      <c r="F17" s="48">
        <f>data!C148</f>
        <v>0</v>
      </c>
      <c r="G17" s="48">
        <f>data!C147+data!C148</f>
        <v>5301778.54</v>
      </c>
      <c r="K17" s="345"/>
      <c r="L17" s="345"/>
      <c r="M17" s="346"/>
    </row>
    <row r="18" spans="1:19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13225.66</v>
      </c>
      <c r="F18" s="48">
        <f>data!D148</f>
        <v>0</v>
      </c>
      <c r="G18" s="48">
        <f>data!D147+data!D148</f>
        <v>13225.66</v>
      </c>
      <c r="K18" s="345"/>
      <c r="L18" s="345"/>
      <c r="M18" s="346"/>
    </row>
    <row r="19" spans="1:19" ht="20.149999999999999" customHeight="1" x14ac:dyDescent="0.35">
      <c r="A19" s="111" t="s">
        <v>203</v>
      </c>
      <c r="B19" s="48">
        <f>data!E144</f>
        <v>20</v>
      </c>
      <c r="C19" s="48">
        <f>data!E145</f>
        <v>5624</v>
      </c>
      <c r="D19" s="48">
        <f>data!E146</f>
        <v>0</v>
      </c>
      <c r="E19" s="48">
        <f>data!E147</f>
        <v>5315004.2</v>
      </c>
      <c r="F19" s="48">
        <f>data!E148</f>
        <v>0</v>
      </c>
      <c r="G19" s="48">
        <f>data!E147+data!E148</f>
        <v>5315004.2</v>
      </c>
      <c r="K19" s="345"/>
      <c r="L19" s="345"/>
      <c r="M19" s="346"/>
    </row>
    <row r="20" spans="1:19" ht="20.149999999999999" customHeight="1" x14ac:dyDescent="0.35">
      <c r="A20" s="112"/>
      <c r="B20" s="113"/>
      <c r="C20" s="113"/>
      <c r="D20" s="113"/>
      <c r="E20" s="113"/>
      <c r="F20" s="113"/>
      <c r="G20" s="114"/>
      <c r="K20" s="345"/>
      <c r="L20" s="345"/>
      <c r="M20" s="346"/>
    </row>
    <row r="21" spans="1:19" ht="20.149999999999999" customHeight="1" x14ac:dyDescent="0.35">
      <c r="A21" s="73"/>
      <c r="B21" s="30"/>
      <c r="C21" s="30"/>
      <c r="D21" s="30"/>
      <c r="E21" s="30"/>
      <c r="F21" s="30"/>
      <c r="G21" s="20"/>
      <c r="K21" s="345"/>
      <c r="L21" s="345"/>
      <c r="M21" s="346"/>
    </row>
    <row r="22" spans="1:19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  <c r="K22" s="345"/>
      <c r="L22" s="345"/>
      <c r="M22" s="346"/>
    </row>
    <row r="23" spans="1:19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  <c r="K23" s="345"/>
      <c r="L23" s="345"/>
      <c r="M23" s="346"/>
    </row>
    <row r="24" spans="1:19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  <c r="K24" s="345"/>
      <c r="L24" s="345"/>
      <c r="M24" s="346"/>
    </row>
    <row r="25" spans="1:19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  <c r="K25" s="345"/>
      <c r="L25" s="345"/>
      <c r="M25" s="346"/>
    </row>
    <row r="26" spans="1:19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  <c r="K26" s="345"/>
      <c r="L26" s="345"/>
      <c r="M26" s="346"/>
    </row>
    <row r="27" spans="1:19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  <c r="K27" s="345"/>
      <c r="L27" s="345"/>
      <c r="M27" s="346"/>
      <c r="O27" s="347"/>
    </row>
    <row r="28" spans="1:19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19" ht="20.149999999999999" customHeight="1" x14ac:dyDescent="0.35">
      <c r="A29" s="112"/>
      <c r="B29" s="113"/>
      <c r="C29" s="113"/>
      <c r="D29" s="113"/>
      <c r="E29" s="113"/>
      <c r="F29" s="113"/>
      <c r="G29" s="114"/>
      <c r="S29" s="349"/>
    </row>
    <row r="30" spans="1:19" ht="20.149999999999999" customHeight="1" x14ac:dyDescent="0.35">
      <c r="A30" s="73"/>
      <c r="B30" s="50"/>
      <c r="C30" s="30"/>
      <c r="D30" s="30"/>
      <c r="E30" s="30"/>
      <c r="F30" s="30"/>
      <c r="G30" s="20"/>
      <c r="S30" s="1"/>
    </row>
    <row r="31" spans="1:19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19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22" zoomScale="75" workbookViewId="0">
      <selection activeCell="D25" sqref="D25:I35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Virginia Mason Medical Center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19530927</v>
      </c>
      <c r="D6" s="343" t="s">
        <v>1287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-489019</v>
      </c>
      <c r="D7" s="343" t="s">
        <v>1288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825956</v>
      </c>
      <c r="D8" s="343" t="s">
        <v>1286</v>
      </c>
      <c r="E8" s="343"/>
    </row>
    <row r="9" spans="1:13" ht="20.149999999999999" customHeight="1" x14ac:dyDescent="0.35">
      <c r="A9" s="40">
        <v>5</v>
      </c>
      <c r="B9" s="49" t="s">
        <v>310</v>
      </c>
      <c r="C9" s="13">
        <f>data!C168</f>
        <v>20588184.859999999</v>
      </c>
      <c r="D9" s="343" t="s">
        <v>1291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276642</v>
      </c>
      <c r="D10" s="343" t="s">
        <v>1290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12836976.67</v>
      </c>
      <c r="D11" s="343" t="s">
        <v>1289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5282346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58852013.530000001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4" ht="20.149999999999999" customHeight="1" x14ac:dyDescent="0.35">
      <c r="A17" s="99">
        <v>11</v>
      </c>
      <c r="B17" s="100" t="s">
        <v>314</v>
      </c>
      <c r="C17" s="101"/>
    </row>
    <row r="18" spans="1:4" ht="20.149999999999999" customHeight="1" x14ac:dyDescent="0.35">
      <c r="A18" s="13">
        <v>12</v>
      </c>
      <c r="B18" s="49" t="s">
        <v>1067</v>
      </c>
      <c r="C18" s="13">
        <f>data!C175</f>
        <v>9015975</v>
      </c>
      <c r="D18" s="343" t="s">
        <v>1292</v>
      </c>
    </row>
    <row r="19" spans="1:4" ht="20.149999999999999" customHeight="1" x14ac:dyDescent="0.35">
      <c r="A19" s="13">
        <v>13</v>
      </c>
      <c r="B19" s="49" t="s">
        <v>1068</v>
      </c>
      <c r="C19" s="13">
        <f>data!C176</f>
        <v>3468013</v>
      </c>
    </row>
    <row r="20" spans="1:4" ht="20.149999999999999" customHeight="1" x14ac:dyDescent="0.35">
      <c r="A20" s="13">
        <v>14</v>
      </c>
      <c r="B20" s="49" t="s">
        <v>1069</v>
      </c>
      <c r="C20" s="13">
        <f>data!D177</f>
        <v>12483988</v>
      </c>
    </row>
    <row r="21" spans="1:4" ht="20.149999999999999" customHeight="1" x14ac:dyDescent="0.35">
      <c r="A21" s="57"/>
      <c r="B21" s="45"/>
      <c r="C21" s="98"/>
    </row>
    <row r="22" spans="1:4" ht="20.149999999999999" customHeight="1" x14ac:dyDescent="0.35">
      <c r="A22" s="73"/>
      <c r="B22" s="8"/>
      <c r="C22" s="44"/>
    </row>
    <row r="23" spans="1:4" ht="20.149999999999999" customHeight="1" x14ac:dyDescent="0.35">
      <c r="A23" s="102">
        <v>15</v>
      </c>
      <c r="B23" s="103" t="s">
        <v>317</v>
      </c>
      <c r="C23" s="95"/>
    </row>
    <row r="24" spans="1:4" ht="20.149999999999999" customHeight="1" x14ac:dyDescent="0.35">
      <c r="A24" s="13">
        <v>16</v>
      </c>
      <c r="B24" s="37" t="s">
        <v>1070</v>
      </c>
      <c r="C24" s="104"/>
    </row>
    <row r="25" spans="1:4" ht="20.149999999999999" customHeight="1" x14ac:dyDescent="0.35">
      <c r="A25" s="13">
        <v>17</v>
      </c>
      <c r="B25" s="49" t="s">
        <v>1071</v>
      </c>
      <c r="C25" s="13">
        <f>data!C179</f>
        <v>3645565.41</v>
      </c>
      <c r="D25" s="343"/>
    </row>
    <row r="26" spans="1:4" ht="20.149999999999999" customHeight="1" x14ac:dyDescent="0.35">
      <c r="A26" s="13">
        <v>18</v>
      </c>
      <c r="B26" s="49" t="s">
        <v>319</v>
      </c>
      <c r="C26" s="13">
        <f>data!C180</f>
        <v>1588246.39</v>
      </c>
      <c r="D26" s="343"/>
    </row>
    <row r="27" spans="1:4" ht="20.149999999999999" customHeight="1" x14ac:dyDescent="0.35">
      <c r="A27" s="13">
        <v>19</v>
      </c>
      <c r="B27" s="49" t="s">
        <v>1072</v>
      </c>
      <c r="C27" s="13">
        <f>data!D181</f>
        <v>5233811.8</v>
      </c>
    </row>
    <row r="28" spans="1:4" ht="20.149999999999999" customHeight="1" x14ac:dyDescent="0.35">
      <c r="A28" s="57"/>
      <c r="B28" s="45"/>
      <c r="C28" s="98"/>
    </row>
    <row r="29" spans="1:4" ht="20.149999999999999" customHeight="1" x14ac:dyDescent="0.35">
      <c r="A29" s="73"/>
      <c r="B29" s="30"/>
      <c r="C29" s="20"/>
    </row>
    <row r="30" spans="1:4" ht="20.149999999999999" customHeight="1" x14ac:dyDescent="0.35">
      <c r="A30" s="102">
        <v>20</v>
      </c>
      <c r="B30" s="43" t="s">
        <v>1073</v>
      </c>
      <c r="C30" s="34"/>
    </row>
    <row r="31" spans="1:4" ht="20.149999999999999" customHeight="1" x14ac:dyDescent="0.35">
      <c r="A31" s="13">
        <v>21</v>
      </c>
      <c r="B31" s="49" t="s">
        <v>321</v>
      </c>
      <c r="C31" s="13">
        <f>data!C183</f>
        <v>515132</v>
      </c>
      <c r="D31" s="343"/>
    </row>
    <row r="32" spans="1:4" ht="20.149999999999999" customHeight="1" x14ac:dyDescent="0.35">
      <c r="A32" s="13">
        <v>22</v>
      </c>
      <c r="B32" s="49" t="s">
        <v>1074</v>
      </c>
      <c r="C32" s="13">
        <f>data!C184</f>
        <v>10876889</v>
      </c>
      <c r="D32" s="343"/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11392021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5833401.6299999999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5833401.6299999999</v>
      </c>
    </row>
    <row r="41" spans="1:3" x14ac:dyDescent="0.35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9" zoomScale="75" workbookViewId="0">
      <selection activeCell="J37" sqref="J37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Virginia Mason Medical Center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40811932.5</v>
      </c>
      <c r="D7" s="21">
        <f>data!C195</f>
        <v>97710827.689999998</v>
      </c>
      <c r="E7" s="21">
        <f>data!D195</f>
        <v>0</v>
      </c>
      <c r="F7" s="21">
        <f>data!E195</f>
        <v>138522760.19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3302780.5</v>
      </c>
      <c r="D8" s="21">
        <f>data!C196</f>
        <v>0</v>
      </c>
      <c r="E8" s="21">
        <f>data!D196</f>
        <v>2965859</v>
      </c>
      <c r="F8" s="21">
        <f>data!E196</f>
        <v>336921.5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678913179</v>
      </c>
      <c r="D9" s="21">
        <f>data!C197</f>
        <v>0</v>
      </c>
      <c r="E9" s="21">
        <f>data!D197</f>
        <v>365527956</v>
      </c>
      <c r="F9" s="21">
        <f>data!E197</f>
        <v>313385223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44475860</v>
      </c>
      <c r="D10" s="21">
        <f>data!C198</f>
        <v>0</v>
      </c>
      <c r="E10" s="21">
        <f>data!D198</f>
        <v>44475860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3797270</v>
      </c>
      <c r="D11" s="21">
        <f>data!C199</f>
        <v>0</v>
      </c>
      <c r="E11" s="21">
        <f>data!D199</f>
        <v>350322</v>
      </c>
      <c r="F11" s="21">
        <f>data!E199</f>
        <v>3446948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404220504</v>
      </c>
      <c r="D12" s="21">
        <f>data!C200</f>
        <v>0</v>
      </c>
      <c r="E12" s="21">
        <f>data!D200</f>
        <v>324904763</v>
      </c>
      <c r="F12" s="21">
        <f>data!E200</f>
        <v>79315741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21443009</v>
      </c>
      <c r="D13" s="21">
        <f>data!C201</f>
        <v>0</v>
      </c>
      <c r="E13" s="21">
        <f>data!D201</f>
        <v>15612950</v>
      </c>
      <c r="F13" s="21">
        <f>data!E201</f>
        <v>5830059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27952894</v>
      </c>
      <c r="D14" s="21">
        <f>data!C202</f>
        <v>292254</v>
      </c>
      <c r="E14" s="21">
        <f>data!D202</f>
        <v>0</v>
      </c>
      <c r="F14" s="21">
        <f>data!E202</f>
        <v>28245148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18636447</v>
      </c>
      <c r="D15" s="21">
        <f>data!C203</f>
        <v>0</v>
      </c>
      <c r="E15" s="21">
        <f>data!D203</f>
        <v>4917597</v>
      </c>
      <c r="F15" s="21">
        <f>data!E203</f>
        <v>13718850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1243553876</v>
      </c>
      <c r="D16" s="21">
        <f>data!C204</f>
        <v>98003081.689999998</v>
      </c>
      <c r="E16" s="21">
        <f>data!D204</f>
        <v>758755307</v>
      </c>
      <c r="F16" s="21">
        <f>data!E204</f>
        <v>582801650.69000006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1359743</v>
      </c>
      <c r="D24" s="21">
        <f>data!C209</f>
        <v>8479.7800000000007</v>
      </c>
      <c r="E24" s="21">
        <f>data!D209</f>
        <v>1352136</v>
      </c>
      <c r="F24" s="21">
        <f>data!E209</f>
        <v>16086.780000000028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270477591</v>
      </c>
      <c r="D25" s="21">
        <f>data!C210</f>
        <v>6668394.5</v>
      </c>
      <c r="E25" s="21">
        <f>data!D210</f>
        <v>270083099</v>
      </c>
      <c r="F25" s="21">
        <f>data!E210</f>
        <v>7062886.5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38540916</v>
      </c>
      <c r="D26" s="21">
        <f>data!C211</f>
        <v>0</v>
      </c>
      <c r="E26" s="21">
        <f>data!D211</f>
        <v>38540916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3797270</v>
      </c>
      <c r="D27" s="21">
        <f>data!C212</f>
        <v>234187.81</v>
      </c>
      <c r="E27" s="21">
        <f>data!D212</f>
        <v>3797270</v>
      </c>
      <c r="F27" s="21">
        <f>data!E212</f>
        <v>234187.81000000006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326873369</v>
      </c>
      <c r="D28" s="21">
        <f>data!C213</f>
        <v>10050882.359999999</v>
      </c>
      <c r="E28" s="21">
        <f>data!D213</f>
        <v>327111106</v>
      </c>
      <c r="F28" s="21">
        <f>data!E213</f>
        <v>9813145.3600000143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18922511</v>
      </c>
      <c r="D29" s="21">
        <f>data!C214</f>
        <v>948814.01</v>
      </c>
      <c r="E29" s="21">
        <f>data!D214</f>
        <v>18921246</v>
      </c>
      <c r="F29" s="21">
        <f>data!E214</f>
        <v>950079.01000000164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15287996</v>
      </c>
      <c r="D30" s="21">
        <f>data!C215</f>
        <v>1300548.6100000001</v>
      </c>
      <c r="E30" s="21">
        <f>data!D215</f>
        <v>15287996</v>
      </c>
      <c r="F30" s="21">
        <f>data!E215</f>
        <v>1300548.6099999994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675259396</v>
      </c>
      <c r="D32" s="21">
        <f>data!C217</f>
        <v>19211307.07</v>
      </c>
      <c r="E32" s="21">
        <f>data!D217</f>
        <v>675093769</v>
      </c>
      <c r="F32" s="21">
        <f>data!E217</f>
        <v>19376934.070000015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28" zoomScale="75" workbookViewId="0">
      <selection activeCell="E5" sqref="E5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9" width="8.9375" style="7"/>
    <col min="10" max="10" width="9.6875" style="7" bestFit="1" customWidth="1"/>
    <col min="11" max="11" width="12.75" style="7" customWidth="1"/>
    <col min="12" max="12" width="9.5625" style="7" customWidth="1"/>
    <col min="13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Virginia Mason Medical Center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8278487</v>
      </c>
      <c r="E5" s="351"/>
      <c r="F5" s="351"/>
      <c r="G5" s="351"/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393736255.75999999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70775409.890000001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12496942.439999999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80044406.609999999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242540025.63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799593040.32999992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70"/>
    </row>
    <row r="17" spans="1:13" ht="20.149999999999999" customHeight="1" x14ac:dyDescent="0.35">
      <c r="A17" s="23">
        <v>13</v>
      </c>
      <c r="B17" s="58"/>
      <c r="C17" s="45"/>
      <c r="D17" s="83"/>
      <c r="H17" s="8"/>
      <c r="I17" s="8"/>
      <c r="J17" s="8"/>
      <c r="K17" s="8"/>
      <c r="L17" s="76"/>
      <c r="M17" s="8"/>
    </row>
    <row r="18" spans="1:13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3989164</v>
      </c>
      <c r="H18" s="8"/>
      <c r="I18" s="8"/>
      <c r="J18" s="8"/>
      <c r="K18" s="8"/>
      <c r="L18" s="8"/>
      <c r="M18" s="8"/>
    </row>
    <row r="19" spans="1:13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6637054</v>
      </c>
      <c r="H19" s="8"/>
      <c r="I19" s="8"/>
      <c r="J19" s="8"/>
      <c r="K19" s="1"/>
      <c r="L19" s="8"/>
      <c r="M19" s="8"/>
    </row>
    <row r="20" spans="1:13" ht="20.149999999999999" customHeight="1" x14ac:dyDescent="0.35">
      <c r="A20" s="23">
        <v>16</v>
      </c>
      <c r="B20" s="24"/>
      <c r="C20" s="24"/>
      <c r="D20" s="56"/>
      <c r="H20" s="8"/>
      <c r="I20" s="8"/>
      <c r="J20" s="8"/>
      <c r="K20" s="8"/>
      <c r="L20" s="8"/>
      <c r="M20" s="8"/>
    </row>
    <row r="21" spans="1:13" ht="20.149999999999999" customHeight="1" x14ac:dyDescent="0.35">
      <c r="A21" s="23">
        <v>17</v>
      </c>
      <c r="B21" s="56"/>
      <c r="C21" s="56"/>
      <c r="D21" s="56"/>
      <c r="H21" s="8"/>
      <c r="I21" s="8"/>
      <c r="J21" s="8"/>
      <c r="K21" s="8"/>
      <c r="L21" s="8"/>
      <c r="M21" s="8"/>
    </row>
    <row r="22" spans="1:13" ht="20.149999999999999" customHeight="1" x14ac:dyDescent="0.35">
      <c r="A22" s="81">
        <v>18</v>
      </c>
      <c r="B22" s="56"/>
      <c r="C22" s="15" t="s">
        <v>1097</v>
      </c>
      <c r="D22" s="14">
        <f>data!D236</f>
        <v>10626218</v>
      </c>
      <c r="H22" s="8"/>
      <c r="I22" s="8"/>
      <c r="J22" s="8"/>
      <c r="K22" s="8"/>
      <c r="L22" s="8"/>
      <c r="M22" s="8"/>
    </row>
    <row r="23" spans="1:13" ht="20.149999999999999" customHeight="1" x14ac:dyDescent="0.35">
      <c r="A23" s="62">
        <v>19</v>
      </c>
      <c r="B23" s="58"/>
      <c r="C23" s="58"/>
      <c r="D23" s="25"/>
      <c r="H23" s="8"/>
      <c r="I23" s="8"/>
      <c r="J23" s="8"/>
      <c r="K23" s="8"/>
      <c r="L23" s="8"/>
      <c r="M23" s="8"/>
    </row>
    <row r="24" spans="1:13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5115301.2</v>
      </c>
    </row>
    <row r="25" spans="1:13" ht="20.149999999999999" customHeight="1" x14ac:dyDescent="0.35">
      <c r="A25" s="62">
        <v>21</v>
      </c>
      <c r="B25" s="30"/>
      <c r="C25" s="30"/>
      <c r="D25" s="25"/>
    </row>
    <row r="26" spans="1:13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13" ht="20.149999999999999" customHeight="1" x14ac:dyDescent="0.35">
      <c r="A27" s="64">
        <v>23</v>
      </c>
      <c r="B27" s="63" t="s">
        <v>1099</v>
      </c>
      <c r="C27" s="56"/>
      <c r="D27" s="14">
        <f>data!D242</f>
        <v>823613046.52999997</v>
      </c>
    </row>
    <row r="28" spans="1:13" ht="20.149999999999999" customHeight="1" x14ac:dyDescent="0.35">
      <c r="A28" s="126">
        <v>24</v>
      </c>
      <c r="B28" s="65" t="s">
        <v>1100</v>
      </c>
      <c r="C28" s="50"/>
      <c r="D28" s="54"/>
    </row>
    <row r="29" spans="1:13" ht="20.149999999999999" customHeight="1" x14ac:dyDescent="0.35">
      <c r="A29" s="66"/>
      <c r="B29" s="67"/>
      <c r="C29" s="67"/>
      <c r="D29" s="56"/>
    </row>
    <row r="30" spans="1:13" ht="20.149999999999999" customHeight="1" x14ac:dyDescent="0.35">
      <c r="A30" s="68"/>
      <c r="B30" s="38"/>
      <c r="C30" s="38"/>
      <c r="D30" s="56"/>
    </row>
    <row r="31" spans="1:13" ht="20.149999999999999" customHeight="1" x14ac:dyDescent="0.35">
      <c r="A31" s="68"/>
      <c r="B31" s="38"/>
      <c r="C31" s="38"/>
      <c r="D31" s="56"/>
    </row>
    <row r="32" spans="1:13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36" zoomScale="75" workbookViewId="0">
      <selection activeCell="D140" sqref="D140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Virginia Mason Medical Center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144102274.91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338088666.47000003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213859231.56999999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14830797.73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35017683.619999997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6498718.5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196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324679105.65999997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419483407.85000008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419483407.85000008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138522760.19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336922.5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313385223.05000001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3446947.52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85145799.920000002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28245148.02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13718849.9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582801651.0999999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19376934.16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563424716.93999994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130779123.5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130779123.5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41486642.759999998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41486642.759999998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1479852996.7099998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Virginia Mason Medical Center</v>
      </c>
      <c r="B55" s="30"/>
      <c r="C55" s="31" t="str">
        <f>"FYE: "&amp;data!C82</f>
        <v>FYE: 06/30/2021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40220988.350000001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83502022.030000001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7348467.5700000003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110835889.81999999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44881303.399999999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286788671.16999996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442637412.85000002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158276031.29999995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600913444.14999998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600913444.14999998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592150881.60000002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4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4" ht="20.149999999999999" customHeight="1" x14ac:dyDescent="0.35">
      <c r="A98" s="13">
        <v>42</v>
      </c>
      <c r="B98" s="14" t="s">
        <v>1146</v>
      </c>
      <c r="C98" s="24"/>
    </row>
    <row r="99" spans="1:4" ht="20.149999999999999" customHeight="1" x14ac:dyDescent="0.35">
      <c r="A99" s="13">
        <v>43</v>
      </c>
      <c r="B99" s="38"/>
      <c r="C99" s="24"/>
    </row>
    <row r="100" spans="1:4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4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592150881.60000002</v>
      </c>
    </row>
    <row r="102" spans="1:4" ht="20.149999999999999" customHeight="1" x14ac:dyDescent="0.35">
      <c r="A102" s="13">
        <v>46</v>
      </c>
      <c r="B102" s="14" t="s">
        <v>1149</v>
      </c>
      <c r="C102" s="21">
        <f>data!D339</f>
        <v>1479852996.9200001</v>
      </c>
    </row>
    <row r="103" spans="1:4" ht="20.149999999999999" customHeight="1" x14ac:dyDescent="0.35"/>
    <row r="104" spans="1:4" ht="20.149999999999999" customHeight="1" x14ac:dyDescent="0.35"/>
    <row r="105" spans="1:4" ht="20.149999999999999" customHeight="1" x14ac:dyDescent="0.35">
      <c r="A105" s="4" t="s">
        <v>1150</v>
      </c>
      <c r="B105" s="5"/>
      <c r="C105" s="6"/>
    </row>
    <row r="106" spans="1:4" ht="20.149999999999999" customHeight="1" x14ac:dyDescent="0.35">
      <c r="A106" s="45"/>
      <c r="B106" s="8"/>
      <c r="C106" s="167" t="s">
        <v>1151</v>
      </c>
    </row>
    <row r="107" spans="1:4" ht="20.149999999999999" customHeight="1" x14ac:dyDescent="0.35">
      <c r="A107" s="29" t="str">
        <f>"HOSPITAL: "&amp;data!C84</f>
        <v>HOSPITAL: Virginia Mason Medical Center</v>
      </c>
      <c r="B107" s="30"/>
      <c r="C107" s="31" t="str">
        <f>" FYE: "&amp;data!C82</f>
        <v xml:space="preserve"> FYE: 06/30/2021</v>
      </c>
    </row>
    <row r="108" spans="1:4" ht="20.149999999999999" customHeight="1" x14ac:dyDescent="0.35">
      <c r="A108" s="32"/>
      <c r="B108" s="46"/>
      <c r="C108" s="47"/>
    </row>
    <row r="109" spans="1:4" ht="20.149999999999999" customHeight="1" x14ac:dyDescent="0.35">
      <c r="A109" s="13">
        <v>1</v>
      </c>
      <c r="B109" s="37" t="s">
        <v>1152</v>
      </c>
      <c r="C109" s="36"/>
    </row>
    <row r="110" spans="1:4" ht="20.149999999999999" customHeight="1" x14ac:dyDescent="0.35">
      <c r="A110" s="13">
        <v>2</v>
      </c>
      <c r="B110" s="14" t="s">
        <v>428</v>
      </c>
      <c r="C110" s="21">
        <f>data!C359</f>
        <v>411248908</v>
      </c>
      <c r="D110" s="351"/>
    </row>
    <row r="111" spans="1:4" ht="20.149999999999999" customHeight="1" x14ac:dyDescent="0.35">
      <c r="A111" s="13">
        <v>3</v>
      </c>
      <c r="B111" s="14" t="s">
        <v>429</v>
      </c>
      <c r="C111" s="21">
        <f>data!C360</f>
        <v>979544699</v>
      </c>
    </row>
    <row r="112" spans="1:4" ht="20.149999999999999" customHeight="1" x14ac:dyDescent="0.35">
      <c r="A112" s="13">
        <v>4</v>
      </c>
      <c r="B112" s="14" t="s">
        <v>1153</v>
      </c>
      <c r="C112" s="21">
        <f>data!D361</f>
        <v>1390793607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8278487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799593040.32999992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10626218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5115301.2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823613046.52999997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567180560.47000003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25453841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25453841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592634401.47000003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5" ht="20.149999999999999" customHeight="1" x14ac:dyDescent="0.35">
      <c r="A129" s="13">
        <v>21</v>
      </c>
      <c r="B129" s="14" t="s">
        <v>442</v>
      </c>
      <c r="C129" s="48">
        <f>data!C378</f>
        <v>280618062</v>
      </c>
    </row>
    <row r="130" spans="1:5" ht="20.149999999999999" customHeight="1" x14ac:dyDescent="0.35">
      <c r="A130" s="13">
        <v>22</v>
      </c>
      <c r="B130" s="14" t="s">
        <v>3</v>
      </c>
      <c r="C130" s="48">
        <f>data!C379</f>
        <v>58852014</v>
      </c>
    </row>
    <row r="131" spans="1:5" ht="20.149999999999999" customHeight="1" x14ac:dyDescent="0.35">
      <c r="A131" s="13">
        <v>23</v>
      </c>
      <c r="B131" s="14" t="s">
        <v>236</v>
      </c>
      <c r="C131" s="48">
        <f>data!C380</f>
        <v>6090848</v>
      </c>
    </row>
    <row r="132" spans="1:5" ht="20.149999999999999" customHeight="1" x14ac:dyDescent="0.35">
      <c r="A132" s="13">
        <v>24</v>
      </c>
      <c r="B132" s="14" t="s">
        <v>237</v>
      </c>
      <c r="C132" s="48">
        <f>data!C381</f>
        <v>137076717</v>
      </c>
    </row>
    <row r="133" spans="1:5" ht="20.149999999999999" customHeight="1" x14ac:dyDescent="0.35">
      <c r="A133" s="13">
        <v>25</v>
      </c>
      <c r="B133" s="14" t="s">
        <v>1161</v>
      </c>
      <c r="C133" s="48">
        <f>data!C382</f>
        <v>6171902</v>
      </c>
    </row>
    <row r="134" spans="1:5" ht="20.149999999999999" customHeight="1" x14ac:dyDescent="0.35">
      <c r="A134" s="13">
        <v>26</v>
      </c>
      <c r="B134" s="14" t="s">
        <v>1162</v>
      </c>
      <c r="C134" s="48">
        <f>data!C383</f>
        <v>24982114</v>
      </c>
    </row>
    <row r="135" spans="1:5" ht="20.149999999999999" customHeight="1" x14ac:dyDescent="0.35">
      <c r="A135" s="13">
        <v>27</v>
      </c>
      <c r="B135" s="14" t="s">
        <v>6</v>
      </c>
      <c r="C135" s="48">
        <f>data!C384</f>
        <v>19211307</v>
      </c>
    </row>
    <row r="136" spans="1:5" ht="20.149999999999999" customHeight="1" x14ac:dyDescent="0.35">
      <c r="A136" s="13">
        <v>28</v>
      </c>
      <c r="B136" s="14" t="s">
        <v>1163</v>
      </c>
      <c r="C136" s="48">
        <f>data!C385</f>
        <v>12483988</v>
      </c>
    </row>
    <row r="137" spans="1:5" ht="20.149999999999999" customHeight="1" x14ac:dyDescent="0.35">
      <c r="A137" s="13">
        <v>29</v>
      </c>
      <c r="B137" s="14" t="s">
        <v>447</v>
      </c>
      <c r="C137" s="48">
        <f>data!C386</f>
        <v>5233811.8</v>
      </c>
    </row>
    <row r="138" spans="1:5" ht="20.149999999999999" customHeight="1" x14ac:dyDescent="0.35">
      <c r="A138" s="13">
        <v>30</v>
      </c>
      <c r="B138" s="14" t="s">
        <v>1164</v>
      </c>
      <c r="C138" s="48">
        <f>data!C387</f>
        <v>11392021</v>
      </c>
    </row>
    <row r="139" spans="1:5" ht="20.149999999999999" customHeight="1" x14ac:dyDescent="0.35">
      <c r="A139" s="13">
        <v>31</v>
      </c>
      <c r="B139" s="14" t="s">
        <v>449</v>
      </c>
      <c r="C139" s="48">
        <f>data!C388</f>
        <v>5833401.6299999999</v>
      </c>
    </row>
    <row r="140" spans="1:5" ht="20.149999999999999" customHeight="1" x14ac:dyDescent="0.35">
      <c r="A140" s="13">
        <v>32</v>
      </c>
      <c r="B140" s="14" t="s">
        <v>241</v>
      </c>
      <c r="C140" s="48">
        <f>data!C389</f>
        <v>21544506</v>
      </c>
      <c r="D140" s="351"/>
      <c r="E140" s="351"/>
    </row>
    <row r="141" spans="1:5" ht="20.149999999999999" customHeight="1" x14ac:dyDescent="0.35">
      <c r="A141" s="13">
        <v>34</v>
      </c>
      <c r="B141" s="14" t="s">
        <v>1165</v>
      </c>
      <c r="C141" s="48">
        <f>data!D390</f>
        <v>589490692.42999995</v>
      </c>
    </row>
    <row r="142" spans="1:5" ht="20.149999999999999" customHeight="1" x14ac:dyDescent="0.35">
      <c r="A142" s="13">
        <v>35</v>
      </c>
      <c r="B142" s="14" t="s">
        <v>1166</v>
      </c>
      <c r="C142" s="48">
        <f>data!D391</f>
        <v>3143709.0400000811</v>
      </c>
    </row>
    <row r="143" spans="1:5" ht="20.149999999999999" customHeight="1" x14ac:dyDescent="0.35">
      <c r="A143" s="13">
        <v>36</v>
      </c>
      <c r="B143" s="38"/>
      <c r="C143" s="24"/>
    </row>
    <row r="144" spans="1:5" ht="20.149999999999999" customHeight="1" x14ac:dyDescent="0.35">
      <c r="A144" s="13">
        <v>37</v>
      </c>
      <c r="B144" s="14" t="s">
        <v>1167</v>
      </c>
      <c r="C144" s="48">
        <f>data!C392</f>
        <v>19877795.640000001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23021504.680000082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2004757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21016747.680000082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Virginia Mason Medical Center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3033</v>
      </c>
      <c r="D9" s="14">
        <f>data!D59</f>
        <v>0</v>
      </c>
      <c r="E9" s="14">
        <f>data!E59</f>
        <v>29457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85.44</v>
      </c>
      <c r="D10" s="26">
        <f>data!D60</f>
        <v>0</v>
      </c>
      <c r="E10" s="26">
        <f>data!E60</f>
        <v>513.75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4854236</v>
      </c>
      <c r="D11" s="14">
        <f>data!D61</f>
        <v>0</v>
      </c>
      <c r="E11" s="14">
        <f>data!E61</f>
        <v>22740283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852866</v>
      </c>
      <c r="D12" s="14">
        <f>data!D62</f>
        <v>0</v>
      </c>
      <c r="E12" s="14">
        <f>data!E62</f>
        <v>4002980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1275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744682</v>
      </c>
      <c r="D14" s="14">
        <f>data!D64</f>
        <v>0</v>
      </c>
      <c r="E14" s="14">
        <f>data!E64</f>
        <v>1771236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16810</v>
      </c>
      <c r="D15" s="14">
        <f>data!D65</f>
        <v>0</v>
      </c>
      <c r="E15" s="14">
        <f>data!E65</f>
        <v>100440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5387</v>
      </c>
      <c r="D16" s="14">
        <f>data!D66</f>
        <v>0</v>
      </c>
      <c r="E16" s="14">
        <f>data!E66</f>
        <v>529071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812371</v>
      </c>
      <c r="D17" s="14">
        <f>data!D67</f>
        <v>0</v>
      </c>
      <c r="E17" s="14">
        <f>data!E67</f>
        <v>1122615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15245</v>
      </c>
      <c r="D18" s="14">
        <f>data!D68</f>
        <v>0</v>
      </c>
      <c r="E18" s="14">
        <f>data!E68</f>
        <v>1318169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86379</v>
      </c>
      <c r="D19" s="14">
        <f>data!D69</f>
        <v>0</v>
      </c>
      <c r="E19" s="14">
        <f>data!E69</f>
        <v>328001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-325</v>
      </c>
      <c r="D20" s="14">
        <f>-data!D70</f>
        <v>0</v>
      </c>
      <c r="E20" s="14">
        <f>-data!E70</f>
        <v>-1474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7387651</v>
      </c>
      <c r="D21" s="14">
        <f>data!D71</f>
        <v>0</v>
      </c>
      <c r="E21" s="14">
        <f>data!E71</f>
        <v>31912596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2500305</v>
      </c>
      <c r="D23" s="48">
        <f>+data!M669</f>
        <v>0</v>
      </c>
      <c r="E23" s="48">
        <f>+data!M670</f>
        <v>14830502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23945918</v>
      </c>
      <c r="D24" s="14">
        <f>data!D73</f>
        <v>0</v>
      </c>
      <c r="E24" s="14">
        <f>data!E73</f>
        <v>109143000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65969</v>
      </c>
      <c r="D25" s="14">
        <f>data!D74</f>
        <v>0</v>
      </c>
      <c r="E25" s="14">
        <f>data!E74</f>
        <v>9722127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24011887</v>
      </c>
      <c r="D26" s="14">
        <f>data!D75</f>
        <v>0</v>
      </c>
      <c r="E26" s="14">
        <f>data!E75</f>
        <v>118865127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23600</v>
      </c>
      <c r="D28" s="14">
        <f>data!D76</f>
        <v>0</v>
      </c>
      <c r="E28" s="14">
        <f>data!E76</f>
        <v>123159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4624</v>
      </c>
      <c r="D29" s="14">
        <f>data!D77</f>
        <v>0</v>
      </c>
      <c r="E29" s="14">
        <f>data!E77</f>
        <v>138195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1082</v>
      </c>
      <c r="D30" s="14">
        <f>data!D78</f>
        <v>0</v>
      </c>
      <c r="E30" s="14">
        <f>data!E78</f>
        <v>5646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23000</v>
      </c>
      <c r="D31" s="14">
        <f>data!D79</f>
        <v>0</v>
      </c>
      <c r="E31" s="14">
        <f>data!E79</f>
        <v>191000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75.319999999999993</v>
      </c>
      <c r="D32" s="84">
        <f>data!D80</f>
        <v>0</v>
      </c>
      <c r="E32" s="84">
        <f>data!E80</f>
        <v>453.67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Virginia Mason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5624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1030651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120.93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143.72999999999999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4687226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7115428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940774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1249374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183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1177809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395614</v>
      </c>
      <c r="E46" s="14">
        <f>data!L64</f>
        <v>0</v>
      </c>
      <c r="F46" s="14">
        <f>data!M64</f>
        <v>0</v>
      </c>
      <c r="G46" s="14">
        <f>data!N64</f>
        <v>2949</v>
      </c>
      <c r="H46" s="14">
        <f>data!O64</f>
        <v>0</v>
      </c>
      <c r="I46" s="14">
        <f>data!P64</f>
        <v>20678411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161846</v>
      </c>
      <c r="E47" s="14">
        <f>data!L65</f>
        <v>0</v>
      </c>
      <c r="F47" s="14">
        <f>data!M65</f>
        <v>0</v>
      </c>
      <c r="G47" s="14">
        <f>data!N65</f>
        <v>6</v>
      </c>
      <c r="H47" s="14">
        <f>data!O65</f>
        <v>0</v>
      </c>
      <c r="I47" s="14">
        <f>data!P65</f>
        <v>52251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283344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447638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132968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1950091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379847</v>
      </c>
      <c r="E50" s="14">
        <f>data!L68</f>
        <v>0</v>
      </c>
      <c r="F50" s="14">
        <f>data!M68</f>
        <v>0</v>
      </c>
      <c r="G50" s="14">
        <f>data!N68</f>
        <v>176</v>
      </c>
      <c r="H50" s="14">
        <f>data!O68</f>
        <v>0</v>
      </c>
      <c r="I50" s="14">
        <f>data!P68</f>
        <v>205613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275374</v>
      </c>
      <c r="E51" s="14">
        <f>data!L69</f>
        <v>0</v>
      </c>
      <c r="F51" s="14">
        <f>data!M69</f>
        <v>0</v>
      </c>
      <c r="G51" s="14">
        <f>data!N69</f>
        <v>-5165</v>
      </c>
      <c r="H51" s="14">
        <f>data!O69</f>
        <v>0</v>
      </c>
      <c r="I51" s="14">
        <f>data!P69</f>
        <v>1340021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-2601520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-790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4655656</v>
      </c>
      <c r="E53" s="14">
        <f>data!L71</f>
        <v>0</v>
      </c>
      <c r="F53" s="14">
        <f>data!M71</f>
        <v>0</v>
      </c>
      <c r="G53" s="14">
        <f>data!N71</f>
        <v>-2034</v>
      </c>
      <c r="H53" s="14">
        <f>data!O71</f>
        <v>0</v>
      </c>
      <c r="I53" s="14">
        <f>data!P71</f>
        <v>34215846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727630</v>
      </c>
      <c r="E55" s="48">
        <f>+data!M677</f>
        <v>0</v>
      </c>
      <c r="F55" s="48">
        <f>+data!M678</f>
        <v>0</v>
      </c>
      <c r="G55" s="48">
        <f>+data!M679</f>
        <v>1452</v>
      </c>
      <c r="H55" s="48">
        <f>+data!M680</f>
        <v>0</v>
      </c>
      <c r="I55" s="48">
        <f>+data!M681</f>
        <v>12888433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5315004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117209186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101918680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5315004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219127866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47181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89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2163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450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256000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68.680000000000007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53.58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Virginia Mason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1006817</v>
      </c>
      <c r="D73" s="48">
        <f>data!R59</f>
        <v>1139388</v>
      </c>
      <c r="E73" s="212"/>
      <c r="F73" s="212"/>
      <c r="G73" s="14">
        <f>data!U59</f>
        <v>1240268</v>
      </c>
      <c r="H73" s="14">
        <f>data!V59</f>
        <v>0</v>
      </c>
      <c r="I73" s="14">
        <f>data!W59</f>
        <v>47352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74.180000000000007</v>
      </c>
      <c r="D74" s="26">
        <f>data!R60</f>
        <v>80.36</v>
      </c>
      <c r="E74" s="26">
        <f>data!S60</f>
        <v>122.75</v>
      </c>
      <c r="F74" s="26">
        <f>data!T60</f>
        <v>16.75</v>
      </c>
      <c r="G74" s="26">
        <f>data!U60</f>
        <v>192.13</v>
      </c>
      <c r="H74" s="26">
        <f>data!V60</f>
        <v>0</v>
      </c>
      <c r="I74" s="26">
        <f>data!W60</f>
        <v>10.3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3763127</v>
      </c>
      <c r="D75" s="14">
        <f>data!R61</f>
        <v>10086798</v>
      </c>
      <c r="E75" s="14">
        <f>data!S61</f>
        <v>3503035</v>
      </c>
      <c r="F75" s="14">
        <f>data!T61</f>
        <v>1013155</v>
      </c>
      <c r="G75" s="14">
        <f>data!U61</f>
        <v>9579650</v>
      </c>
      <c r="H75" s="14">
        <f>data!V61</f>
        <v>0</v>
      </c>
      <c r="I75" s="14">
        <f>data!W61</f>
        <v>971454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664485</v>
      </c>
      <c r="D76" s="14">
        <f>data!R62</f>
        <v>2814343</v>
      </c>
      <c r="E76" s="14">
        <f>data!S62</f>
        <v>615540</v>
      </c>
      <c r="F76" s="14">
        <f>data!T62</f>
        <v>177896</v>
      </c>
      <c r="G76" s="14">
        <f>data!U62</f>
        <v>2190724</v>
      </c>
      <c r="H76" s="14">
        <f>data!V62</f>
        <v>0</v>
      </c>
      <c r="I76" s="14">
        <f>data!W62</f>
        <v>266382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11453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526687</v>
      </c>
      <c r="D78" s="14">
        <f>data!R64</f>
        <v>1482303</v>
      </c>
      <c r="E78" s="14">
        <f>data!S64</f>
        <v>246458</v>
      </c>
      <c r="F78" s="14">
        <f>data!T64</f>
        <v>303435</v>
      </c>
      <c r="G78" s="14">
        <f>data!U64</f>
        <v>8058961</v>
      </c>
      <c r="H78" s="14">
        <f>data!V64</f>
        <v>0</v>
      </c>
      <c r="I78" s="14">
        <f>data!W64</f>
        <v>152780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18659</v>
      </c>
      <c r="D79" s="14">
        <f>data!R65</f>
        <v>18079</v>
      </c>
      <c r="E79" s="14">
        <f>data!S65</f>
        <v>13266</v>
      </c>
      <c r="F79" s="14">
        <f>data!T65</f>
        <v>2042</v>
      </c>
      <c r="G79" s="14">
        <f>data!U65</f>
        <v>64136</v>
      </c>
      <c r="H79" s="14">
        <f>data!V65</f>
        <v>0</v>
      </c>
      <c r="I79" s="14">
        <f>data!W65</f>
        <v>14270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44181</v>
      </c>
      <c r="D80" s="14">
        <f>data!R66</f>
        <v>10044</v>
      </c>
      <c r="E80" s="14">
        <f>data!S66</f>
        <v>30341</v>
      </c>
      <c r="F80" s="14">
        <f>data!T66</f>
        <v>827</v>
      </c>
      <c r="G80" s="14">
        <f>data!U66</f>
        <v>2736428</v>
      </c>
      <c r="H80" s="14">
        <f>data!V66</f>
        <v>0</v>
      </c>
      <c r="I80" s="14">
        <f>data!W66</f>
        <v>88863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359098</v>
      </c>
      <c r="D81" s="14">
        <f>data!R67</f>
        <v>196159</v>
      </c>
      <c r="E81" s="14">
        <f>data!S67</f>
        <v>155256</v>
      </c>
      <c r="F81" s="14">
        <f>data!T67</f>
        <v>14247</v>
      </c>
      <c r="G81" s="14">
        <f>data!U67</f>
        <v>257872</v>
      </c>
      <c r="H81" s="14">
        <f>data!V67</f>
        <v>0</v>
      </c>
      <c r="I81" s="14">
        <f>data!W67</f>
        <v>329359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96039</v>
      </c>
      <c r="D82" s="14">
        <f>data!R68</f>
        <v>18535</v>
      </c>
      <c r="E82" s="14">
        <f>data!S68</f>
        <v>5624</v>
      </c>
      <c r="F82" s="14">
        <f>data!T68</f>
        <v>0</v>
      </c>
      <c r="G82" s="14">
        <f>data!U68</f>
        <v>314137</v>
      </c>
      <c r="H82" s="14">
        <f>data!V68</f>
        <v>0</v>
      </c>
      <c r="I82" s="14">
        <f>data!W68</f>
        <v>-1048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88354</v>
      </c>
      <c r="D83" s="14">
        <f>data!R69</f>
        <v>336088</v>
      </c>
      <c r="E83" s="14">
        <f>data!S69</f>
        <v>391132</v>
      </c>
      <c r="F83" s="14">
        <f>data!T69</f>
        <v>2475</v>
      </c>
      <c r="G83" s="14">
        <f>data!U69</f>
        <v>698225</v>
      </c>
      <c r="H83" s="14">
        <f>data!V69</f>
        <v>0</v>
      </c>
      <c r="I83" s="14">
        <f>data!W69</f>
        <v>174844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-779</v>
      </c>
      <c r="E84" s="14">
        <f>-data!S70</f>
        <v>-1075</v>
      </c>
      <c r="F84" s="14">
        <f>-data!T70</f>
        <v>0</v>
      </c>
      <c r="G84" s="14">
        <f>-data!U70</f>
        <v>-6481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5560630</v>
      </c>
      <c r="D85" s="14">
        <f>data!R71</f>
        <v>14961570</v>
      </c>
      <c r="E85" s="14">
        <f>data!S71</f>
        <v>4959577</v>
      </c>
      <c r="F85" s="14">
        <f>data!T71</f>
        <v>1514077</v>
      </c>
      <c r="G85" s="14">
        <f>data!U71</f>
        <v>23905105</v>
      </c>
      <c r="H85" s="14">
        <f>data!V71</f>
        <v>0</v>
      </c>
      <c r="I85" s="14">
        <f>data!W71</f>
        <v>1996904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2059246</v>
      </c>
      <c r="D87" s="48">
        <f>+data!M683</f>
        <v>2655469</v>
      </c>
      <c r="E87" s="48">
        <f>+data!M684</f>
        <v>767027</v>
      </c>
      <c r="F87" s="48">
        <f>+data!M685</f>
        <v>244804</v>
      </c>
      <c r="G87" s="48">
        <f>+data!M686</f>
        <v>6151036</v>
      </c>
      <c r="H87" s="48">
        <f>+data!M687</f>
        <v>0</v>
      </c>
      <c r="I87" s="48">
        <f>+data!M688</f>
        <v>975754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4656190</v>
      </c>
      <c r="D88" s="14">
        <f>data!R73</f>
        <v>4155485</v>
      </c>
      <c r="E88" s="14">
        <f>data!S73</f>
        <v>0</v>
      </c>
      <c r="F88" s="14">
        <f>data!T73</f>
        <v>1769042</v>
      </c>
      <c r="G88" s="14">
        <f>data!U73</f>
        <v>23229251</v>
      </c>
      <c r="H88" s="14">
        <f>data!V73</f>
        <v>0</v>
      </c>
      <c r="I88" s="14">
        <f>data!W73</f>
        <v>2069807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9524171</v>
      </c>
      <c r="D89" s="14">
        <f>data!R74</f>
        <v>32588787</v>
      </c>
      <c r="E89" s="14">
        <f>data!S74</f>
        <v>0</v>
      </c>
      <c r="F89" s="14">
        <f>data!T74</f>
        <v>342530</v>
      </c>
      <c r="G89" s="14">
        <f>data!U74</f>
        <v>75449910</v>
      </c>
      <c r="H89" s="14">
        <f>data!V74</f>
        <v>0</v>
      </c>
      <c r="I89" s="14">
        <f>data!W74</f>
        <v>13843997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14180361</v>
      </c>
      <c r="D90" s="14">
        <f>data!R75</f>
        <v>36744272</v>
      </c>
      <c r="E90" s="14">
        <f>data!S75</f>
        <v>0</v>
      </c>
      <c r="F90" s="14">
        <f>data!T75</f>
        <v>2111572</v>
      </c>
      <c r="G90" s="14">
        <f>data!U75</f>
        <v>98679161</v>
      </c>
      <c r="H90" s="14">
        <f>data!V75</f>
        <v>0</v>
      </c>
      <c r="I90" s="14">
        <f>data!W75</f>
        <v>15913804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28232</v>
      </c>
      <c r="D92" s="14">
        <f>data!R76</f>
        <v>18914</v>
      </c>
      <c r="E92" s="14">
        <f>data!S76</f>
        <v>17954</v>
      </c>
      <c r="F92" s="14">
        <f>data!T76</f>
        <v>923</v>
      </c>
      <c r="G92" s="14">
        <f>data!U76</f>
        <v>29747</v>
      </c>
      <c r="H92" s="14">
        <f>data!V76</f>
        <v>0</v>
      </c>
      <c r="I92" s="14">
        <f>data!W76</f>
        <v>6687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207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1294</v>
      </c>
      <c r="D94" s="14">
        <f>data!R78</f>
        <v>867</v>
      </c>
      <c r="E94" s="14">
        <f>data!S78</f>
        <v>823</v>
      </c>
      <c r="F94" s="14">
        <f>data!T78</f>
        <v>42</v>
      </c>
      <c r="G94" s="14">
        <f>data!U78</f>
        <v>1364</v>
      </c>
      <c r="H94" s="14">
        <f>data!V78</f>
        <v>0</v>
      </c>
      <c r="I94" s="14">
        <f>data!W78</f>
        <v>307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8300</v>
      </c>
      <c r="D95" s="14">
        <f>data!R79</f>
        <v>18000</v>
      </c>
      <c r="E95" s="14">
        <f>data!S79</f>
        <v>0</v>
      </c>
      <c r="F95" s="14">
        <f>data!T79</f>
        <v>400</v>
      </c>
      <c r="G95" s="14">
        <f>data!U79</f>
        <v>23500</v>
      </c>
      <c r="H95" s="14">
        <f>data!V79</f>
        <v>0</v>
      </c>
      <c r="I95" s="14">
        <f>data!W79</f>
        <v>4000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69.260000000000005</v>
      </c>
      <c r="D96" s="84">
        <f>data!R80</f>
        <v>5.9</v>
      </c>
      <c r="E96" s="84">
        <f>data!S80</f>
        <v>0.01</v>
      </c>
      <c r="F96" s="84">
        <f>data!T80</f>
        <v>16.13</v>
      </c>
      <c r="G96" s="84">
        <f>data!U80</f>
        <v>12.2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Virginia Mason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83033</v>
      </c>
      <c r="D105" s="14">
        <f>data!Y59</f>
        <v>82589</v>
      </c>
      <c r="E105" s="14">
        <f>data!Z59</f>
        <v>193797</v>
      </c>
      <c r="F105" s="14">
        <f>data!AA59</f>
        <v>11808</v>
      </c>
      <c r="G105" s="212"/>
      <c r="H105" s="14">
        <f>data!AC59</f>
        <v>124551</v>
      </c>
      <c r="I105" s="14">
        <f>data!AD59</f>
        <v>8556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18.149999999999999</v>
      </c>
      <c r="D106" s="26">
        <f>data!Y60</f>
        <v>108.38</v>
      </c>
      <c r="E106" s="26">
        <f>data!Z60</f>
        <v>37.119999999999997</v>
      </c>
      <c r="F106" s="26">
        <f>data!AA60</f>
        <v>7.41</v>
      </c>
      <c r="G106" s="26">
        <f>data!AB60</f>
        <v>82.82</v>
      </c>
      <c r="H106" s="26">
        <f>data!AC60</f>
        <v>19.77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1822542</v>
      </c>
      <c r="D107" s="14">
        <f>data!Y61</f>
        <v>6769925</v>
      </c>
      <c r="E107" s="14">
        <f>data!Z61</f>
        <v>3267171</v>
      </c>
      <c r="F107" s="14">
        <f>data!AA61</f>
        <v>557335</v>
      </c>
      <c r="G107" s="14">
        <f>data!AB61</f>
        <v>4847594</v>
      </c>
      <c r="H107" s="14">
        <f>data!AC61</f>
        <v>893344</v>
      </c>
      <c r="I107" s="14">
        <f>data!AD61</f>
        <v>7665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520549</v>
      </c>
      <c r="D108" s="14">
        <f>data!Y62</f>
        <v>1504545</v>
      </c>
      <c r="E108" s="14">
        <f>data!Z62</f>
        <v>884060</v>
      </c>
      <c r="F108" s="14">
        <f>data!AA62</f>
        <v>131445</v>
      </c>
      <c r="G108" s="14">
        <f>data!AB62</f>
        <v>863088</v>
      </c>
      <c r="H108" s="14">
        <f>data!AC62</f>
        <v>157059</v>
      </c>
      <c r="I108" s="14">
        <f>data!AD62</f>
        <v>2105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21162</v>
      </c>
      <c r="E109" s="14">
        <f>data!Z63</f>
        <v>92833</v>
      </c>
      <c r="F109" s="14">
        <f>data!AA63</f>
        <v>0</v>
      </c>
      <c r="G109" s="14">
        <f>data!AB63</f>
        <v>2776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392775</v>
      </c>
      <c r="D110" s="14">
        <f>data!Y64</f>
        <v>3101252</v>
      </c>
      <c r="E110" s="14">
        <f>data!Z64</f>
        <v>131445</v>
      </c>
      <c r="F110" s="14">
        <f>data!AA64</f>
        <v>3474835</v>
      </c>
      <c r="G110" s="14">
        <f>data!AB64</f>
        <v>20171016</v>
      </c>
      <c r="H110" s="14">
        <f>data!AC64</f>
        <v>148164</v>
      </c>
      <c r="I110" s="14">
        <f>data!AD64</f>
        <v>49318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5802</v>
      </c>
      <c r="D111" s="14">
        <f>data!Y65</f>
        <v>31289</v>
      </c>
      <c r="E111" s="14">
        <f>data!Z65</f>
        <v>18109</v>
      </c>
      <c r="F111" s="14">
        <f>data!AA65</f>
        <v>2699</v>
      </c>
      <c r="G111" s="14">
        <f>data!AB65</f>
        <v>18945</v>
      </c>
      <c r="H111" s="14">
        <f>data!AC65</f>
        <v>2392</v>
      </c>
      <c r="I111" s="14">
        <f>data!AD65</f>
        <v>1089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32066</v>
      </c>
      <c r="D112" s="14">
        <f>data!Y66</f>
        <v>44659</v>
      </c>
      <c r="E112" s="14">
        <f>data!Z66</f>
        <v>313036</v>
      </c>
      <c r="F112" s="14">
        <f>data!AA66</f>
        <v>7635</v>
      </c>
      <c r="G112" s="14">
        <f>data!AB66</f>
        <v>25311</v>
      </c>
      <c r="H112" s="14">
        <f>data!AC66</f>
        <v>2139</v>
      </c>
      <c r="I112" s="14">
        <f>data!AD66</f>
        <v>1264379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272589</v>
      </c>
      <c r="D113" s="14">
        <f>data!Y67</f>
        <v>1830296</v>
      </c>
      <c r="E113" s="14">
        <f>data!Z67</f>
        <v>234769</v>
      </c>
      <c r="F113" s="14">
        <f>data!AA67</f>
        <v>53917</v>
      </c>
      <c r="G113" s="14">
        <f>data!AB67</f>
        <v>186079</v>
      </c>
      <c r="H113" s="14">
        <f>data!AC67</f>
        <v>48009</v>
      </c>
      <c r="I113" s="14">
        <f>data!AD67</f>
        <v>164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404</v>
      </c>
      <c r="D114" s="14">
        <f>data!Y68</f>
        <v>2408</v>
      </c>
      <c r="E114" s="14">
        <f>data!Z68</f>
        <v>0</v>
      </c>
      <c r="F114" s="14">
        <f>data!AA68</f>
        <v>165</v>
      </c>
      <c r="G114" s="14">
        <f>data!AB68</f>
        <v>92246</v>
      </c>
      <c r="H114" s="14">
        <f>data!AC68</f>
        <v>5573</v>
      </c>
      <c r="I114" s="14">
        <f>data!AD68</f>
        <v>1705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192099</v>
      </c>
      <c r="D115" s="14">
        <f>data!Y69</f>
        <v>1454530</v>
      </c>
      <c r="E115" s="14">
        <f>data!Z69</f>
        <v>167955</v>
      </c>
      <c r="F115" s="14">
        <f>data!AA69</f>
        <v>83660</v>
      </c>
      <c r="G115" s="14">
        <f>data!AB69</f>
        <v>327390</v>
      </c>
      <c r="H115" s="14">
        <f>data!AC69</f>
        <v>79159</v>
      </c>
      <c r="I115" s="14">
        <f>data!AD69</f>
        <v>14875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-14888</v>
      </c>
      <c r="E116" s="14">
        <f>-data!Z70</f>
        <v>-1029693</v>
      </c>
      <c r="F116" s="14">
        <f>-data!AA70</f>
        <v>0</v>
      </c>
      <c r="G116" s="14">
        <f>-data!AB70</f>
        <v>-138550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3238826</v>
      </c>
      <c r="D117" s="14">
        <f>data!Y71</f>
        <v>14745178</v>
      </c>
      <c r="E117" s="14">
        <f>data!Z71</f>
        <v>4079685</v>
      </c>
      <c r="F117" s="14">
        <f>data!AA71</f>
        <v>4311691</v>
      </c>
      <c r="G117" s="14">
        <f>data!AB71</f>
        <v>26395895</v>
      </c>
      <c r="H117" s="14">
        <f>data!AC71</f>
        <v>1335839</v>
      </c>
      <c r="I117" s="14">
        <f>data!AD71</f>
        <v>1341300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1686472</v>
      </c>
      <c r="D119" s="48">
        <f>+data!M690</f>
        <v>4205879</v>
      </c>
      <c r="E119" s="48">
        <f>+data!M691</f>
        <v>1245103</v>
      </c>
      <c r="F119" s="48">
        <f>+data!M692</f>
        <v>1179995</v>
      </c>
      <c r="G119" s="48">
        <f>+data!M693</f>
        <v>2959171</v>
      </c>
      <c r="H119" s="48">
        <f>+data!M694</f>
        <v>485540</v>
      </c>
      <c r="I119" s="48">
        <f>+data!M695</f>
        <v>238859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8024475</v>
      </c>
      <c r="D120" s="14">
        <f>data!Y73</f>
        <v>18799224</v>
      </c>
      <c r="E120" s="14">
        <f>data!Z73</f>
        <v>658925</v>
      </c>
      <c r="F120" s="14">
        <f>data!AA73</f>
        <v>528276</v>
      </c>
      <c r="G120" s="14">
        <f>data!AB73</f>
        <v>20240474</v>
      </c>
      <c r="H120" s="14">
        <f>data!AC73</f>
        <v>8998337</v>
      </c>
      <c r="I120" s="14">
        <f>data!AD73</f>
        <v>3369105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24347400</v>
      </c>
      <c r="D121" s="14">
        <f>data!Y74</f>
        <v>36686654</v>
      </c>
      <c r="E121" s="14">
        <f>data!Z74</f>
        <v>15939977</v>
      </c>
      <c r="F121" s="14">
        <f>data!AA74</f>
        <v>17817942</v>
      </c>
      <c r="G121" s="14">
        <f>data!AB74</f>
        <v>17206705</v>
      </c>
      <c r="H121" s="14">
        <f>data!AC74</f>
        <v>308464</v>
      </c>
      <c r="I121" s="14">
        <f>data!AD74</f>
        <v>236851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32371875</v>
      </c>
      <c r="D122" s="14">
        <f>data!Y75</f>
        <v>55485878</v>
      </c>
      <c r="E122" s="14">
        <f>data!Z75</f>
        <v>16598902</v>
      </c>
      <c r="F122" s="14">
        <f>data!AA75</f>
        <v>18346218</v>
      </c>
      <c r="G122" s="14">
        <f>data!AB75</f>
        <v>37447179</v>
      </c>
      <c r="H122" s="14">
        <f>data!AC75</f>
        <v>9306801</v>
      </c>
      <c r="I122" s="14">
        <f>data!AD75</f>
        <v>3605956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4017</v>
      </c>
      <c r="D124" s="14">
        <f>data!Y76</f>
        <v>34405</v>
      </c>
      <c r="E124" s="14">
        <f>data!Z76</f>
        <v>11308</v>
      </c>
      <c r="F124" s="14">
        <f>data!AA76</f>
        <v>6073</v>
      </c>
      <c r="G124" s="14">
        <f>data!AB76</f>
        <v>11046</v>
      </c>
      <c r="H124" s="14">
        <f>data!AC76</f>
        <v>880</v>
      </c>
      <c r="I124" s="14">
        <f>data!AD76</f>
        <v>1579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3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184</v>
      </c>
      <c r="D126" s="14">
        <f>data!Y78</f>
        <v>1577</v>
      </c>
      <c r="E126" s="14">
        <f>data!Z78</f>
        <v>518</v>
      </c>
      <c r="F126" s="14">
        <f>data!AA78</f>
        <v>278</v>
      </c>
      <c r="G126" s="14">
        <f>data!AB78</f>
        <v>506</v>
      </c>
      <c r="H126" s="14">
        <f>data!AC78</f>
        <v>40</v>
      </c>
      <c r="I126" s="14">
        <f>data!AD78</f>
        <v>72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43000</v>
      </c>
      <c r="D127" s="14">
        <f>data!Y79</f>
        <v>157000</v>
      </c>
      <c r="E127" s="14">
        <f>data!Z79</f>
        <v>13200</v>
      </c>
      <c r="F127" s="14">
        <f>data!AA79</f>
        <v>15000</v>
      </c>
      <c r="G127" s="14">
        <f>data!AB79</f>
        <v>0</v>
      </c>
      <c r="H127" s="14">
        <f>data!AC79</f>
        <v>5000</v>
      </c>
      <c r="I127" s="14">
        <f>data!AD79</f>
        <v>1000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11.54</v>
      </c>
      <c r="E128" s="26">
        <f>data!Z80</f>
        <v>4.66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Virginia Mason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113199</v>
      </c>
      <c r="D137" s="14">
        <f>data!AF59</f>
        <v>1185</v>
      </c>
      <c r="E137" s="14">
        <f>data!AG59</f>
        <v>9844</v>
      </c>
      <c r="F137" s="14">
        <f>data!AH59</f>
        <v>0</v>
      </c>
      <c r="G137" s="14">
        <f>data!AI59</f>
        <v>0</v>
      </c>
      <c r="H137" s="14">
        <f>data!AJ59</f>
        <v>164612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64.77</v>
      </c>
      <c r="D138" s="26">
        <f>data!AF60</f>
        <v>5.38</v>
      </c>
      <c r="E138" s="26">
        <f>data!AG60</f>
        <v>67.88</v>
      </c>
      <c r="F138" s="26">
        <f>data!AH60</f>
        <v>0</v>
      </c>
      <c r="G138" s="26">
        <f>data!AI60</f>
        <v>0</v>
      </c>
      <c r="H138" s="26">
        <f>data!AJ60</f>
        <v>872.12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3671795</v>
      </c>
      <c r="D139" s="14">
        <f>data!AF61</f>
        <v>339940</v>
      </c>
      <c r="E139" s="14">
        <f>data!AG61</f>
        <v>4917445</v>
      </c>
      <c r="F139" s="14">
        <f>data!AH61</f>
        <v>0</v>
      </c>
      <c r="G139" s="14">
        <f>data!AI61</f>
        <v>0</v>
      </c>
      <c r="H139" s="14">
        <f>data!AJ61</f>
        <v>71452595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801985</v>
      </c>
      <c r="D140" s="14">
        <f>data!AF62</f>
        <v>96635</v>
      </c>
      <c r="E140" s="14">
        <f>data!AG62</f>
        <v>1268705</v>
      </c>
      <c r="F140" s="14">
        <f>data!AH62</f>
        <v>0</v>
      </c>
      <c r="G140" s="14">
        <f>data!AI62</f>
        <v>0</v>
      </c>
      <c r="H140" s="14">
        <f>data!AJ62</f>
        <v>20362432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257247</v>
      </c>
      <c r="F141" s="14">
        <f>data!AH63</f>
        <v>0</v>
      </c>
      <c r="G141" s="14">
        <f>data!AI63</f>
        <v>0</v>
      </c>
      <c r="H141" s="14">
        <f>data!AJ63</f>
        <v>362626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426227</v>
      </c>
      <c r="D142" s="14">
        <f>data!AF64</f>
        <v>325</v>
      </c>
      <c r="E142" s="14">
        <f>data!AG64</f>
        <v>412386</v>
      </c>
      <c r="F142" s="14">
        <f>data!AH64</f>
        <v>0</v>
      </c>
      <c r="G142" s="14">
        <f>data!AI64</f>
        <v>0</v>
      </c>
      <c r="H142" s="14">
        <f>data!AJ64</f>
        <v>43923290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15375</v>
      </c>
      <c r="D143" s="14">
        <f>data!AF65</f>
        <v>1259</v>
      </c>
      <c r="E143" s="14">
        <f>data!AG65</f>
        <v>13514</v>
      </c>
      <c r="F143" s="14">
        <f>data!AH65</f>
        <v>0</v>
      </c>
      <c r="G143" s="14">
        <f>data!AI65</f>
        <v>0</v>
      </c>
      <c r="H143" s="14">
        <f>data!AJ65</f>
        <v>342921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21406</v>
      </c>
      <c r="D144" s="14">
        <f>data!AF66</f>
        <v>208</v>
      </c>
      <c r="E144" s="14">
        <f>data!AG66</f>
        <v>20494</v>
      </c>
      <c r="F144" s="14">
        <f>data!AH66</f>
        <v>0</v>
      </c>
      <c r="G144" s="14">
        <f>data!AI66</f>
        <v>0</v>
      </c>
      <c r="H144" s="14">
        <f>data!AJ66</f>
        <v>1384024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17816</v>
      </c>
      <c r="D145" s="14">
        <f>data!AF67</f>
        <v>5818</v>
      </c>
      <c r="E145" s="14">
        <f>data!AG67</f>
        <v>281561</v>
      </c>
      <c r="F145" s="14">
        <f>data!AH67</f>
        <v>0</v>
      </c>
      <c r="G145" s="14">
        <f>data!AI67</f>
        <v>0</v>
      </c>
      <c r="H145" s="14">
        <f>data!AJ67</f>
        <v>1055169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10002</v>
      </c>
      <c r="D146" s="14">
        <f>data!AF68</f>
        <v>0</v>
      </c>
      <c r="E146" s="14">
        <f>data!AG68</f>
        <v>779</v>
      </c>
      <c r="F146" s="14">
        <f>data!AH68</f>
        <v>0</v>
      </c>
      <c r="G146" s="14">
        <f>data!AI68</f>
        <v>0</v>
      </c>
      <c r="H146" s="14">
        <f>data!AJ68</f>
        <v>67720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16844</v>
      </c>
      <c r="D147" s="14">
        <f>data!AF69</f>
        <v>424</v>
      </c>
      <c r="E147" s="14">
        <f>data!AG69</f>
        <v>46122</v>
      </c>
      <c r="F147" s="14">
        <f>data!AH69</f>
        <v>0</v>
      </c>
      <c r="G147" s="14">
        <f>data!AI69</f>
        <v>0</v>
      </c>
      <c r="H147" s="14">
        <f>data!AJ69</f>
        <v>1626149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-368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-1972300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4981082</v>
      </c>
      <c r="D149" s="14">
        <f>data!AF71</f>
        <v>444609</v>
      </c>
      <c r="E149" s="14">
        <f>data!AG71</f>
        <v>7218253</v>
      </c>
      <c r="F149" s="14">
        <f>data!AH71</f>
        <v>0</v>
      </c>
      <c r="G149" s="14">
        <f>data!AI71</f>
        <v>0</v>
      </c>
      <c r="H149" s="14">
        <f>data!AJ71</f>
        <v>138604626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1318588</v>
      </c>
      <c r="D151" s="48">
        <f>+data!M697</f>
        <v>63386</v>
      </c>
      <c r="E151" s="48">
        <f>+data!M698</f>
        <v>2586665</v>
      </c>
      <c r="F151" s="48">
        <f>+data!M699</f>
        <v>0</v>
      </c>
      <c r="G151" s="48">
        <f>+data!M700</f>
        <v>0</v>
      </c>
      <c r="H151" s="48">
        <f>+data!M701</f>
        <v>27507046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4171779</v>
      </c>
      <c r="D152" s="14">
        <f>data!AF73</f>
        <v>0</v>
      </c>
      <c r="E152" s="14">
        <f>data!AG73</f>
        <v>7730756</v>
      </c>
      <c r="F152" s="14">
        <f>data!AH73</f>
        <v>0</v>
      </c>
      <c r="G152" s="14">
        <f>data!AI73</f>
        <v>0</v>
      </c>
      <c r="H152" s="14">
        <f>data!AJ73</f>
        <v>16433258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6748093</v>
      </c>
      <c r="D153" s="14">
        <f>data!AF74</f>
        <v>319683</v>
      </c>
      <c r="E153" s="14">
        <f>data!AG74</f>
        <v>24974134</v>
      </c>
      <c r="F153" s="14">
        <f>data!AH74</f>
        <v>0</v>
      </c>
      <c r="G153" s="14">
        <f>data!AI74</f>
        <v>0</v>
      </c>
      <c r="H153" s="14">
        <f>data!AJ74</f>
        <v>317379528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10919872</v>
      </c>
      <c r="D154" s="14">
        <f>data!AF75</f>
        <v>319683</v>
      </c>
      <c r="E154" s="14">
        <f>data!AG75</f>
        <v>32704890</v>
      </c>
      <c r="F154" s="14">
        <f>data!AH75</f>
        <v>0</v>
      </c>
      <c r="G154" s="14">
        <f>data!AI75</f>
        <v>0</v>
      </c>
      <c r="H154" s="14">
        <f>data!AJ75</f>
        <v>333812786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19012</v>
      </c>
      <c r="D156" s="14">
        <f>data!AF76</f>
        <v>1035</v>
      </c>
      <c r="E156" s="14">
        <f>data!AG76</f>
        <v>15085</v>
      </c>
      <c r="F156" s="14">
        <f>data!AH76</f>
        <v>0</v>
      </c>
      <c r="G156" s="14">
        <f>data!AI76</f>
        <v>0</v>
      </c>
      <c r="H156" s="14">
        <f>data!AJ76</f>
        <v>217767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14346</v>
      </c>
      <c r="F157" s="14">
        <f>data!AH77</f>
        <v>0</v>
      </c>
      <c r="G157" s="14">
        <f>data!AI77</f>
        <v>0</v>
      </c>
      <c r="H157" s="14">
        <f>data!AJ77</f>
        <v>157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872</v>
      </c>
      <c r="D158" s="14">
        <f>data!AF78</f>
        <v>47</v>
      </c>
      <c r="E158" s="14">
        <f>data!AG78</f>
        <v>692</v>
      </c>
      <c r="F158" s="14">
        <f>data!AH78</f>
        <v>0</v>
      </c>
      <c r="G158" s="14">
        <f>data!AI78</f>
        <v>0</v>
      </c>
      <c r="H158" s="14">
        <f>data!AJ78</f>
        <v>9983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7200</v>
      </c>
      <c r="D159" s="14">
        <f>data!AF79</f>
        <v>0</v>
      </c>
      <c r="E159" s="14">
        <f>data!AG79</f>
        <v>67000</v>
      </c>
      <c r="F159" s="14">
        <f>data!AH79</f>
        <v>0</v>
      </c>
      <c r="G159" s="14">
        <f>data!AI79</f>
        <v>0</v>
      </c>
      <c r="H159" s="14">
        <f>data!AJ79</f>
        <v>142000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12.29</v>
      </c>
      <c r="D160" s="26">
        <f>data!AF80</f>
        <v>0.72</v>
      </c>
      <c r="E160" s="26">
        <f>data!AG80</f>
        <v>33.700000000000003</v>
      </c>
      <c r="F160" s="26">
        <f>data!AH80</f>
        <v>0</v>
      </c>
      <c r="G160" s="26">
        <f>data!AI80</f>
        <v>0</v>
      </c>
      <c r="H160" s="26">
        <f>data!AJ80</f>
        <v>298.61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Virginia Mason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283523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823.31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52284455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14020733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29732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18186961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890588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1155837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2491304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5594474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2264015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-1129335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95788764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23739609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13408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226237861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226251269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275284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12620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181000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379.68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Virginia Mason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52</v>
      </c>
      <c r="E201" s="14">
        <f>data!AU59</f>
        <v>0</v>
      </c>
      <c r="F201" s="212"/>
      <c r="G201" s="212"/>
      <c r="H201" s="212"/>
      <c r="I201" s="14">
        <f>data!AY59</f>
        <v>157651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21.53</v>
      </c>
      <c r="E202" s="26">
        <f>data!AU60</f>
        <v>0</v>
      </c>
      <c r="F202" s="26">
        <f>data!AV60</f>
        <v>52.85</v>
      </c>
      <c r="G202" s="26">
        <f>data!AW60</f>
        <v>154.94999999999999</v>
      </c>
      <c r="H202" s="26">
        <f>data!AX60</f>
        <v>4.03</v>
      </c>
      <c r="I202" s="26">
        <f>data!AY60</f>
        <v>44.58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1085776</v>
      </c>
      <c r="E203" s="14">
        <f>data!AU61</f>
        <v>0</v>
      </c>
      <c r="F203" s="14">
        <f>data!AV61</f>
        <v>3434554</v>
      </c>
      <c r="G203" s="14">
        <f>data!AW61</f>
        <v>6937182</v>
      </c>
      <c r="H203" s="14">
        <f>data!AX61</f>
        <v>192728</v>
      </c>
      <c r="I203" s="14">
        <f>data!AY61</f>
        <v>1166746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226090</v>
      </c>
      <c r="E204" s="14">
        <f>data!AU62</f>
        <v>0</v>
      </c>
      <c r="F204" s="14">
        <f>data!AV62</f>
        <v>753335</v>
      </c>
      <c r="G204" s="14">
        <f>data!AW62</f>
        <v>1569936</v>
      </c>
      <c r="H204" s="14">
        <f>data!AX62</f>
        <v>33840</v>
      </c>
      <c r="I204" s="14">
        <f>data!AY62</f>
        <v>205000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157461</v>
      </c>
      <c r="E205" s="14">
        <f>data!AU63</f>
        <v>0</v>
      </c>
      <c r="F205" s="14">
        <f>data!AV63</f>
        <v>74582</v>
      </c>
      <c r="G205" s="14">
        <f>data!AW63</f>
        <v>122315</v>
      </c>
      <c r="H205" s="14">
        <f>data!AX63</f>
        <v>810648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1727389</v>
      </c>
      <c r="E206" s="14">
        <f>data!AU64</f>
        <v>0</v>
      </c>
      <c r="F206" s="14">
        <f>data!AV64</f>
        <v>7845320</v>
      </c>
      <c r="G206" s="14">
        <f>data!AW64</f>
        <v>147256</v>
      </c>
      <c r="H206" s="14">
        <f>data!AX64</f>
        <v>68</v>
      </c>
      <c r="I206" s="14">
        <f>data!AY64</f>
        <v>298171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5194</v>
      </c>
      <c r="E207" s="14">
        <f>data!AU65</f>
        <v>0</v>
      </c>
      <c r="F207" s="14">
        <f>data!AV65</f>
        <v>17587</v>
      </c>
      <c r="G207" s="14">
        <f>data!AW65</f>
        <v>20943</v>
      </c>
      <c r="H207" s="14">
        <f>data!AX65</f>
        <v>736</v>
      </c>
      <c r="I207" s="14">
        <f>data!AY65</f>
        <v>4737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574766</v>
      </c>
      <c r="E208" s="14">
        <f>data!AU66</f>
        <v>0</v>
      </c>
      <c r="F208" s="14">
        <f>data!AV66</f>
        <v>24690</v>
      </c>
      <c r="G208" s="14">
        <f>data!AW66</f>
        <v>279793</v>
      </c>
      <c r="H208" s="14">
        <f>data!AX66</f>
        <v>51283</v>
      </c>
      <c r="I208" s="14">
        <f>data!AY66</f>
        <v>599636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427</v>
      </c>
      <c r="E209" s="14">
        <f>data!AU67</f>
        <v>0</v>
      </c>
      <c r="F209" s="14">
        <f>data!AV67</f>
        <v>311244</v>
      </c>
      <c r="G209" s="14">
        <f>data!AW67</f>
        <v>45593</v>
      </c>
      <c r="H209" s="14">
        <f>data!AX67</f>
        <v>514</v>
      </c>
      <c r="I209" s="14">
        <f>data!AY67</f>
        <v>4678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33769</v>
      </c>
      <c r="G210" s="14">
        <f>data!AW68</f>
        <v>176688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9091</v>
      </c>
      <c r="E211" s="14">
        <f>data!AU69</f>
        <v>0</v>
      </c>
      <c r="F211" s="14">
        <f>data!AV69</f>
        <v>688191</v>
      </c>
      <c r="G211" s="14">
        <f>data!AW69</f>
        <v>166696</v>
      </c>
      <c r="H211" s="14">
        <f>data!AX69</f>
        <v>183485</v>
      </c>
      <c r="I211" s="14">
        <f>data!AY69</f>
        <v>52009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-495</v>
      </c>
      <c r="E212" s="14">
        <f>-data!AU70</f>
        <v>0</v>
      </c>
      <c r="F212" s="14">
        <f>-data!AV70</f>
        <v>-5347</v>
      </c>
      <c r="G212" s="14">
        <f>-data!AW70</f>
        <v>-1344</v>
      </c>
      <c r="H212" s="14">
        <f>-data!AX70</f>
        <v>-112524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3785699</v>
      </c>
      <c r="E213" s="14">
        <f>data!AU71</f>
        <v>0</v>
      </c>
      <c r="F213" s="14">
        <f>data!AV71</f>
        <v>13177925</v>
      </c>
      <c r="G213" s="14">
        <f>data!AW71</f>
        <v>9465058</v>
      </c>
      <c r="H213" s="14">
        <f>data!AX71</f>
        <v>1160778</v>
      </c>
      <c r="I213" s="14">
        <f>data!AY71</f>
        <v>2330977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517529</v>
      </c>
      <c r="E215" s="48">
        <f>+data!M712</f>
        <v>0</v>
      </c>
      <c r="F215" s="48">
        <f>+data!M713</f>
        <v>4496544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6467000</v>
      </c>
      <c r="E216" s="14">
        <f>data!AU73</f>
        <v>0</v>
      </c>
      <c r="F216" s="14">
        <f>data!AV73</f>
        <v>24321008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47885236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6467000</v>
      </c>
      <c r="E218" s="14">
        <f>data!AU75</f>
        <v>0</v>
      </c>
      <c r="F218" s="14">
        <f>data!AV75</f>
        <v>72206244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2203</v>
      </c>
      <c r="E220" s="14">
        <f>data!AU76</f>
        <v>0</v>
      </c>
      <c r="F220" s="14">
        <f>data!AV76</f>
        <v>21499</v>
      </c>
      <c r="G220" s="14">
        <f>data!AW76</f>
        <v>17575</v>
      </c>
      <c r="H220" s="14">
        <f>data!AX76</f>
        <v>2461</v>
      </c>
      <c r="I220" s="85">
        <f>data!AY76</f>
        <v>5502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30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101</v>
      </c>
      <c r="E222" s="14">
        <f>data!AU78</f>
        <v>0</v>
      </c>
      <c r="F222" s="14">
        <f>data!AV78</f>
        <v>986</v>
      </c>
      <c r="G222" s="14">
        <f>data!AW78</f>
        <v>806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29200</v>
      </c>
      <c r="G223" s="14">
        <f>data!AW79</f>
        <v>2000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8.68</v>
      </c>
      <c r="E224" s="26">
        <f>data!AU80</f>
        <v>0</v>
      </c>
      <c r="F224" s="26">
        <f>data!AV80</f>
        <v>27.78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Virginia Mason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333064</v>
      </c>
      <c r="D233" s="14">
        <f>data!BA59</f>
        <v>0</v>
      </c>
      <c r="E233" s="212"/>
      <c r="F233" s="212"/>
      <c r="G233" s="212"/>
      <c r="H233" s="14">
        <f>data!BE59</f>
        <v>1557316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23.71</v>
      </c>
      <c r="D234" s="26">
        <f>data!BA60</f>
        <v>0</v>
      </c>
      <c r="E234" s="26">
        <f>data!BB60</f>
        <v>8.69</v>
      </c>
      <c r="F234" s="26">
        <f>data!BC60</f>
        <v>0</v>
      </c>
      <c r="G234" s="26">
        <f>data!BD60</f>
        <v>43.38</v>
      </c>
      <c r="H234" s="26">
        <f>data!BE60</f>
        <v>32.659999999999997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555566</v>
      </c>
      <c r="D235" s="14">
        <f>data!BA61</f>
        <v>0</v>
      </c>
      <c r="E235" s="14">
        <f>data!BB61</f>
        <v>378698</v>
      </c>
      <c r="F235" s="14">
        <f>data!BC61</f>
        <v>0</v>
      </c>
      <c r="G235" s="14">
        <f>data!BD61</f>
        <v>2758508</v>
      </c>
      <c r="H235" s="14">
        <f>data!BE61</f>
        <v>1296051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107748</v>
      </c>
      <c r="D236" s="14">
        <f>data!BA62</f>
        <v>0</v>
      </c>
      <c r="E236" s="14">
        <f>data!BB62</f>
        <v>66867</v>
      </c>
      <c r="F236" s="14">
        <f>data!BC62</f>
        <v>0</v>
      </c>
      <c r="G236" s="14">
        <f>data!BD62</f>
        <v>538535</v>
      </c>
      <c r="H236" s="14">
        <f>data!BE62</f>
        <v>222954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701</v>
      </c>
      <c r="F237" s="14">
        <f>data!BC63</f>
        <v>0</v>
      </c>
      <c r="G237" s="14">
        <f>data!BD63</f>
        <v>393431</v>
      </c>
      <c r="H237" s="14">
        <f>data!BE63</f>
        <v>13542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917086</v>
      </c>
      <c r="D238" s="14">
        <f>data!BA64</f>
        <v>497</v>
      </c>
      <c r="E238" s="14">
        <f>data!BB64</f>
        <v>1054</v>
      </c>
      <c r="F238" s="14">
        <f>data!BC64</f>
        <v>77591</v>
      </c>
      <c r="G238" s="14">
        <f>data!BD64</f>
        <v>81920</v>
      </c>
      <c r="H238" s="14">
        <f>data!BE64</f>
        <v>391690</v>
      </c>
      <c r="I238" s="14">
        <f>data!BF64</f>
        <v>13820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16023</v>
      </c>
      <c r="D239" s="14">
        <f>data!BA65</f>
        <v>530</v>
      </c>
      <c r="E239" s="14">
        <f>data!BB65</f>
        <v>4578</v>
      </c>
      <c r="F239" s="14">
        <f>data!BC65</f>
        <v>5962</v>
      </c>
      <c r="G239" s="14">
        <f>data!BD65</f>
        <v>39603</v>
      </c>
      <c r="H239" s="14">
        <f>data!BE65</f>
        <v>2951044</v>
      </c>
      <c r="I239" s="14">
        <f>data!BF65</f>
        <v>546361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25727</v>
      </c>
      <c r="D240" s="14">
        <f>data!BA66</f>
        <v>1051081</v>
      </c>
      <c r="E240" s="14">
        <f>data!BB66</f>
        <v>1479</v>
      </c>
      <c r="F240" s="14">
        <f>data!BC66</f>
        <v>1733505</v>
      </c>
      <c r="G240" s="14">
        <f>data!BD66</f>
        <v>222990</v>
      </c>
      <c r="H240" s="14">
        <f>data!BE66</f>
        <v>2441930</v>
      </c>
      <c r="I240" s="14">
        <f>data!BF66</f>
        <v>4027939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32299</v>
      </c>
      <c r="D241" s="14">
        <f>data!BA67</f>
        <v>2846</v>
      </c>
      <c r="E241" s="14">
        <f>data!BB67</f>
        <v>615</v>
      </c>
      <c r="F241" s="14">
        <f>data!BC67</f>
        <v>72855</v>
      </c>
      <c r="G241" s="14">
        <f>data!BD67</f>
        <v>23311</v>
      </c>
      <c r="H241" s="14">
        <f>data!BE67</f>
        <v>2716487</v>
      </c>
      <c r="I241" s="14">
        <f>data!BF67</f>
        <v>32570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123122</v>
      </c>
      <c r="H242" s="14">
        <f>data!BE68</f>
        <v>338843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98546</v>
      </c>
      <c r="D243" s="14">
        <f>data!BA69</f>
        <v>39</v>
      </c>
      <c r="E243" s="14">
        <f>data!BB69</f>
        <v>5207</v>
      </c>
      <c r="F243" s="14">
        <f>data!BC69</f>
        <v>8252</v>
      </c>
      <c r="G243" s="14">
        <f>data!BD69</f>
        <v>536506</v>
      </c>
      <c r="H243" s="14">
        <f>data!BE69</f>
        <v>1074726</v>
      </c>
      <c r="I243" s="14">
        <f>data!BF69</f>
        <v>-29213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-1317964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-2502871</v>
      </c>
      <c r="H244" s="14">
        <f>-data!BE70</f>
        <v>-141126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435031</v>
      </c>
      <c r="D245" s="14">
        <f>data!BA71</f>
        <v>1054993</v>
      </c>
      <c r="E245" s="14">
        <f>data!BB71</f>
        <v>459199</v>
      </c>
      <c r="F245" s="14">
        <f>data!BC71</f>
        <v>1898165</v>
      </c>
      <c r="G245" s="14">
        <f>data!BD71</f>
        <v>2215055</v>
      </c>
      <c r="H245" s="14">
        <f>data!BE71</f>
        <v>11306141</v>
      </c>
      <c r="I245" s="14">
        <f>data!BF71</f>
        <v>4591477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17018</v>
      </c>
      <c r="D252" s="85">
        <f>data!BA76</f>
        <v>3188</v>
      </c>
      <c r="E252" s="85">
        <f>data!BB76</f>
        <v>364</v>
      </c>
      <c r="F252" s="85">
        <f>data!BC76</f>
        <v>676</v>
      </c>
      <c r="G252" s="85">
        <f>data!BD76</f>
        <v>13295</v>
      </c>
      <c r="H252" s="85">
        <f>data!BE76</f>
        <v>387118</v>
      </c>
      <c r="I252" s="85">
        <f>data!BF76</f>
        <v>8126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146</v>
      </c>
      <c r="E254" s="85">
        <f>data!BB78</f>
        <v>17</v>
      </c>
      <c r="F254" s="85">
        <f>data!BC78</f>
        <v>31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Virginia Mason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97.35</v>
      </c>
      <c r="D266" s="26">
        <f>data!BH60</f>
        <v>150.01</v>
      </c>
      <c r="E266" s="26">
        <f>data!BI60</f>
        <v>5.57</v>
      </c>
      <c r="F266" s="26">
        <f>data!BJ60</f>
        <v>20.440000000000001</v>
      </c>
      <c r="G266" s="26">
        <f>data!BK60</f>
        <v>195.15</v>
      </c>
      <c r="H266" s="26">
        <f>data!BL60</f>
        <v>77.08</v>
      </c>
      <c r="I266" s="26">
        <f>data!BM60</f>
        <v>19.440000000000001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2366609</v>
      </c>
      <c r="D267" s="14">
        <f>data!BH61</f>
        <v>8957832</v>
      </c>
      <c r="E267" s="14">
        <f>data!BI61</f>
        <v>467781</v>
      </c>
      <c r="F267" s="14">
        <f>data!BJ61</f>
        <v>972401</v>
      </c>
      <c r="G267" s="14">
        <f>data!BK61</f>
        <v>6967671</v>
      </c>
      <c r="H267" s="14">
        <f>data!BL61</f>
        <v>2669413</v>
      </c>
      <c r="I267" s="14">
        <f>data!BM61</f>
        <v>1139667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417844</v>
      </c>
      <c r="D268" s="14">
        <f>data!BH62</f>
        <v>1406970</v>
      </c>
      <c r="E268" s="14">
        <f>data!BI62</f>
        <v>92621</v>
      </c>
      <c r="F268" s="14">
        <f>data!BJ62</f>
        <v>164187</v>
      </c>
      <c r="G268" s="14">
        <f>data!BK62</f>
        <v>1273806</v>
      </c>
      <c r="H268" s="14">
        <f>data!BL62</f>
        <v>475505</v>
      </c>
      <c r="I268" s="14">
        <f>data!BM62</f>
        <v>215651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317</v>
      </c>
      <c r="E269" s="14">
        <f>data!BI63</f>
        <v>0</v>
      </c>
      <c r="F269" s="14">
        <f>data!BJ63</f>
        <v>0</v>
      </c>
      <c r="G269" s="14">
        <f>data!BK63</f>
        <v>2316896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1785</v>
      </c>
      <c r="D270" s="14">
        <f>data!BH64</f>
        <v>-126770</v>
      </c>
      <c r="E270" s="14">
        <f>data!BI64</f>
        <v>61721</v>
      </c>
      <c r="F270" s="14">
        <f>data!BJ64</f>
        <v>8340</v>
      </c>
      <c r="G270" s="14">
        <f>data!BK64</f>
        <v>208082</v>
      </c>
      <c r="H270" s="14">
        <f>data!BL64</f>
        <v>14813</v>
      </c>
      <c r="I270" s="14">
        <f>data!BM64</f>
        <v>3612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34857</v>
      </c>
      <c r="D271" s="14">
        <f>data!BH65</f>
        <v>397056</v>
      </c>
      <c r="E271" s="14">
        <f>data!BI65</f>
        <v>6703</v>
      </c>
      <c r="F271" s="14">
        <f>data!BJ65</f>
        <v>7192</v>
      </c>
      <c r="G271" s="14">
        <f>data!BK65</f>
        <v>40094</v>
      </c>
      <c r="H271" s="14">
        <f>data!BL65</f>
        <v>24491</v>
      </c>
      <c r="I271" s="14">
        <f>data!BM65</f>
        <v>4036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17</v>
      </c>
      <c r="D272" s="14">
        <f>data!BH66</f>
        <v>370774</v>
      </c>
      <c r="E272" s="14">
        <f>data!BI66</f>
        <v>328224</v>
      </c>
      <c r="F272" s="14">
        <f>data!BJ66</f>
        <v>224063</v>
      </c>
      <c r="G272" s="14">
        <f>data!BK66</f>
        <v>377029</v>
      </c>
      <c r="H272" s="14">
        <f>data!BL66</f>
        <v>2</v>
      </c>
      <c r="I272" s="14">
        <f>data!BM66</f>
        <v>142435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14876</v>
      </c>
      <c r="D273" s="14">
        <f>data!BH67</f>
        <v>2623442</v>
      </c>
      <c r="E273" s="14">
        <f>data!BI67</f>
        <v>10379</v>
      </c>
      <c r="F273" s="14">
        <f>data!BJ67</f>
        <v>36279</v>
      </c>
      <c r="G273" s="14">
        <f>data!BK67</f>
        <v>105801</v>
      </c>
      <c r="H273" s="14">
        <f>data!BL67</f>
        <v>3032</v>
      </c>
      <c r="I273" s="14">
        <f>data!BM67</f>
        <v>16796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318865</v>
      </c>
      <c r="D274" s="14">
        <f>data!BH68</f>
        <v>1554507</v>
      </c>
      <c r="E274" s="14">
        <f>data!BI68</f>
        <v>0</v>
      </c>
      <c r="F274" s="14">
        <f>data!BJ68</f>
        <v>62641</v>
      </c>
      <c r="G274" s="14">
        <f>data!BK68</f>
        <v>438620</v>
      </c>
      <c r="H274" s="14">
        <f>data!BL68</f>
        <v>0</v>
      </c>
      <c r="I274" s="14">
        <f>data!BM68</f>
        <v>41611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99373</v>
      </c>
      <c r="D275" s="14">
        <f>data!BH69</f>
        <v>4227948</v>
      </c>
      <c r="E275" s="14">
        <f>data!BI69</f>
        <v>299679</v>
      </c>
      <c r="F275" s="14">
        <f>data!BJ69</f>
        <v>30787</v>
      </c>
      <c r="G275" s="14">
        <f>data!BK69</f>
        <v>615133</v>
      </c>
      <c r="H275" s="14">
        <f>data!BL69</f>
        <v>5992</v>
      </c>
      <c r="I275" s="14">
        <f>data!BM69</f>
        <v>33792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-650</v>
      </c>
      <c r="G276" s="14">
        <f>-data!BK70</f>
        <v>0</v>
      </c>
      <c r="H276" s="14">
        <f>-data!BL70</f>
        <v>0</v>
      </c>
      <c r="I276" s="14">
        <f>-data!BM70</f>
        <v>-207235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3254226</v>
      </c>
      <c r="D277" s="14">
        <f>data!BH71</f>
        <v>19412076</v>
      </c>
      <c r="E277" s="14">
        <f>data!BI71</f>
        <v>1267108</v>
      </c>
      <c r="F277" s="14">
        <f>data!BJ71</f>
        <v>1505240</v>
      </c>
      <c r="G277" s="14">
        <f>data!BK71</f>
        <v>12343132</v>
      </c>
      <c r="H277" s="14">
        <f>data!BL71</f>
        <v>3193248</v>
      </c>
      <c r="I277" s="14">
        <f>data!BM71</f>
        <v>1390365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11809</v>
      </c>
      <c r="D284" s="85">
        <f>data!BH76</f>
        <v>45795</v>
      </c>
      <c r="E284" s="85">
        <f>data!BI76</f>
        <v>7120</v>
      </c>
      <c r="F284" s="85">
        <f>data!BJ76</f>
        <v>3401</v>
      </c>
      <c r="G284" s="85">
        <f>data!BK76</f>
        <v>23816</v>
      </c>
      <c r="H284" s="85">
        <f>data!BL76</f>
        <v>7429</v>
      </c>
      <c r="I284" s="85">
        <f>data!BM76</f>
        <v>4174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2099</v>
      </c>
      <c r="E286" s="85">
        <f>data!BI78</f>
        <v>326</v>
      </c>
      <c r="F286" s="213" t="str">
        <f>IF(data!BJ78&gt;0,data!BJ78,"")</f>
        <v>x</v>
      </c>
      <c r="G286" s="85">
        <f>data!BK78</f>
        <v>1092</v>
      </c>
      <c r="H286" s="85">
        <f>data!BL78</f>
        <v>341</v>
      </c>
      <c r="I286" s="85">
        <f>data!BM78</f>
        <v>191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620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Virginia Mason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50.29</v>
      </c>
      <c r="D298" s="26">
        <f>data!BO60</f>
        <v>10.220000000000001</v>
      </c>
      <c r="E298" s="26">
        <f>data!BP60</f>
        <v>12.41</v>
      </c>
      <c r="F298" s="26">
        <f>data!BQ60</f>
        <v>0</v>
      </c>
      <c r="G298" s="26">
        <f>data!BR60</f>
        <v>5.84</v>
      </c>
      <c r="H298" s="26">
        <f>data!BS60</f>
        <v>0</v>
      </c>
      <c r="I298" s="26">
        <f>data!BT60</f>
        <v>1.62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4329162</v>
      </c>
      <c r="D299" s="14">
        <f>data!BO61</f>
        <v>500625</v>
      </c>
      <c r="E299" s="14">
        <f>data!BP61</f>
        <v>766950</v>
      </c>
      <c r="F299" s="14">
        <f>data!BQ61</f>
        <v>0</v>
      </c>
      <c r="G299" s="14">
        <f>data!BR61</f>
        <v>291179</v>
      </c>
      <c r="H299" s="14">
        <f>data!BS61</f>
        <v>0</v>
      </c>
      <c r="I299" s="14">
        <f>data!BT61</f>
        <v>64875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1098960</v>
      </c>
      <c r="D300" s="14">
        <f>data!BO62</f>
        <v>93147</v>
      </c>
      <c r="E300" s="14">
        <f>data!BP62</f>
        <v>134676</v>
      </c>
      <c r="F300" s="14">
        <f>data!BQ62</f>
        <v>0</v>
      </c>
      <c r="G300" s="14">
        <f>data!BR62</f>
        <v>142764</v>
      </c>
      <c r="H300" s="14">
        <f>data!BS62</f>
        <v>0</v>
      </c>
      <c r="I300" s="14">
        <f>data!BT62</f>
        <v>11391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80585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8896</v>
      </c>
      <c r="D302" s="14">
        <f>data!BO64</f>
        <v>21688</v>
      </c>
      <c r="E302" s="14">
        <f>data!BP64</f>
        <v>7353</v>
      </c>
      <c r="F302" s="14">
        <f>data!BQ64</f>
        <v>0</v>
      </c>
      <c r="G302" s="14">
        <f>data!BR64</f>
        <v>488</v>
      </c>
      <c r="H302" s="14">
        <f>data!BS64</f>
        <v>0</v>
      </c>
      <c r="I302" s="14">
        <f>data!BT64</f>
        <v>-3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40971</v>
      </c>
      <c r="D303" s="14">
        <f>data!BO65</f>
        <v>5157</v>
      </c>
      <c r="E303" s="14">
        <f>data!BP65</f>
        <v>7389</v>
      </c>
      <c r="F303" s="14">
        <f>data!BQ65</f>
        <v>0</v>
      </c>
      <c r="G303" s="14">
        <f>data!BR65</f>
        <v>3356</v>
      </c>
      <c r="H303" s="14">
        <f>data!BS65</f>
        <v>0</v>
      </c>
      <c r="I303" s="14">
        <f>data!BT65</f>
        <v>312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85631</v>
      </c>
      <c r="D304" s="14">
        <f>data!BO66</f>
        <v>1791</v>
      </c>
      <c r="E304" s="14">
        <f>data!BP66</f>
        <v>47278</v>
      </c>
      <c r="F304" s="14">
        <f>data!BQ66</f>
        <v>0</v>
      </c>
      <c r="G304" s="14">
        <f>data!BR66</f>
        <v>413336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9767</v>
      </c>
      <c r="D305" s="14">
        <f>data!BO67</f>
        <v>1133</v>
      </c>
      <c r="E305" s="14">
        <f>data!BP67</f>
        <v>804701</v>
      </c>
      <c r="F305" s="14">
        <f>data!BQ67</f>
        <v>0</v>
      </c>
      <c r="G305" s="14">
        <f>data!BR67</f>
        <v>1853</v>
      </c>
      <c r="H305" s="14">
        <f>data!BS67</f>
        <v>0</v>
      </c>
      <c r="I305" s="14">
        <f>data!BT67</f>
        <v>192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25937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556839</v>
      </c>
      <c r="D307" s="14">
        <f>data!BO69</f>
        <v>34046</v>
      </c>
      <c r="E307" s="14">
        <f>data!BP69</f>
        <v>148640</v>
      </c>
      <c r="F307" s="14">
        <f>data!BQ69</f>
        <v>0</v>
      </c>
      <c r="G307" s="14">
        <f>data!BR69</f>
        <v>47635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-7691366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-1535203</v>
      </c>
      <c r="D309" s="14">
        <f>data!BO71</f>
        <v>657587</v>
      </c>
      <c r="E309" s="14">
        <f>data!BP71</f>
        <v>1916987</v>
      </c>
      <c r="F309" s="14">
        <f>data!BQ71</f>
        <v>0</v>
      </c>
      <c r="G309" s="14">
        <f>data!BR71</f>
        <v>981196</v>
      </c>
      <c r="H309" s="14">
        <f>data!BS71</f>
        <v>0</v>
      </c>
      <c r="I309" s="14">
        <f>data!BT71</f>
        <v>76767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10818</v>
      </c>
      <c r="D316" s="85">
        <f>data!BO76</f>
        <v>1300</v>
      </c>
      <c r="E316" s="85">
        <f>data!BP76</f>
        <v>5231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844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39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Virginia Mason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8.59</v>
      </c>
      <c r="D330" s="26">
        <f>data!BV60</f>
        <v>40.520000000000003</v>
      </c>
      <c r="E330" s="26">
        <f>data!BW60</f>
        <v>7.19</v>
      </c>
      <c r="F330" s="26">
        <f>data!BX60</f>
        <v>59.54</v>
      </c>
      <c r="G330" s="26">
        <f>data!BY60</f>
        <v>50.31</v>
      </c>
      <c r="H330" s="26">
        <f>data!BZ60</f>
        <v>0</v>
      </c>
      <c r="I330" s="26">
        <f>data!CA60</f>
        <v>54.89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352728</v>
      </c>
      <c r="D331" s="86">
        <f>data!BV61</f>
        <v>1263143</v>
      </c>
      <c r="E331" s="86">
        <f>data!BW61</f>
        <v>2554203</v>
      </c>
      <c r="F331" s="86">
        <f>data!BX61</f>
        <v>3371545</v>
      </c>
      <c r="G331" s="86">
        <f>data!BY61</f>
        <v>2648319</v>
      </c>
      <c r="H331" s="86">
        <f>data!BZ61</f>
        <v>0</v>
      </c>
      <c r="I331" s="86">
        <f>data!CA61</f>
        <v>2610874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60935</v>
      </c>
      <c r="D332" s="86">
        <f>data!BV62</f>
        <v>224025</v>
      </c>
      <c r="E332" s="86">
        <f>data!BW62</f>
        <v>-6800762</v>
      </c>
      <c r="F332" s="86">
        <f>data!BX62</f>
        <v>638147</v>
      </c>
      <c r="G332" s="86">
        <f>data!BY62</f>
        <v>466962</v>
      </c>
      <c r="H332" s="86">
        <f>data!BZ62</f>
        <v>0</v>
      </c>
      <c r="I332" s="86">
        <f>data!CA62</f>
        <v>486394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44791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3056</v>
      </c>
      <c r="D334" s="86">
        <f>data!BV64</f>
        <v>5494</v>
      </c>
      <c r="E334" s="86">
        <f>data!BW64</f>
        <v>2168</v>
      </c>
      <c r="F334" s="86">
        <f>data!BX64</f>
        <v>15747</v>
      </c>
      <c r="G334" s="86">
        <f>data!BY64</f>
        <v>83271</v>
      </c>
      <c r="H334" s="86">
        <f>data!BZ64</f>
        <v>0</v>
      </c>
      <c r="I334" s="86">
        <f>data!CA64</f>
        <v>3667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3178</v>
      </c>
      <c r="D335" s="86">
        <f>data!BV65</f>
        <v>31591</v>
      </c>
      <c r="E335" s="86">
        <f>data!BW65</f>
        <v>581</v>
      </c>
      <c r="F335" s="86">
        <f>data!BX65</f>
        <v>31596</v>
      </c>
      <c r="G335" s="86">
        <f>data!BY65</f>
        <v>24873</v>
      </c>
      <c r="H335" s="86">
        <f>data!BZ65</f>
        <v>0</v>
      </c>
      <c r="I335" s="86">
        <f>data!CA65</f>
        <v>4393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54141</v>
      </c>
      <c r="D336" s="86">
        <f>data!BV66</f>
        <v>299338</v>
      </c>
      <c r="E336" s="86">
        <f>data!BW66</f>
        <v>52361</v>
      </c>
      <c r="F336" s="86">
        <f>data!BX66</f>
        <v>1127679</v>
      </c>
      <c r="G336" s="86">
        <f>data!BY66</f>
        <v>59019</v>
      </c>
      <c r="H336" s="86">
        <f>data!BZ66</f>
        <v>0</v>
      </c>
      <c r="I336" s="86">
        <f>data!CA66</f>
        <v>57755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36687</v>
      </c>
      <c r="D337" s="86">
        <f>data!BV67</f>
        <v>78488</v>
      </c>
      <c r="E337" s="86">
        <f>data!BW67</f>
        <v>41</v>
      </c>
      <c r="F337" s="86">
        <f>data!BX67</f>
        <v>58479</v>
      </c>
      <c r="G337" s="86">
        <f>data!BY67</f>
        <v>94934</v>
      </c>
      <c r="H337" s="86">
        <f>data!BZ67</f>
        <v>0</v>
      </c>
      <c r="I337" s="86">
        <f>data!CA67</f>
        <v>3738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240757</v>
      </c>
      <c r="E338" s="86">
        <f>data!BW68</f>
        <v>0</v>
      </c>
      <c r="F338" s="86">
        <f>data!BX68</f>
        <v>186214</v>
      </c>
      <c r="G338" s="86">
        <f>data!BY68</f>
        <v>8298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407082</v>
      </c>
      <c r="D339" s="86">
        <f>data!BV69</f>
        <v>127604</v>
      </c>
      <c r="E339" s="86">
        <f>data!BW69</f>
        <v>655453</v>
      </c>
      <c r="F339" s="86">
        <f>data!BX69</f>
        <v>941969</v>
      </c>
      <c r="G339" s="86">
        <f>data!BY69</f>
        <v>118620</v>
      </c>
      <c r="H339" s="86">
        <f>data!BZ69</f>
        <v>0</v>
      </c>
      <c r="I339" s="86">
        <f>data!CA69</f>
        <v>25933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-1258</v>
      </c>
      <c r="D340" s="14">
        <f>-data!BV70</f>
        <v>-106517</v>
      </c>
      <c r="E340" s="14">
        <f>-data!BW70</f>
        <v>0</v>
      </c>
      <c r="F340" s="14">
        <f>-data!BX70</f>
        <v>-408932</v>
      </c>
      <c r="G340" s="14">
        <f>-data!BY70</f>
        <v>-9927</v>
      </c>
      <c r="H340" s="14">
        <f>-data!BZ70</f>
        <v>0</v>
      </c>
      <c r="I340" s="14">
        <f>-data!CA70</f>
        <v>-11948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916549</v>
      </c>
      <c r="D341" s="14">
        <f>data!BV71</f>
        <v>2163923</v>
      </c>
      <c r="E341" s="14">
        <f>data!BW71</f>
        <v>-3535955</v>
      </c>
      <c r="F341" s="14">
        <f>data!BX71</f>
        <v>6007235</v>
      </c>
      <c r="G341" s="14">
        <f>data!BY71</f>
        <v>3494369</v>
      </c>
      <c r="H341" s="14">
        <f>data!BZ71</f>
        <v>0</v>
      </c>
      <c r="I341" s="14">
        <f>data!CA71</f>
        <v>3180806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5288</v>
      </c>
      <c r="D348" s="85">
        <f>data!BV76</f>
        <v>13988</v>
      </c>
      <c r="E348" s="85">
        <f>data!BW76</f>
        <v>0</v>
      </c>
      <c r="F348" s="85">
        <f>data!BX76</f>
        <v>22200</v>
      </c>
      <c r="G348" s="85">
        <f>data!BY76</f>
        <v>6600</v>
      </c>
      <c r="H348" s="85">
        <f>data!BZ76</f>
        <v>0</v>
      </c>
      <c r="I348" s="85">
        <f>data!CA76</f>
        <v>4031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242</v>
      </c>
      <c r="D350" s="85">
        <f>data!BV78</f>
        <v>641</v>
      </c>
      <c r="E350" s="85">
        <f>data!BW78</f>
        <v>0</v>
      </c>
      <c r="F350" s="85">
        <f>data!BX78</f>
        <v>1018</v>
      </c>
      <c r="G350" s="85">
        <f>data!BY78</f>
        <v>303</v>
      </c>
      <c r="H350" s="85">
        <f>data!BZ78</f>
        <v>0</v>
      </c>
      <c r="I350" s="85">
        <f>data!CA78</f>
        <v>186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Virginia Mason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32.049999999999997</v>
      </c>
      <c r="E362" s="217"/>
      <c r="F362" s="211"/>
      <c r="G362" s="211"/>
      <c r="H362" s="211"/>
      <c r="I362" s="87">
        <f>data!CE60</f>
        <v>4752.32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1371078</v>
      </c>
      <c r="E363" s="218"/>
      <c r="F363" s="219"/>
      <c r="G363" s="219"/>
      <c r="H363" s="219"/>
      <c r="I363" s="86">
        <f>data!CE61</f>
        <v>280618062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135781</v>
      </c>
      <c r="E364" s="218"/>
      <c r="F364" s="219"/>
      <c r="G364" s="219"/>
      <c r="H364" s="219"/>
      <c r="I364" s="86">
        <f>data!CE62</f>
        <v>58852014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118483</v>
      </c>
      <c r="E365" s="218"/>
      <c r="F365" s="219"/>
      <c r="G365" s="219"/>
      <c r="H365" s="219"/>
      <c r="I365" s="86">
        <f>data!CE63</f>
        <v>6090848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469937</v>
      </c>
      <c r="E366" s="218"/>
      <c r="F366" s="219"/>
      <c r="G366" s="219"/>
      <c r="H366" s="219"/>
      <c r="I366" s="86">
        <f>data!CE64</f>
        <v>137076717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84991</v>
      </c>
      <c r="E367" s="218"/>
      <c r="F367" s="219"/>
      <c r="G367" s="219"/>
      <c r="H367" s="219"/>
      <c r="I367" s="86">
        <f>data!CE65</f>
        <v>6171902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1859104</v>
      </c>
      <c r="E368" s="218"/>
      <c r="F368" s="219"/>
      <c r="G368" s="219"/>
      <c r="H368" s="219"/>
      <c r="I368" s="86">
        <f>data!CE66</f>
        <v>24982114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259723</v>
      </c>
      <c r="E369" s="218"/>
      <c r="F369" s="219"/>
      <c r="G369" s="219"/>
      <c r="H369" s="219"/>
      <c r="I369" s="86">
        <f>data!CE67</f>
        <v>19211307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806303</v>
      </c>
      <c r="E370" s="218"/>
      <c r="F370" s="219"/>
      <c r="G370" s="219"/>
      <c r="H370" s="219"/>
      <c r="I370" s="86">
        <f>data!CE68</f>
        <v>12483988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345490</v>
      </c>
      <c r="E371" s="86">
        <f>data!CD69</f>
        <v>25011384</v>
      </c>
      <c r="F371" s="219"/>
      <c r="G371" s="219"/>
      <c r="H371" s="219"/>
      <c r="I371" s="86">
        <f>data!CE69</f>
        <v>46515884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-2523759</v>
      </c>
      <c r="E372" s="229">
        <f>data!CD70</f>
        <v>3513000</v>
      </c>
      <c r="F372" s="220"/>
      <c r="G372" s="220"/>
      <c r="H372" s="220"/>
      <c r="I372" s="14">
        <f>-data!CE70</f>
        <v>-25453841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2927131</v>
      </c>
      <c r="E373" s="86">
        <f>data!CD71</f>
        <v>21498384</v>
      </c>
      <c r="F373" s="219"/>
      <c r="G373" s="219"/>
      <c r="H373" s="219"/>
      <c r="I373" s="14">
        <f>data!CE71</f>
        <v>566548995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411248908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979544699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1390793607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10559</v>
      </c>
      <c r="E380" s="214"/>
      <c r="F380" s="211"/>
      <c r="G380" s="211"/>
      <c r="H380" s="211"/>
      <c r="I380" s="14">
        <f>data!CE76</f>
        <v>1557316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157651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49542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1187870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1532.41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2021-12-28T16:33:24Z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