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5D9FEA87-E255-4A27-AB5A-3401FC804EA4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5" l="1"/>
  <c r="C38" i="5"/>
  <c r="C332" i="1"/>
  <c r="C325" i="1"/>
  <c r="C323" i="1"/>
  <c r="C281" i="1"/>
  <c r="C171" i="1"/>
  <c r="C168" i="1"/>
  <c r="CC76" i="1" l="1"/>
  <c r="CC47" i="1" l="1"/>
  <c r="CC66" i="1"/>
  <c r="CC65" i="1"/>
  <c r="CC64" i="1"/>
  <c r="CC61" i="1"/>
  <c r="CC60" i="1" l="1"/>
  <c r="C234" i="1"/>
  <c r="C201" i="1" l="1"/>
  <c r="C214" i="1"/>
  <c r="C203" i="1" l="1"/>
  <c r="C389" i="1" l="1"/>
  <c r="C383" i="1"/>
  <c r="C312" i="1" l="1"/>
  <c r="C307" i="1"/>
  <c r="C282" i="1" l="1"/>
  <c r="C210" i="1" l="1"/>
  <c r="C197" i="1"/>
  <c r="AV74" i="1" l="1"/>
  <c r="C16" i="9" l="1"/>
  <c r="C15" i="9"/>
  <c r="C327" i="1"/>
  <c r="C267" i="1"/>
  <c r="C255" i="1"/>
  <c r="C184" i="1"/>
  <c r="C176" i="1"/>
  <c r="C175" i="1"/>
  <c r="C170" i="1"/>
  <c r="CC68" i="1"/>
  <c r="CC63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H540" i="10" s="1"/>
  <c r="E539" i="10"/>
  <c r="D539" i="10"/>
  <c r="B539" i="10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H535" i="10" s="1"/>
  <c r="E534" i="10"/>
  <c r="D534" i="10"/>
  <c r="B534" i="10"/>
  <c r="F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F526" i="10" s="1"/>
  <c r="E525" i="10"/>
  <c r="D525" i="10"/>
  <c r="B525" i="10"/>
  <c r="F525" i="10" s="1"/>
  <c r="E524" i="10"/>
  <c r="D524" i="10"/>
  <c r="B524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F517" i="10" s="1"/>
  <c r="E516" i="10"/>
  <c r="D516" i="10"/>
  <c r="B516" i="10"/>
  <c r="E515" i="10"/>
  <c r="D515" i="10"/>
  <c r="B515" i="10"/>
  <c r="F515" i="10" s="1"/>
  <c r="E514" i="10"/>
  <c r="D514" i="10"/>
  <c r="B514" i="10"/>
  <c r="B513" i="10"/>
  <c r="B512" i="10"/>
  <c r="F512" i="10" s="1"/>
  <c r="E511" i="10"/>
  <c r="D511" i="10"/>
  <c r="B511" i="10"/>
  <c r="F511" i="10" s="1"/>
  <c r="E510" i="10"/>
  <c r="D510" i="10"/>
  <c r="B510" i="10"/>
  <c r="H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F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H498" i="10" s="1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C472" i="10"/>
  <c r="C471" i="10"/>
  <c r="C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C439" i="10"/>
  <c r="D438" i="10"/>
  <c r="C438" i="10"/>
  <c r="B438" i="10"/>
  <c r="B440" i="10" s="1"/>
  <c r="B437" i="10"/>
  <c r="B436" i="10"/>
  <c r="B435" i="10"/>
  <c r="B434" i="10"/>
  <c r="D433" i="10"/>
  <c r="B433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C418" i="10"/>
  <c r="B418" i="10"/>
  <c r="B417" i="10"/>
  <c r="D415" i="10"/>
  <c r="C414" i="10"/>
  <c r="A412" i="10"/>
  <c r="D390" i="10"/>
  <c r="B441" i="10" s="1"/>
  <c r="C389" i="10"/>
  <c r="B439" i="10" s="1"/>
  <c r="C383" i="10"/>
  <c r="B432" i="10" s="1"/>
  <c r="D372" i="10"/>
  <c r="D367" i="10"/>
  <c r="C448" i="10" s="1"/>
  <c r="D361" i="10"/>
  <c r="B465" i="10" s="1"/>
  <c r="C332" i="10"/>
  <c r="D329" i="10"/>
  <c r="C327" i="10"/>
  <c r="C325" i="10"/>
  <c r="D328" i="10" s="1"/>
  <c r="D319" i="10"/>
  <c r="C312" i="10"/>
  <c r="C307" i="10"/>
  <c r="D290" i="10"/>
  <c r="D283" i="10"/>
  <c r="C282" i="10"/>
  <c r="C281" i="10"/>
  <c r="C271" i="10"/>
  <c r="B472" i="10" s="1"/>
  <c r="C270" i="10"/>
  <c r="B471" i="10" s="1"/>
  <c r="C267" i="10"/>
  <c r="D265" i="10"/>
  <c r="C255" i="10"/>
  <c r="D260" i="10" s="1"/>
  <c r="D240" i="10"/>
  <c r="B447" i="10" s="1"/>
  <c r="D236" i="10"/>
  <c r="D229" i="10"/>
  <c r="B445" i="10" s="1"/>
  <c r="D221" i="10"/>
  <c r="B444" i="10" s="1"/>
  <c r="D217" i="10"/>
  <c r="C217" i="10"/>
  <c r="B217" i="10"/>
  <c r="E216" i="10"/>
  <c r="E215" i="10"/>
  <c r="E214" i="10"/>
  <c r="E213" i="10"/>
  <c r="E212" i="10"/>
  <c r="E217" i="10" s="1"/>
  <c r="E211" i="10"/>
  <c r="E210" i="10"/>
  <c r="E209" i="10"/>
  <c r="D204" i="10"/>
  <c r="C204" i="10"/>
  <c r="B204" i="10"/>
  <c r="E203" i="10"/>
  <c r="C475" i="10" s="1"/>
  <c r="C203" i="10"/>
  <c r="E202" i="10"/>
  <c r="E201" i="10"/>
  <c r="E200" i="10"/>
  <c r="C473" i="10" s="1"/>
  <c r="E199" i="10"/>
  <c r="E198" i="10"/>
  <c r="E197" i="10"/>
  <c r="C470" i="10" s="1"/>
  <c r="E196" i="10"/>
  <c r="E204" i="10" s="1"/>
  <c r="C476" i="10" s="1"/>
  <c r="E195" i="10"/>
  <c r="D190" i="10"/>
  <c r="D437" i="10" s="1"/>
  <c r="C184" i="10"/>
  <c r="D186" i="10" s="1"/>
  <c r="D436" i="10" s="1"/>
  <c r="D181" i="10"/>
  <c r="D435" i="10" s="1"/>
  <c r="C176" i="10"/>
  <c r="C175" i="10"/>
  <c r="D177" i="10" s="1"/>
  <c r="D434" i="10" s="1"/>
  <c r="C171" i="10"/>
  <c r="C170" i="10"/>
  <c r="C168" i="10"/>
  <c r="E154" i="10"/>
  <c r="E153" i="10"/>
  <c r="E152" i="10"/>
  <c r="E151" i="10"/>
  <c r="E150" i="10"/>
  <c r="E148" i="10"/>
  <c r="E147" i="10"/>
  <c r="E146" i="10"/>
  <c r="E145" i="10"/>
  <c r="E144" i="10"/>
  <c r="C417" i="10" s="1"/>
  <c r="D142" i="10"/>
  <c r="E142" i="10" s="1"/>
  <c r="D141" i="10"/>
  <c r="E141" i="10" s="1"/>
  <c r="E140" i="10"/>
  <c r="E139" i="10"/>
  <c r="E138" i="10"/>
  <c r="E127" i="10"/>
  <c r="C111" i="10"/>
  <c r="B414" i="10" s="1"/>
  <c r="CE80" i="10"/>
  <c r="L612" i="10" s="1"/>
  <c r="CF79" i="10"/>
  <c r="CE79" i="10"/>
  <c r="J612" i="10" s="1"/>
  <c r="CE78" i="10"/>
  <c r="I612" i="10" s="1"/>
  <c r="CE77" i="10"/>
  <c r="CE76" i="10"/>
  <c r="CC76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CE73" i="10"/>
  <c r="C463" i="10" s="1"/>
  <c r="CD71" i="10"/>
  <c r="C575" i="10" s="1"/>
  <c r="CE70" i="10"/>
  <c r="C458" i="10" s="1"/>
  <c r="CE69" i="10"/>
  <c r="C440" i="10" s="1"/>
  <c r="CC68" i="10"/>
  <c r="CE68" i="10" s="1"/>
  <c r="C434" i="10" s="1"/>
  <c r="CC66" i="10"/>
  <c r="CE66" i="10" s="1"/>
  <c r="C432" i="10" s="1"/>
  <c r="CE65" i="10"/>
  <c r="C431" i="10" s="1"/>
  <c r="CC65" i="10"/>
  <c r="CC64" i="10"/>
  <c r="CE64" i="10" s="1"/>
  <c r="CC63" i="10"/>
  <c r="CE63" i="10" s="1"/>
  <c r="C429" i="10" s="1"/>
  <c r="CA62" i="10"/>
  <c r="BT62" i="10"/>
  <c r="BP62" i="10"/>
  <c r="BO62" i="10"/>
  <c r="BK62" i="10"/>
  <c r="BD62" i="10"/>
  <c r="AZ62" i="10"/>
  <c r="AY62" i="10"/>
  <c r="AU62" i="10"/>
  <c r="AN62" i="10"/>
  <c r="AJ62" i="10"/>
  <c r="AI62" i="10"/>
  <c r="AE62" i="10"/>
  <c r="X62" i="10"/>
  <c r="T62" i="10"/>
  <c r="S62" i="10"/>
  <c r="O62" i="10"/>
  <c r="H62" i="10"/>
  <c r="D62" i="10"/>
  <c r="C62" i="10"/>
  <c r="CC61" i="10"/>
  <c r="CE61" i="10" s="1"/>
  <c r="C427" i="10" s="1"/>
  <c r="CC60" i="10"/>
  <c r="CE60" i="10" s="1"/>
  <c r="H612" i="10" s="1"/>
  <c r="X59" i="10"/>
  <c r="B53" i="10"/>
  <c r="CE51" i="10"/>
  <c r="B49" i="10"/>
  <c r="CC48" i="10"/>
  <c r="CB48" i="10"/>
  <c r="CB62" i="10" s="1"/>
  <c r="CA48" i="10"/>
  <c r="BZ48" i="10"/>
  <c r="BZ62" i="10" s="1"/>
  <c r="BY48" i="10"/>
  <c r="BY62" i="10" s="1"/>
  <c r="BX48" i="10"/>
  <c r="BX62" i="10" s="1"/>
  <c r="BW48" i="10"/>
  <c r="BW62" i="10" s="1"/>
  <c r="BV48" i="10"/>
  <c r="BV62" i="10" s="1"/>
  <c r="BU48" i="10"/>
  <c r="BU62" i="10" s="1"/>
  <c r="BT48" i="10"/>
  <c r="BS48" i="10"/>
  <c r="BS62" i="10" s="1"/>
  <c r="BR48" i="10"/>
  <c r="BR62" i="10" s="1"/>
  <c r="BQ48" i="10"/>
  <c r="BQ62" i="10" s="1"/>
  <c r="BP48" i="10"/>
  <c r="BO48" i="10"/>
  <c r="BN48" i="10"/>
  <c r="BN62" i="10" s="1"/>
  <c r="BM48" i="10"/>
  <c r="BM62" i="10" s="1"/>
  <c r="BL48" i="10"/>
  <c r="BL62" i="10" s="1"/>
  <c r="BK48" i="10"/>
  <c r="BJ48" i="10"/>
  <c r="BJ62" i="10" s="1"/>
  <c r="BI48" i="10"/>
  <c r="BI62" i="10" s="1"/>
  <c r="BH48" i="10"/>
  <c r="BH62" i="10" s="1"/>
  <c r="BG48" i="10"/>
  <c r="BG62" i="10" s="1"/>
  <c r="BF48" i="10"/>
  <c r="BF62" i="10" s="1"/>
  <c r="BE48" i="10"/>
  <c r="BE62" i="10" s="1"/>
  <c r="BD48" i="10"/>
  <c r="BC48" i="10"/>
  <c r="BC62" i="10" s="1"/>
  <c r="BB48" i="10"/>
  <c r="BB62" i="10" s="1"/>
  <c r="BA48" i="10"/>
  <c r="BA62" i="10" s="1"/>
  <c r="AZ48" i="10"/>
  <c r="AY48" i="10"/>
  <c r="AX48" i="10"/>
  <c r="AX62" i="10" s="1"/>
  <c r="AW48" i="10"/>
  <c r="AW62" i="10" s="1"/>
  <c r="AV48" i="10"/>
  <c r="AV62" i="10" s="1"/>
  <c r="AU48" i="10"/>
  <c r="AT48" i="10"/>
  <c r="AT62" i="10" s="1"/>
  <c r="AS48" i="10"/>
  <c r="AS62" i="10" s="1"/>
  <c r="AR48" i="10"/>
  <c r="AR62" i="10" s="1"/>
  <c r="AQ48" i="10"/>
  <c r="AQ62" i="10" s="1"/>
  <c r="AP48" i="10"/>
  <c r="AP62" i="10" s="1"/>
  <c r="AO48" i="10"/>
  <c r="AO62" i="10" s="1"/>
  <c r="AN48" i="10"/>
  <c r="AM48" i="10"/>
  <c r="AM62" i="10" s="1"/>
  <c r="AL48" i="10"/>
  <c r="AL62" i="10" s="1"/>
  <c r="AK48" i="10"/>
  <c r="AK62" i="10" s="1"/>
  <c r="AJ48" i="10"/>
  <c r="AI48" i="10"/>
  <c r="AH48" i="10"/>
  <c r="AH62" i="10" s="1"/>
  <c r="AG48" i="10"/>
  <c r="AG62" i="10" s="1"/>
  <c r="AF48" i="10"/>
  <c r="AF62" i="10" s="1"/>
  <c r="AE48" i="10"/>
  <c r="AD48" i="10"/>
  <c r="AD62" i="10" s="1"/>
  <c r="AC48" i="10"/>
  <c r="AC62" i="10" s="1"/>
  <c r="AB48" i="10"/>
  <c r="AB62" i="10" s="1"/>
  <c r="AA48" i="10"/>
  <c r="AA62" i="10" s="1"/>
  <c r="Z48" i="10"/>
  <c r="Z62" i="10" s="1"/>
  <c r="Y48" i="10"/>
  <c r="Y62" i="10" s="1"/>
  <c r="X48" i="10"/>
  <c r="W48" i="10"/>
  <c r="W62" i="10" s="1"/>
  <c r="V48" i="10"/>
  <c r="V62" i="10" s="1"/>
  <c r="U48" i="10"/>
  <c r="U62" i="10" s="1"/>
  <c r="T48" i="10"/>
  <c r="S48" i="10"/>
  <c r="R48" i="10"/>
  <c r="R62" i="10" s="1"/>
  <c r="Q48" i="10"/>
  <c r="Q62" i="10" s="1"/>
  <c r="P48" i="10"/>
  <c r="P62" i="10" s="1"/>
  <c r="O48" i="10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G48" i="10"/>
  <c r="G62" i="10" s="1"/>
  <c r="F48" i="10"/>
  <c r="F62" i="10" s="1"/>
  <c r="E48" i="10"/>
  <c r="E62" i="10" s="1"/>
  <c r="D48" i="10"/>
  <c r="C48" i="10"/>
  <c r="CC47" i="10"/>
  <c r="CC62" i="10" s="1"/>
  <c r="F531" i="10" l="1"/>
  <c r="F506" i="10"/>
  <c r="F520" i="10"/>
  <c r="F514" i="10"/>
  <c r="H504" i="10"/>
  <c r="H530" i="10"/>
  <c r="F540" i="10"/>
  <c r="H497" i="10"/>
  <c r="F524" i="10"/>
  <c r="F516" i="10"/>
  <c r="F522" i="10"/>
  <c r="H533" i="10"/>
  <c r="F545" i="10"/>
  <c r="H500" i="10"/>
  <c r="F502" i="10"/>
  <c r="H527" i="10"/>
  <c r="H538" i="10"/>
  <c r="F498" i="10"/>
  <c r="H534" i="10"/>
  <c r="H501" i="10"/>
  <c r="F518" i="10"/>
  <c r="F528" i="10"/>
  <c r="H537" i="10"/>
  <c r="H509" i="10"/>
  <c r="H505" i="10"/>
  <c r="H523" i="10"/>
  <c r="H508" i="10"/>
  <c r="H526" i="10"/>
  <c r="F496" i="10"/>
  <c r="F529" i="10"/>
  <c r="C478" i="10"/>
  <c r="C276" i="10"/>
  <c r="B478" i="10" s="1"/>
  <c r="CE75" i="10"/>
  <c r="G612" i="10"/>
  <c r="CF77" i="10"/>
  <c r="D111" i="10"/>
  <c r="B415" i="10" s="1"/>
  <c r="C415" i="10"/>
  <c r="C268" i="10"/>
  <c r="B469" i="10" s="1"/>
  <c r="C274" i="10"/>
  <c r="B475" i="10" s="1"/>
  <c r="CE62" i="10"/>
  <c r="C469" i="10"/>
  <c r="CE47" i="10"/>
  <c r="CE48" i="10"/>
  <c r="F612" i="10"/>
  <c r="C430" i="10"/>
  <c r="D463" i="10"/>
  <c r="D465" i="10" s="1"/>
  <c r="D173" i="10"/>
  <c r="D428" i="10" s="1"/>
  <c r="C474" i="10"/>
  <c r="C273" i="10"/>
  <c r="B474" i="10" s="1"/>
  <c r="D330" i="10"/>
  <c r="AV75" i="10"/>
  <c r="CE74" i="10"/>
  <c r="C464" i="10" s="1"/>
  <c r="D612" i="10"/>
  <c r="CF76" i="10"/>
  <c r="CB52" i="10" s="1"/>
  <c r="CB67" i="10" s="1"/>
  <c r="CB71" i="10" s="1"/>
  <c r="BP52" i="10"/>
  <c r="BP67" i="10" s="1"/>
  <c r="BP71" i="10" s="1"/>
  <c r="AZ52" i="10"/>
  <c r="AZ67" i="10" s="1"/>
  <c r="AZ71" i="10" s="1"/>
  <c r="AJ52" i="10"/>
  <c r="AJ67" i="10" s="1"/>
  <c r="AJ71" i="10" s="1"/>
  <c r="T52" i="10"/>
  <c r="T67" i="10" s="1"/>
  <c r="T71" i="10" s="1"/>
  <c r="D464" i="10"/>
  <c r="C272" i="10"/>
  <c r="B473" i="10" s="1"/>
  <c r="D314" i="10"/>
  <c r="F510" i="10"/>
  <c r="C269" i="10"/>
  <c r="B470" i="10" s="1"/>
  <c r="D368" i="10"/>
  <c r="D373" i="10" s="1"/>
  <c r="D391" i="10" s="1"/>
  <c r="D393" i="10" s="1"/>
  <c r="D396" i="10" s="1"/>
  <c r="B468" i="10"/>
  <c r="H499" i="10"/>
  <c r="H503" i="10"/>
  <c r="H507" i="10"/>
  <c r="H511" i="10"/>
  <c r="F513" i="10"/>
  <c r="H515" i="10"/>
  <c r="H525" i="10"/>
  <c r="F535" i="10"/>
  <c r="F532" i="10"/>
  <c r="F536" i="10"/>
  <c r="D242" i="10"/>
  <c r="B448" i="10" s="1"/>
  <c r="F539" i="10"/>
  <c r="F544" i="10"/>
  <c r="H546" i="10"/>
  <c r="B575" i="1"/>
  <c r="F493" i="1"/>
  <c r="D493" i="1"/>
  <c r="B493" i="1"/>
  <c r="C685" i="10" l="1"/>
  <c r="C513" i="10"/>
  <c r="B513" i="1"/>
  <c r="C701" i="10"/>
  <c r="C529" i="10"/>
  <c r="B529" i="1"/>
  <c r="C628" i="10"/>
  <c r="C545" i="10"/>
  <c r="B545" i="1"/>
  <c r="C622" i="10"/>
  <c r="C573" i="10"/>
  <c r="B573" i="1"/>
  <c r="C621" i="10"/>
  <c r="C561" i="10"/>
  <c r="B561" i="1"/>
  <c r="D275" i="10"/>
  <c r="AN52" i="10"/>
  <c r="AN67" i="10" s="1"/>
  <c r="AN71" i="10" s="1"/>
  <c r="AB52" i="10"/>
  <c r="AB67" i="10" s="1"/>
  <c r="AB71" i="10" s="1"/>
  <c r="AR52" i="10"/>
  <c r="AR67" i="10" s="1"/>
  <c r="AR71" i="10" s="1"/>
  <c r="BH52" i="10"/>
  <c r="BH67" i="10" s="1"/>
  <c r="BH71" i="10" s="1"/>
  <c r="BX52" i="10"/>
  <c r="BX67" i="10" s="1"/>
  <c r="BX71" i="10" s="1"/>
  <c r="D339" i="10"/>
  <c r="C482" i="10" s="1"/>
  <c r="P52" i="10"/>
  <c r="P67" i="10" s="1"/>
  <c r="P71" i="10" s="1"/>
  <c r="AF52" i="10"/>
  <c r="AF67" i="10" s="1"/>
  <c r="AF71" i="10" s="1"/>
  <c r="AV52" i="10"/>
  <c r="AV67" i="10" s="1"/>
  <c r="AV71" i="10" s="1"/>
  <c r="BL52" i="10"/>
  <c r="BL67" i="10" s="1"/>
  <c r="BL71" i="10" s="1"/>
  <c r="BZ52" i="10"/>
  <c r="BZ67" i="10" s="1"/>
  <c r="BZ71" i="10" s="1"/>
  <c r="BU52" i="10"/>
  <c r="BU67" i="10" s="1"/>
  <c r="BU71" i="10" s="1"/>
  <c r="BO52" i="10"/>
  <c r="BO67" i="10" s="1"/>
  <c r="BO71" i="10" s="1"/>
  <c r="BJ52" i="10"/>
  <c r="BJ67" i="10" s="1"/>
  <c r="BJ71" i="10" s="1"/>
  <c r="BE52" i="10"/>
  <c r="BE67" i="10" s="1"/>
  <c r="BE71" i="10" s="1"/>
  <c r="AY52" i="10"/>
  <c r="AY67" i="10" s="1"/>
  <c r="AY71" i="10" s="1"/>
  <c r="AT52" i="10"/>
  <c r="AT67" i="10" s="1"/>
  <c r="AT71" i="10" s="1"/>
  <c r="AO52" i="10"/>
  <c r="AO67" i="10" s="1"/>
  <c r="AO71" i="10" s="1"/>
  <c r="AI52" i="10"/>
  <c r="AI67" i="10" s="1"/>
  <c r="AI71" i="10" s="1"/>
  <c r="AD52" i="10"/>
  <c r="AD67" i="10" s="1"/>
  <c r="AD71" i="10" s="1"/>
  <c r="Y52" i="10"/>
  <c r="Y67" i="10" s="1"/>
  <c r="Y71" i="10" s="1"/>
  <c r="S52" i="10"/>
  <c r="S67" i="10" s="1"/>
  <c r="S71" i="10" s="1"/>
  <c r="N52" i="10"/>
  <c r="N67" i="10" s="1"/>
  <c r="N71" i="10" s="1"/>
  <c r="J52" i="10"/>
  <c r="J67" i="10" s="1"/>
  <c r="J71" i="10" s="1"/>
  <c r="F52" i="10"/>
  <c r="F67" i="10" s="1"/>
  <c r="F71" i="10" s="1"/>
  <c r="CC52" i="10"/>
  <c r="CC67" i="10" s="1"/>
  <c r="CC71" i="10" s="1"/>
  <c r="BM52" i="10"/>
  <c r="BM67" i="10" s="1"/>
  <c r="BM71" i="10" s="1"/>
  <c r="AA52" i="10"/>
  <c r="AA67" i="10" s="1"/>
  <c r="AA71" i="10" s="1"/>
  <c r="D52" i="10"/>
  <c r="D67" i="10" s="1"/>
  <c r="D71" i="10" s="1"/>
  <c r="CA52" i="10"/>
  <c r="CA67" i="10" s="1"/>
  <c r="CA71" i="10" s="1"/>
  <c r="BQ52" i="10"/>
  <c r="BQ67" i="10" s="1"/>
  <c r="BQ71" i="10" s="1"/>
  <c r="BF52" i="10"/>
  <c r="BF67" i="10" s="1"/>
  <c r="BF71" i="10" s="1"/>
  <c r="AP52" i="10"/>
  <c r="AP67" i="10" s="1"/>
  <c r="AP71" i="10" s="1"/>
  <c r="Z52" i="10"/>
  <c r="Z67" i="10" s="1"/>
  <c r="Z71" i="10" s="1"/>
  <c r="K52" i="10"/>
  <c r="K67" i="10" s="1"/>
  <c r="K71" i="10" s="1"/>
  <c r="C52" i="10"/>
  <c r="BY52" i="10"/>
  <c r="BY67" i="10" s="1"/>
  <c r="BY71" i="10" s="1"/>
  <c r="BS52" i="10"/>
  <c r="BS67" i="10" s="1"/>
  <c r="BS71" i="10" s="1"/>
  <c r="BN52" i="10"/>
  <c r="BN67" i="10" s="1"/>
  <c r="BN71" i="10" s="1"/>
  <c r="BI52" i="10"/>
  <c r="BI67" i="10" s="1"/>
  <c r="BI71" i="10" s="1"/>
  <c r="BC52" i="10"/>
  <c r="BC67" i="10" s="1"/>
  <c r="BC71" i="10" s="1"/>
  <c r="AX52" i="10"/>
  <c r="AX67" i="10" s="1"/>
  <c r="AX71" i="10" s="1"/>
  <c r="AS52" i="10"/>
  <c r="AS67" i="10" s="1"/>
  <c r="AS71" i="10" s="1"/>
  <c r="AM52" i="10"/>
  <c r="AM67" i="10" s="1"/>
  <c r="AM71" i="10" s="1"/>
  <c r="AH52" i="10"/>
  <c r="AH67" i="10" s="1"/>
  <c r="AH71" i="10" s="1"/>
  <c r="AC52" i="10"/>
  <c r="AC67" i="10" s="1"/>
  <c r="AC71" i="10" s="1"/>
  <c r="W52" i="10"/>
  <c r="W67" i="10" s="1"/>
  <c r="W71" i="10" s="1"/>
  <c r="R52" i="10"/>
  <c r="R67" i="10" s="1"/>
  <c r="R71" i="10" s="1"/>
  <c r="M52" i="10"/>
  <c r="M67" i="10" s="1"/>
  <c r="M71" i="10" s="1"/>
  <c r="I52" i="10"/>
  <c r="I67" i="10" s="1"/>
  <c r="I71" i="10" s="1"/>
  <c r="E52" i="10"/>
  <c r="E67" i="10" s="1"/>
  <c r="E71" i="10" s="1"/>
  <c r="BR52" i="10"/>
  <c r="BR67" i="10" s="1"/>
  <c r="BR71" i="10" s="1"/>
  <c r="BB52" i="10"/>
  <c r="BB67" i="10" s="1"/>
  <c r="BB71" i="10" s="1"/>
  <c r="AQ52" i="10"/>
  <c r="AQ67" i="10" s="1"/>
  <c r="AQ71" i="10" s="1"/>
  <c r="AG52" i="10"/>
  <c r="AG67" i="10" s="1"/>
  <c r="AG71" i="10" s="1"/>
  <c r="Q52" i="10"/>
  <c r="Q67" i="10" s="1"/>
  <c r="Q71" i="10" s="1"/>
  <c r="L52" i="10"/>
  <c r="L67" i="10" s="1"/>
  <c r="L71" i="10" s="1"/>
  <c r="AU52" i="10"/>
  <c r="AU67" i="10" s="1"/>
  <c r="AU71" i="10" s="1"/>
  <c r="AE52" i="10"/>
  <c r="AE67" i="10" s="1"/>
  <c r="AE71" i="10" s="1"/>
  <c r="O52" i="10"/>
  <c r="O67" i="10" s="1"/>
  <c r="O71" i="10" s="1"/>
  <c r="BW52" i="10"/>
  <c r="BW67" i="10" s="1"/>
  <c r="BW71" i="10" s="1"/>
  <c r="BG52" i="10"/>
  <c r="BG67" i="10" s="1"/>
  <c r="BG71" i="10" s="1"/>
  <c r="AW52" i="10"/>
  <c r="AW67" i="10" s="1"/>
  <c r="AW71" i="10" s="1"/>
  <c r="AL52" i="10"/>
  <c r="AL67" i="10" s="1"/>
  <c r="AL71" i="10" s="1"/>
  <c r="V52" i="10"/>
  <c r="V67" i="10" s="1"/>
  <c r="V71" i="10" s="1"/>
  <c r="H52" i="10"/>
  <c r="H67" i="10" s="1"/>
  <c r="H71" i="10" s="1"/>
  <c r="BV52" i="10"/>
  <c r="BV67" i="10" s="1"/>
  <c r="BV71" i="10" s="1"/>
  <c r="BK52" i="10"/>
  <c r="BK67" i="10" s="1"/>
  <c r="BK71" i="10" s="1"/>
  <c r="BA52" i="10"/>
  <c r="BA67" i="10" s="1"/>
  <c r="BA71" i="10" s="1"/>
  <c r="AK52" i="10"/>
  <c r="AK67" i="10" s="1"/>
  <c r="AK71" i="10" s="1"/>
  <c r="U52" i="10"/>
  <c r="U67" i="10" s="1"/>
  <c r="U71" i="10" s="1"/>
  <c r="G52" i="10"/>
  <c r="G67" i="10" s="1"/>
  <c r="G71" i="10" s="1"/>
  <c r="C428" i="10"/>
  <c r="X52" i="10"/>
  <c r="X67" i="10" s="1"/>
  <c r="X71" i="10" s="1"/>
  <c r="BD52" i="10"/>
  <c r="BD67" i="10" s="1"/>
  <c r="BD71" i="10" s="1"/>
  <c r="BT52" i="10"/>
  <c r="BT67" i="10" s="1"/>
  <c r="BT71" i="10" s="1"/>
  <c r="C465" i="10"/>
  <c r="K61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W48" i="1" s="1"/>
  <c r="W62" i="1" s="1"/>
  <c r="CE65" i="1"/>
  <c r="C431" i="1" s="1"/>
  <c r="CE63" i="1"/>
  <c r="CE66" i="1"/>
  <c r="CE68" i="1"/>
  <c r="K816" i="1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268" i="1" s="1"/>
  <c r="E197" i="1"/>
  <c r="C269" i="1" s="1"/>
  <c r="E198" i="1"/>
  <c r="C270" i="1" s="1"/>
  <c r="E199" i="1"/>
  <c r="E200" i="1"/>
  <c r="E201" i="1"/>
  <c r="E202" i="1"/>
  <c r="E203" i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C120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C615" i="1"/>
  <c r="C48" i="1"/>
  <c r="C62" i="1" s="1"/>
  <c r="E734" i="1" s="1"/>
  <c r="V815" i="1"/>
  <c r="O816" i="1"/>
  <c r="E372" i="9"/>
  <c r="E44" i="9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E791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E757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CF77" i="1"/>
  <c r="Q816" i="1"/>
  <c r="D330" i="1" l="1"/>
  <c r="C86" i="8" s="1"/>
  <c r="C272" i="1"/>
  <c r="C472" i="1"/>
  <c r="C271" i="1"/>
  <c r="C474" i="1"/>
  <c r="C273" i="1"/>
  <c r="C473" i="1"/>
  <c r="F15" i="6"/>
  <c r="C274" i="1"/>
  <c r="D275" i="1" s="1"/>
  <c r="B476" i="1" s="1"/>
  <c r="F10" i="4"/>
  <c r="B440" i="1"/>
  <c r="N777" i="1"/>
  <c r="G612" i="1"/>
  <c r="C141" i="8"/>
  <c r="F13" i="6"/>
  <c r="C27" i="5"/>
  <c r="B10" i="4"/>
  <c r="M816" i="1"/>
  <c r="I372" i="9"/>
  <c r="I370" i="9"/>
  <c r="C434" i="1"/>
  <c r="F815" i="1"/>
  <c r="I366" i="9"/>
  <c r="C430" i="1"/>
  <c r="G816" i="1"/>
  <c r="D815" i="1"/>
  <c r="E300" i="9"/>
  <c r="E787" i="1"/>
  <c r="E790" i="1"/>
  <c r="E807" i="1"/>
  <c r="F332" i="9"/>
  <c r="D816" i="1"/>
  <c r="AS48" i="1"/>
  <c r="AS62" i="1" s="1"/>
  <c r="E792" i="1"/>
  <c r="I172" i="9"/>
  <c r="E737" i="1"/>
  <c r="E749" i="1"/>
  <c r="I140" i="9"/>
  <c r="E775" i="1"/>
  <c r="E108" i="9"/>
  <c r="D268" i="9"/>
  <c r="H300" i="9"/>
  <c r="E788" i="1"/>
  <c r="I300" i="9"/>
  <c r="E783" i="1"/>
  <c r="E800" i="1"/>
  <c r="C12" i="9"/>
  <c r="P816" i="1"/>
  <c r="C549" i="10"/>
  <c r="C624" i="10"/>
  <c r="B549" i="1"/>
  <c r="C672" i="10"/>
  <c r="C500" i="10"/>
  <c r="G500" i="10" s="1"/>
  <c r="B500" i="1"/>
  <c r="C635" i="10"/>
  <c r="C556" i="10"/>
  <c r="B556" i="1"/>
  <c r="C703" i="10"/>
  <c r="C531" i="10"/>
  <c r="G531" i="10" s="1"/>
  <c r="B531" i="1"/>
  <c r="C680" i="10"/>
  <c r="C508" i="10"/>
  <c r="G508" i="10" s="1"/>
  <c r="B508" i="1"/>
  <c r="C682" i="10"/>
  <c r="C510" i="10"/>
  <c r="G510" i="10" s="1"/>
  <c r="B510" i="1"/>
  <c r="C626" i="10"/>
  <c r="C563" i="10"/>
  <c r="B563" i="1"/>
  <c r="C683" i="10"/>
  <c r="C511" i="10"/>
  <c r="G511" i="10" s="1"/>
  <c r="B511" i="1"/>
  <c r="C704" i="10"/>
  <c r="C532" i="10"/>
  <c r="G532" i="10" s="1"/>
  <c r="B532" i="1"/>
  <c r="C554" i="10"/>
  <c r="C634" i="10"/>
  <c r="B554" i="1"/>
  <c r="C67" i="10"/>
  <c r="CE52" i="10"/>
  <c r="C629" i="10"/>
  <c r="C551" i="10"/>
  <c r="B551" i="1"/>
  <c r="C692" i="10"/>
  <c r="C520" i="10"/>
  <c r="B520" i="1"/>
  <c r="C675" i="10"/>
  <c r="C503" i="10"/>
  <c r="G503" i="10" s="1"/>
  <c r="B503" i="1"/>
  <c r="C695" i="10"/>
  <c r="C523" i="10"/>
  <c r="G523" i="10" s="1"/>
  <c r="B523" i="1"/>
  <c r="C625" i="10"/>
  <c r="C544" i="10"/>
  <c r="B544" i="1"/>
  <c r="C566" i="10"/>
  <c r="C641" i="10"/>
  <c r="B566" i="1"/>
  <c r="C697" i="10"/>
  <c r="C525" i="10"/>
  <c r="G525" i="10" s="1"/>
  <c r="B525" i="1"/>
  <c r="C636" i="10"/>
  <c r="C553" i="10"/>
  <c r="B553" i="1"/>
  <c r="B476" i="10"/>
  <c r="D277" i="10"/>
  <c r="D292" i="10" s="1"/>
  <c r="D341" i="10" s="1"/>
  <c r="C481" i="10" s="1"/>
  <c r="G545" i="10"/>
  <c r="H545" i="10"/>
  <c r="T814" i="10"/>
  <c r="H814" i="10"/>
  <c r="R814" i="10"/>
  <c r="P814" i="10"/>
  <c r="M747" i="10"/>
  <c r="M757" i="10"/>
  <c r="M762" i="10"/>
  <c r="M790" i="10"/>
  <c r="C689" i="10"/>
  <c r="C517" i="10"/>
  <c r="B517" i="1"/>
  <c r="C686" i="10"/>
  <c r="C514" i="10"/>
  <c r="B514" i="1"/>
  <c r="C642" i="10"/>
  <c r="C567" i="10"/>
  <c r="B567" i="1"/>
  <c r="C631" i="10"/>
  <c r="C542" i="10"/>
  <c r="B542" i="1"/>
  <c r="C696" i="10"/>
  <c r="C524" i="10"/>
  <c r="B524" i="1"/>
  <c r="C698" i="10"/>
  <c r="C526" i="10"/>
  <c r="G526" i="10" s="1"/>
  <c r="B526" i="1"/>
  <c r="C670" i="10"/>
  <c r="C498" i="10"/>
  <c r="G498" i="10" s="1"/>
  <c r="B498" i="1"/>
  <c r="C688" i="10"/>
  <c r="C516" i="10"/>
  <c r="B516" i="1"/>
  <c r="C710" i="10"/>
  <c r="C538" i="10"/>
  <c r="G538" i="10" s="1"/>
  <c r="B538" i="1"/>
  <c r="C619" i="10"/>
  <c r="C559" i="10"/>
  <c r="B559" i="1"/>
  <c r="C676" i="10"/>
  <c r="C504" i="10"/>
  <c r="G504" i="10" s="1"/>
  <c r="B504" i="1"/>
  <c r="C623" i="10"/>
  <c r="C562" i="10"/>
  <c r="B562" i="1"/>
  <c r="C558" i="10"/>
  <c r="C638" i="10"/>
  <c r="B558" i="1"/>
  <c r="C679" i="10"/>
  <c r="C507" i="10"/>
  <c r="G507" i="10" s="1"/>
  <c r="B507" i="1"/>
  <c r="C700" i="10"/>
  <c r="C528" i="10"/>
  <c r="G528" i="10" s="1"/>
  <c r="B528" i="1"/>
  <c r="C614" i="10"/>
  <c r="C550" i="10"/>
  <c r="B550" i="1"/>
  <c r="C646" i="10"/>
  <c r="C571" i="10"/>
  <c r="B571" i="1"/>
  <c r="C681" i="10"/>
  <c r="C509" i="10"/>
  <c r="G509" i="10" s="1"/>
  <c r="B509" i="1"/>
  <c r="C709" i="10"/>
  <c r="C537" i="10"/>
  <c r="G537" i="10" s="1"/>
  <c r="B537" i="1"/>
  <c r="M740" i="10"/>
  <c r="M748" i="10"/>
  <c r="M793" i="10"/>
  <c r="C702" i="10"/>
  <c r="C530" i="10"/>
  <c r="G530" i="10" s="1"/>
  <c r="B530" i="1"/>
  <c r="C673" i="10"/>
  <c r="C501" i="10"/>
  <c r="G501" i="10" s="1"/>
  <c r="B501" i="1"/>
  <c r="C552" i="10"/>
  <c r="C618" i="10"/>
  <c r="B552" i="1"/>
  <c r="C712" i="10"/>
  <c r="C540" i="10"/>
  <c r="G540" i="10" s="1"/>
  <c r="B540" i="1"/>
  <c r="C708" i="10"/>
  <c r="C536" i="10"/>
  <c r="G536" i="10" s="1"/>
  <c r="B536" i="1"/>
  <c r="C674" i="10"/>
  <c r="C502" i="10"/>
  <c r="G502" i="10" s="1"/>
  <c r="B502" i="1"/>
  <c r="C694" i="10"/>
  <c r="C522" i="10"/>
  <c r="B522" i="1"/>
  <c r="C616" i="10"/>
  <c r="C543" i="10"/>
  <c r="B543" i="1"/>
  <c r="C639" i="10"/>
  <c r="C564" i="10"/>
  <c r="B564" i="1"/>
  <c r="C691" i="10"/>
  <c r="C519" i="10"/>
  <c r="B519" i="1"/>
  <c r="C647" i="10"/>
  <c r="C572" i="10"/>
  <c r="B572" i="1"/>
  <c r="C574" i="10"/>
  <c r="C620" i="10"/>
  <c r="B574" i="1"/>
  <c r="C684" i="10"/>
  <c r="C512" i="10"/>
  <c r="B512" i="1"/>
  <c r="C706" i="10"/>
  <c r="C534" i="10"/>
  <c r="G534" i="10" s="1"/>
  <c r="B534" i="1"/>
  <c r="C617" i="10"/>
  <c r="C555" i="10"/>
  <c r="B555" i="1"/>
  <c r="C637" i="10"/>
  <c r="C557" i="10"/>
  <c r="B557" i="1"/>
  <c r="C693" i="10"/>
  <c r="C521" i="10"/>
  <c r="B521" i="1"/>
  <c r="G513" i="10"/>
  <c r="H513" i="10"/>
  <c r="M737" i="10"/>
  <c r="M745" i="10"/>
  <c r="M760" i="10"/>
  <c r="M768" i="10"/>
  <c r="M781" i="10"/>
  <c r="M788" i="10"/>
  <c r="M800" i="10"/>
  <c r="C640" i="10"/>
  <c r="C565" i="10"/>
  <c r="B565" i="1"/>
  <c r="C630" i="10"/>
  <c r="C546" i="10"/>
  <c r="G546" i="10" s="1"/>
  <c r="B546" i="1"/>
  <c r="C687" i="10"/>
  <c r="C515" i="10"/>
  <c r="G515" i="10" s="1"/>
  <c r="B515" i="1"/>
  <c r="C568" i="10"/>
  <c r="C643" i="10"/>
  <c r="B568" i="1"/>
  <c r="C677" i="10"/>
  <c r="C505" i="10"/>
  <c r="G505" i="10" s="1"/>
  <c r="B505" i="1"/>
  <c r="C547" i="10"/>
  <c r="C632" i="10"/>
  <c r="B547" i="1"/>
  <c r="C678" i="10"/>
  <c r="C506" i="10"/>
  <c r="G506" i="10" s="1"/>
  <c r="B506" i="1"/>
  <c r="C699" i="10"/>
  <c r="C527" i="10"/>
  <c r="G527" i="10" s="1"/>
  <c r="B527" i="1"/>
  <c r="C633" i="10"/>
  <c r="C548" i="10"/>
  <c r="B548" i="1"/>
  <c r="C645" i="10"/>
  <c r="C570" i="10"/>
  <c r="B570" i="1"/>
  <c r="C707" i="10"/>
  <c r="C535" i="10"/>
  <c r="G535" i="10" s="1"/>
  <c r="B535" i="1"/>
  <c r="C669" i="10"/>
  <c r="C497" i="10"/>
  <c r="G497" i="10" s="1"/>
  <c r="B497" i="1"/>
  <c r="C671" i="10"/>
  <c r="C499" i="10"/>
  <c r="G499" i="10" s="1"/>
  <c r="B499" i="1"/>
  <c r="C690" i="10"/>
  <c r="C518" i="10"/>
  <c r="B518" i="1"/>
  <c r="C711" i="10"/>
  <c r="C539" i="10"/>
  <c r="B539" i="1"/>
  <c r="C560" i="10"/>
  <c r="C627" i="10"/>
  <c r="B560" i="1"/>
  <c r="C713" i="10"/>
  <c r="C541" i="10"/>
  <c r="B541" i="1"/>
  <c r="C644" i="10"/>
  <c r="C569" i="10"/>
  <c r="B569" i="1"/>
  <c r="C705" i="10"/>
  <c r="C533" i="10"/>
  <c r="G533" i="10" s="1"/>
  <c r="B533" i="1"/>
  <c r="G529" i="10"/>
  <c r="H529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H52" i="1" s="1"/>
  <c r="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30" i="8" l="1"/>
  <c r="T730" i="1"/>
  <c r="B473" i="1"/>
  <c r="B474" i="1"/>
  <c r="U730" i="1"/>
  <c r="C31" i="8"/>
  <c r="B472" i="1"/>
  <c r="C29" i="8"/>
  <c r="S730" i="1"/>
  <c r="B478" i="1"/>
  <c r="X730" i="1"/>
  <c r="C34" i="8"/>
  <c r="D277" i="1"/>
  <c r="C32" i="8"/>
  <c r="B475" i="1"/>
  <c r="V730" i="1"/>
  <c r="C33" i="8"/>
  <c r="E756" i="1"/>
  <c r="F44" i="9"/>
  <c r="H172" i="9"/>
  <c r="E811" i="1"/>
  <c r="C204" i="9"/>
  <c r="E776" i="1"/>
  <c r="CE62" i="1"/>
  <c r="I364" i="9" s="1"/>
  <c r="D108" i="9"/>
  <c r="H71" i="1"/>
  <c r="C501" i="1" s="1"/>
  <c r="G501" i="1" s="1"/>
  <c r="CE48" i="1"/>
  <c r="G52" i="1"/>
  <c r="G67" i="1" s="1"/>
  <c r="BQ52" i="1"/>
  <c r="BQ67" i="1" s="1"/>
  <c r="BD52" i="1"/>
  <c r="BD67" i="1" s="1"/>
  <c r="BF52" i="1"/>
  <c r="BF67" i="1" s="1"/>
  <c r="AA52" i="1"/>
  <c r="AA67" i="1" s="1"/>
  <c r="BN52" i="1"/>
  <c r="BN67" i="1" s="1"/>
  <c r="AX52" i="1"/>
  <c r="AX67" i="1" s="1"/>
  <c r="T52" i="1"/>
  <c r="T67" i="1" s="1"/>
  <c r="J751" i="1" s="1"/>
  <c r="CB52" i="1"/>
  <c r="CB67" i="1" s="1"/>
  <c r="C369" i="9" s="1"/>
  <c r="J52" i="1"/>
  <c r="J67" i="1" s="1"/>
  <c r="J71" i="1" s="1"/>
  <c r="AH52" i="1"/>
  <c r="AH67" i="1" s="1"/>
  <c r="BV52" i="1"/>
  <c r="BV67" i="1" s="1"/>
  <c r="AF52" i="1"/>
  <c r="AF67" i="1" s="1"/>
  <c r="P52" i="1"/>
  <c r="P67" i="1" s="1"/>
  <c r="J747" i="1" s="1"/>
  <c r="D52" i="1"/>
  <c r="D67" i="1" s="1"/>
  <c r="AY52" i="1"/>
  <c r="AY67" i="1" s="1"/>
  <c r="I209" i="9" s="1"/>
  <c r="AK52" i="1"/>
  <c r="AK67" i="1" s="1"/>
  <c r="BY52" i="1"/>
  <c r="BY67" i="1" s="1"/>
  <c r="AJ52" i="1"/>
  <c r="AJ67" i="1" s="1"/>
  <c r="H145" i="9" s="1"/>
  <c r="V52" i="1"/>
  <c r="V67" i="1" s="1"/>
  <c r="BM52" i="1"/>
  <c r="BM67" i="1" s="1"/>
  <c r="BR52" i="1"/>
  <c r="BR67" i="1" s="1"/>
  <c r="M52" i="1"/>
  <c r="M67" i="1" s="1"/>
  <c r="F49" i="9" s="1"/>
  <c r="F52" i="1"/>
  <c r="F67" i="1" s="1"/>
  <c r="BP52" i="1"/>
  <c r="BP67" i="1" s="1"/>
  <c r="BP71" i="1" s="1"/>
  <c r="C561" i="1" s="1"/>
  <c r="AN52" i="1"/>
  <c r="AN67" i="1" s="1"/>
  <c r="AG52" i="1"/>
  <c r="AG67" i="1" s="1"/>
  <c r="AG71" i="1" s="1"/>
  <c r="E149" i="9" s="1"/>
  <c r="BO52" i="1"/>
  <c r="BO67" i="1" s="1"/>
  <c r="BX52" i="1"/>
  <c r="BX67" i="1" s="1"/>
  <c r="BT52" i="1"/>
  <c r="BT67" i="1" s="1"/>
  <c r="BT71" i="1" s="1"/>
  <c r="I309" i="9" s="1"/>
  <c r="BE52" i="1"/>
  <c r="BE67" i="1" s="1"/>
  <c r="AW52" i="1"/>
  <c r="AW67" i="1" s="1"/>
  <c r="AM52" i="1"/>
  <c r="AM67" i="1" s="1"/>
  <c r="D177" i="9" s="1"/>
  <c r="AB52" i="1"/>
  <c r="AB67" i="1" s="1"/>
  <c r="G522" i="10"/>
  <c r="H522" i="10"/>
  <c r="G550" i="10"/>
  <c r="H550" i="10"/>
  <c r="G516" i="10"/>
  <c r="H516" i="10"/>
  <c r="CE67" i="10"/>
  <c r="C71" i="10"/>
  <c r="G518" i="10"/>
  <c r="H518" i="10"/>
  <c r="G521" i="10"/>
  <c r="H521" i="10"/>
  <c r="G512" i="10"/>
  <c r="H512" i="10"/>
  <c r="C648" i="10"/>
  <c r="M716" i="10" s="1"/>
  <c r="D615" i="10"/>
  <c r="G524" i="10"/>
  <c r="H524" i="10"/>
  <c r="G517" i="10"/>
  <c r="H517" i="10" s="1"/>
  <c r="G544" i="10"/>
  <c r="H544" i="10"/>
  <c r="G539" i="10"/>
  <c r="H539" i="10"/>
  <c r="G519" i="10"/>
  <c r="H519" i="10"/>
  <c r="G514" i="10"/>
  <c r="H514" i="10" s="1"/>
  <c r="G520" i="10"/>
  <c r="H520" i="10"/>
  <c r="F76" i="9"/>
  <c r="E751" i="1"/>
  <c r="H17" i="9"/>
  <c r="J739" i="1"/>
  <c r="J806" i="10"/>
  <c r="J776" i="10"/>
  <c r="J755" i="10"/>
  <c r="N815" i="1"/>
  <c r="F511" i="1"/>
  <c r="H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C547" i="1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D373" i="9" s="1"/>
  <c r="AC52" i="1"/>
  <c r="AC67" i="1" s="1"/>
  <c r="AC71" i="1" s="1"/>
  <c r="C522" i="1" s="1"/>
  <c r="G522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688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C554" i="1" s="1"/>
  <c r="K52" i="1"/>
  <c r="K67" i="1" s="1"/>
  <c r="K71" i="1" s="1"/>
  <c r="D465" i="1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H498" i="1"/>
  <c r="F498" i="1"/>
  <c r="J80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35" i="8" l="1"/>
  <c r="D292" i="1"/>
  <c r="C632" i="1"/>
  <c r="C531" i="1"/>
  <c r="G531" i="1" s="1"/>
  <c r="C703" i="1"/>
  <c r="C541" i="1"/>
  <c r="C539" i="1"/>
  <c r="G539" i="1" s="1"/>
  <c r="D213" i="9"/>
  <c r="F213" i="9"/>
  <c r="E245" i="9"/>
  <c r="C508" i="1"/>
  <c r="G508" i="1" s="1"/>
  <c r="T71" i="1"/>
  <c r="C513" i="1" s="1"/>
  <c r="G513" i="1" s="1"/>
  <c r="I85" i="9"/>
  <c r="E21" i="9"/>
  <c r="C516" i="1"/>
  <c r="G516" i="1" s="1"/>
  <c r="I117" i="9"/>
  <c r="C695" i="1"/>
  <c r="C574" i="1"/>
  <c r="C680" i="1"/>
  <c r="C526" i="1"/>
  <c r="G526" i="1" s="1"/>
  <c r="CB71" i="1"/>
  <c r="C373" i="9" s="1"/>
  <c r="C502" i="1"/>
  <c r="G502" i="1" s="1"/>
  <c r="E341" i="9"/>
  <c r="C568" i="1"/>
  <c r="C700" i="1"/>
  <c r="C707" i="1"/>
  <c r="C528" i="1"/>
  <c r="G528" i="1" s="1"/>
  <c r="G181" i="9"/>
  <c r="P71" i="1"/>
  <c r="C681" i="1" s="1"/>
  <c r="C498" i="1"/>
  <c r="G498" i="1" s="1"/>
  <c r="C620" i="1"/>
  <c r="C698" i="1"/>
  <c r="F277" i="9"/>
  <c r="C617" i="1"/>
  <c r="I21" i="9"/>
  <c r="C572" i="1"/>
  <c r="C518" i="1"/>
  <c r="G518" i="1" s="1"/>
  <c r="D117" i="9"/>
  <c r="C690" i="1"/>
  <c r="G337" i="9"/>
  <c r="BY71" i="1"/>
  <c r="C557" i="1"/>
  <c r="C637" i="1"/>
  <c r="H277" i="9"/>
  <c r="I145" i="9"/>
  <c r="AK71" i="1"/>
  <c r="J787" i="1"/>
  <c r="BD71" i="1"/>
  <c r="H309" i="9"/>
  <c r="C640" i="1"/>
  <c r="C524" i="1"/>
  <c r="C149" i="9"/>
  <c r="C696" i="1"/>
  <c r="C676" i="1"/>
  <c r="D53" i="9"/>
  <c r="C504" i="1"/>
  <c r="G504" i="1" s="1"/>
  <c r="J780" i="1"/>
  <c r="AW71" i="1"/>
  <c r="F17" i="9"/>
  <c r="F71" i="1"/>
  <c r="J782" i="1"/>
  <c r="AY71" i="1"/>
  <c r="J800" i="1"/>
  <c r="BQ71" i="1"/>
  <c r="E277" i="9"/>
  <c r="G113" i="9"/>
  <c r="AB71" i="1"/>
  <c r="C679" i="1"/>
  <c r="J788" i="1"/>
  <c r="BE71" i="1"/>
  <c r="D17" i="9"/>
  <c r="D71" i="1"/>
  <c r="J781" i="1"/>
  <c r="AX71" i="1"/>
  <c r="J738" i="1"/>
  <c r="G71" i="1"/>
  <c r="I181" i="9"/>
  <c r="C564" i="1"/>
  <c r="E309" i="9"/>
  <c r="C507" i="1"/>
  <c r="G507" i="1" s="1"/>
  <c r="C545" i="1"/>
  <c r="G545" i="1" s="1"/>
  <c r="G85" i="9"/>
  <c r="C514" i="1"/>
  <c r="G514" i="1" s="1"/>
  <c r="C686" i="1"/>
  <c r="J801" i="1"/>
  <c r="BR71" i="1"/>
  <c r="C305" i="9"/>
  <c r="BN71" i="1"/>
  <c r="C709" i="1"/>
  <c r="C552" i="1"/>
  <c r="C565" i="1"/>
  <c r="D85" i="9"/>
  <c r="J771" i="1"/>
  <c r="AN71" i="1"/>
  <c r="C628" i="1"/>
  <c r="C546" i="1"/>
  <c r="G546" i="1" s="1"/>
  <c r="D245" i="9"/>
  <c r="C630" i="1"/>
  <c r="C540" i="1"/>
  <c r="G540" i="1" s="1"/>
  <c r="E213" i="9"/>
  <c r="C712" i="1"/>
  <c r="AM71" i="1"/>
  <c r="C532" i="1" s="1"/>
  <c r="G532" i="1" s="1"/>
  <c r="J807" i="1"/>
  <c r="BX71" i="1"/>
  <c r="I273" i="9"/>
  <c r="BM71" i="1"/>
  <c r="J763" i="1"/>
  <c r="AF71" i="1"/>
  <c r="F113" i="9"/>
  <c r="AA71" i="1"/>
  <c r="C683" i="1"/>
  <c r="C117" i="9"/>
  <c r="C517" i="1"/>
  <c r="G517" i="1" s="1"/>
  <c r="C689" i="1"/>
  <c r="C675" i="1"/>
  <c r="C503" i="1"/>
  <c r="G503" i="1" s="1"/>
  <c r="C53" i="9"/>
  <c r="C641" i="1"/>
  <c r="C566" i="1"/>
  <c r="C341" i="9"/>
  <c r="C677" i="1"/>
  <c r="E53" i="9"/>
  <c r="C505" i="1"/>
  <c r="G505" i="1" s="1"/>
  <c r="C647" i="1"/>
  <c r="D305" i="9"/>
  <c r="BO71" i="1"/>
  <c r="J753" i="1"/>
  <c r="V71" i="1"/>
  <c r="D337" i="9"/>
  <c r="BV71" i="1"/>
  <c r="I241" i="9"/>
  <c r="BF71" i="1"/>
  <c r="C553" i="1"/>
  <c r="E117" i="9"/>
  <c r="D277" i="9"/>
  <c r="C618" i="1"/>
  <c r="C634" i="1"/>
  <c r="C85" i="9"/>
  <c r="C682" i="1"/>
  <c r="C510" i="1"/>
  <c r="G510" i="1" s="1"/>
  <c r="F181" i="9"/>
  <c r="C534" i="1"/>
  <c r="G534" i="1" s="1"/>
  <c r="C706" i="1"/>
  <c r="J767" i="1"/>
  <c r="AJ71" i="1"/>
  <c r="F145" i="9"/>
  <c r="AH71" i="1"/>
  <c r="C519" i="1"/>
  <c r="G519" i="1" s="1"/>
  <c r="M71" i="1"/>
  <c r="C506" i="1" s="1"/>
  <c r="G506" i="1" s="1"/>
  <c r="C621" i="1"/>
  <c r="C673" i="1"/>
  <c r="E816" i="1"/>
  <c r="C708" i="1"/>
  <c r="H181" i="9"/>
  <c r="H21" i="9"/>
  <c r="E815" i="1"/>
  <c r="C710" i="1"/>
  <c r="C213" i="9"/>
  <c r="C538" i="1"/>
  <c r="G538" i="1" s="1"/>
  <c r="C428" i="1"/>
  <c r="G241" i="9"/>
  <c r="G305" i="9"/>
  <c r="J758" i="1"/>
  <c r="F305" i="9"/>
  <c r="J811" i="1"/>
  <c r="J797" i="1"/>
  <c r="G17" i="9"/>
  <c r="J789" i="1"/>
  <c r="J735" i="1"/>
  <c r="J744" i="1"/>
  <c r="J770" i="1"/>
  <c r="J805" i="1"/>
  <c r="D145" i="9"/>
  <c r="C694" i="1"/>
  <c r="F81" i="9"/>
  <c r="J796" i="1"/>
  <c r="H117" i="9"/>
  <c r="E177" i="9"/>
  <c r="J768" i="1"/>
  <c r="H209" i="9"/>
  <c r="H241" i="9"/>
  <c r="G209" i="9"/>
  <c r="J798" i="1"/>
  <c r="I49" i="9"/>
  <c r="J737" i="1"/>
  <c r="J765" i="1"/>
  <c r="F337" i="9"/>
  <c r="J799" i="1"/>
  <c r="E305" i="9"/>
  <c r="J803" i="1"/>
  <c r="I305" i="9"/>
  <c r="J759" i="1"/>
  <c r="C49" i="9"/>
  <c r="J741" i="1"/>
  <c r="H81" i="9"/>
  <c r="E145" i="9"/>
  <c r="J764" i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705" i="10"/>
  <c r="D689" i="10"/>
  <c r="D684" i="10"/>
  <c r="D680" i="10"/>
  <c r="D676" i="10"/>
  <c r="D672" i="10"/>
  <c r="D668" i="10"/>
  <c r="D709" i="10"/>
  <c r="D693" i="10"/>
  <c r="D685" i="10"/>
  <c r="D681" i="10"/>
  <c r="D677" i="10"/>
  <c r="D673" i="10"/>
  <c r="D669" i="10"/>
  <c r="D697" i="10"/>
  <c r="D674" i="10"/>
  <c r="D632" i="10"/>
  <c r="D631" i="10"/>
  <c r="D630" i="10"/>
  <c r="D625" i="10"/>
  <c r="D624" i="10"/>
  <c r="D713" i="10"/>
  <c r="D678" i="10"/>
  <c r="D646" i="10"/>
  <c r="D645" i="10"/>
  <c r="D628" i="10"/>
  <c r="D622" i="10"/>
  <c r="D620" i="10"/>
  <c r="D618" i="10"/>
  <c r="D616" i="10"/>
  <c r="D682" i="10"/>
  <c r="D627" i="10"/>
  <c r="D617" i="10"/>
  <c r="D647" i="10"/>
  <c r="D623" i="10"/>
  <c r="D629" i="10"/>
  <c r="D626" i="10"/>
  <c r="D621" i="10"/>
  <c r="D619" i="10"/>
  <c r="D670" i="10"/>
  <c r="C433" i="10"/>
  <c r="C441" i="10" s="1"/>
  <c r="CE71" i="10"/>
  <c r="C668" i="10"/>
  <c r="C715" i="10" s="1"/>
  <c r="C496" i="10"/>
  <c r="B496" i="1"/>
  <c r="F496" i="1" s="1"/>
  <c r="M733" i="10"/>
  <c r="M814" i="10" s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/>
  <c r="F510" i="1"/>
  <c r="H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09" i="1"/>
  <c r="D341" i="1" l="1"/>
  <c r="C481" i="1" s="1"/>
  <c r="C50" i="8"/>
  <c r="C685" i="1"/>
  <c r="H514" i="1"/>
  <c r="H516" i="1"/>
  <c r="C573" i="1"/>
  <c r="H517" i="1"/>
  <c r="C509" i="1"/>
  <c r="G509" i="1" s="1"/>
  <c r="C622" i="1"/>
  <c r="I53" i="9"/>
  <c r="D181" i="9"/>
  <c r="H518" i="1"/>
  <c r="C704" i="1"/>
  <c r="F53" i="9"/>
  <c r="C678" i="1"/>
  <c r="C697" i="1"/>
  <c r="D149" i="9"/>
  <c r="C525" i="1"/>
  <c r="G525" i="1" s="1"/>
  <c r="F149" i="9"/>
  <c r="C699" i="1"/>
  <c r="C527" i="1"/>
  <c r="G527" i="1" s="1"/>
  <c r="C521" i="1"/>
  <c r="G521" i="1" s="1"/>
  <c r="G117" i="9"/>
  <c r="C693" i="1"/>
  <c r="G524" i="1"/>
  <c r="H524" i="1"/>
  <c r="C668" i="1"/>
  <c r="C496" i="1"/>
  <c r="C21" i="9"/>
  <c r="C642" i="1"/>
  <c r="C567" i="1"/>
  <c r="D341" i="9"/>
  <c r="C638" i="1"/>
  <c r="I277" i="9"/>
  <c r="C558" i="1"/>
  <c r="C616" i="1"/>
  <c r="C543" i="1"/>
  <c r="H213" i="9"/>
  <c r="G213" i="9"/>
  <c r="C631" i="1"/>
  <c r="C542" i="1"/>
  <c r="F21" i="9"/>
  <c r="C671" i="1"/>
  <c r="C499" i="1"/>
  <c r="G499" i="1" s="1"/>
  <c r="C529" i="1"/>
  <c r="G529" i="1" s="1"/>
  <c r="C701" i="1"/>
  <c r="H149" i="9"/>
  <c r="C645" i="1"/>
  <c r="G341" i="9"/>
  <c r="C570" i="1"/>
  <c r="C687" i="1"/>
  <c r="H85" i="9"/>
  <c r="C515" i="1"/>
  <c r="G515" i="1" s="1"/>
  <c r="C569" i="1"/>
  <c r="F341" i="9"/>
  <c r="C644" i="1"/>
  <c r="C559" i="1"/>
  <c r="C619" i="1"/>
  <c r="C309" i="9"/>
  <c r="D21" i="9"/>
  <c r="C497" i="1"/>
  <c r="G497" i="1" s="1"/>
  <c r="C669" i="1"/>
  <c r="F309" i="9"/>
  <c r="C562" i="1"/>
  <c r="C623" i="1"/>
  <c r="G245" i="9"/>
  <c r="C549" i="1"/>
  <c r="C624" i="1"/>
  <c r="I245" i="9"/>
  <c r="C629" i="1"/>
  <c r="C551" i="1"/>
  <c r="C560" i="1"/>
  <c r="C627" i="1"/>
  <c r="D309" i="9"/>
  <c r="F117" i="9"/>
  <c r="C520" i="1"/>
  <c r="C692" i="1"/>
  <c r="C705" i="1"/>
  <c r="E181" i="9"/>
  <c r="C533" i="1"/>
  <c r="G533" i="1" s="1"/>
  <c r="G309" i="9"/>
  <c r="C626" i="1"/>
  <c r="C563" i="1"/>
  <c r="C614" i="1"/>
  <c r="D615" i="1" s="1"/>
  <c r="C550" i="1"/>
  <c r="H245" i="9"/>
  <c r="I213" i="9"/>
  <c r="C625" i="1"/>
  <c r="C544" i="1"/>
  <c r="C530" i="1"/>
  <c r="G530" i="1" s="1"/>
  <c r="C702" i="1"/>
  <c r="I149" i="9"/>
  <c r="C672" i="1"/>
  <c r="C500" i="1"/>
  <c r="G500" i="1" s="1"/>
  <c r="G21" i="9"/>
  <c r="H512" i="1"/>
  <c r="H513" i="1"/>
  <c r="E612" i="10"/>
  <c r="G496" i="10"/>
  <c r="H496" i="10"/>
  <c r="C716" i="10"/>
  <c r="M815" i="10"/>
  <c r="D715" i="10"/>
  <c r="E623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H529" i="1"/>
  <c r="G496" i="1"/>
  <c r="H496" i="1" s="1"/>
  <c r="G520" i="1"/>
  <c r="H520" i="1"/>
  <c r="C715" i="1"/>
  <c r="G550" i="1"/>
  <c r="H550" i="1" s="1"/>
  <c r="D672" i="1"/>
  <c r="D626" i="1"/>
  <c r="D641" i="1"/>
  <c r="D633" i="1"/>
  <c r="D646" i="1"/>
  <c r="D708" i="1"/>
  <c r="D688" i="1"/>
  <c r="D679" i="1"/>
  <c r="D693" i="1"/>
  <c r="D618" i="1"/>
  <c r="D678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D703" i="1"/>
  <c r="D629" i="1"/>
  <c r="D620" i="1"/>
  <c r="D669" i="1"/>
  <c r="D691" i="1"/>
  <c r="D673" i="1"/>
  <c r="D677" i="1"/>
  <c r="D640" i="1"/>
  <c r="D689" i="1"/>
  <c r="D701" i="1"/>
  <c r="D696" i="1"/>
  <c r="D705" i="1"/>
  <c r="D676" i="1"/>
  <c r="D671" i="1"/>
  <c r="D621" i="1"/>
  <c r="D710" i="1"/>
  <c r="D668" i="1"/>
  <c r="D680" i="1"/>
  <c r="D643" i="1"/>
  <c r="D619" i="1"/>
  <c r="D695" i="1"/>
  <c r="D683" i="1"/>
  <c r="D624" i="1"/>
  <c r="D625" i="1"/>
  <c r="D681" i="1"/>
  <c r="D639" i="1"/>
  <c r="D634" i="1"/>
  <c r="D670" i="1"/>
  <c r="D712" i="1"/>
  <c r="D644" i="1"/>
  <c r="D645" i="1"/>
  <c r="D704" i="1"/>
  <c r="D628" i="1"/>
  <c r="D711" i="1"/>
  <c r="D631" i="1"/>
  <c r="D706" i="1"/>
  <c r="D632" i="1"/>
  <c r="D617" i="1"/>
  <c r="D697" i="1"/>
  <c r="D685" i="1"/>
  <c r="D690" i="1"/>
  <c r="D707" i="1"/>
  <c r="D637" i="1"/>
  <c r="D694" i="1"/>
  <c r="D647" i="1"/>
  <c r="D635" i="1"/>
  <c r="D638" i="1"/>
  <c r="D627" i="1"/>
  <c r="C648" i="1"/>
  <c r="M716" i="1" s="1"/>
  <c r="Y816" i="1" s="1"/>
  <c r="G544" i="1"/>
  <c r="H544" i="1"/>
  <c r="I373" i="9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4" i="10"/>
  <c r="E680" i="10"/>
  <c r="E676" i="10"/>
  <c r="E672" i="10"/>
  <c r="E668" i="10"/>
  <c r="E702" i="10"/>
  <c r="E686" i="10"/>
  <c r="E685" i="10"/>
  <c r="E681" i="10"/>
  <c r="E677" i="10"/>
  <c r="E673" i="10"/>
  <c r="E669" i="10"/>
  <c r="E706" i="10"/>
  <c r="E690" i="10"/>
  <c r="E682" i="10"/>
  <c r="E678" i="10"/>
  <c r="E674" i="10"/>
  <c r="E670" i="10"/>
  <c r="E647" i="10"/>
  <c r="E646" i="10"/>
  <c r="E645" i="10"/>
  <c r="E671" i="10"/>
  <c r="E639" i="10"/>
  <c r="E637" i="10"/>
  <c r="E635" i="10"/>
  <c r="E633" i="10"/>
  <c r="E628" i="10"/>
  <c r="E675" i="10"/>
  <c r="E644" i="10"/>
  <c r="E643" i="10"/>
  <c r="E642" i="10"/>
  <c r="E641" i="10"/>
  <c r="E627" i="10"/>
  <c r="E694" i="10"/>
  <c r="E679" i="10"/>
  <c r="E640" i="10"/>
  <c r="E638" i="10"/>
  <c r="E636" i="10"/>
  <c r="E634" i="10"/>
  <c r="E629" i="10"/>
  <c r="E626" i="10"/>
  <c r="E710" i="10"/>
  <c r="E632" i="10"/>
  <c r="E630" i="10"/>
  <c r="E624" i="10"/>
  <c r="E683" i="10"/>
  <c r="E631" i="10"/>
  <c r="E625" i="10"/>
  <c r="C433" i="1"/>
  <c r="C441" i="1" s="1"/>
  <c r="J816" i="1"/>
  <c r="I369" i="9"/>
  <c r="J815" i="10"/>
  <c r="E612" i="1" l="1"/>
  <c r="D715" i="1"/>
  <c r="E623" i="1"/>
  <c r="E715" i="10"/>
  <c r="F624" i="10"/>
  <c r="E716" i="1" l="1"/>
  <c r="E672" i="1"/>
  <c r="E709" i="1"/>
  <c r="E704" i="1"/>
  <c r="E705" i="1"/>
  <c r="E671" i="1"/>
  <c r="E697" i="1"/>
  <c r="E677" i="1"/>
  <c r="E691" i="1"/>
  <c r="E698" i="1"/>
  <c r="E627" i="1"/>
  <c r="E630" i="1"/>
  <c r="E707" i="1"/>
  <c r="E674" i="1"/>
  <c r="E641" i="1"/>
  <c r="E701" i="1"/>
  <c r="E679" i="1"/>
  <c r="E680" i="1"/>
  <c r="E685" i="1"/>
  <c r="E646" i="1"/>
  <c r="E643" i="1"/>
  <c r="E710" i="1"/>
  <c r="E694" i="1"/>
  <c r="E639" i="1"/>
  <c r="E647" i="1"/>
  <c r="E692" i="1"/>
  <c r="E644" i="1"/>
  <c r="E682" i="1"/>
  <c r="E675" i="1"/>
  <c r="E700" i="1"/>
  <c r="E638" i="1"/>
  <c r="E626" i="1"/>
  <c r="E686" i="1"/>
  <c r="E713" i="1"/>
  <c r="E706" i="1"/>
  <c r="E703" i="1"/>
  <c r="E637" i="1"/>
  <c r="E645" i="1"/>
  <c r="E702" i="1"/>
  <c r="E696" i="1"/>
  <c r="E635" i="1"/>
  <c r="E631" i="1"/>
  <c r="E670" i="1"/>
  <c r="E683" i="1"/>
  <c r="E687" i="1"/>
  <c r="E678" i="1"/>
  <c r="E689" i="1"/>
  <c r="E695" i="1"/>
  <c r="E676" i="1"/>
  <c r="E684" i="1"/>
  <c r="E632" i="1"/>
  <c r="E688" i="1"/>
  <c r="E690" i="1"/>
  <c r="E668" i="1"/>
  <c r="E699" i="1"/>
  <c r="E628" i="1"/>
  <c r="E712" i="1"/>
  <c r="E642" i="1"/>
  <c r="E633" i="1"/>
  <c r="E624" i="1"/>
  <c r="E669" i="1"/>
  <c r="E711" i="1"/>
  <c r="E640" i="1"/>
  <c r="E708" i="1"/>
  <c r="E634" i="1"/>
  <c r="E636" i="1"/>
  <c r="E673" i="1"/>
  <c r="E625" i="1"/>
  <c r="E629" i="1"/>
  <c r="E681" i="1"/>
  <c r="E693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5" i="10"/>
  <c r="F681" i="10"/>
  <c r="F677" i="10"/>
  <c r="F673" i="10"/>
  <c r="F669" i="10"/>
  <c r="F716" i="10"/>
  <c r="F699" i="10"/>
  <c r="F682" i="10"/>
  <c r="F678" i="10"/>
  <c r="F674" i="10"/>
  <c r="F670" i="10"/>
  <c r="F647" i="10"/>
  <c r="F646" i="10"/>
  <c r="F703" i="10"/>
  <c r="F687" i="10"/>
  <c r="F683" i="10"/>
  <c r="F679" i="10"/>
  <c r="F675" i="10"/>
  <c r="F671" i="10"/>
  <c r="F644" i="10"/>
  <c r="F643" i="10"/>
  <c r="F642" i="10"/>
  <c r="F641" i="10"/>
  <c r="F691" i="10"/>
  <c r="F684" i="10"/>
  <c r="F668" i="10"/>
  <c r="F645" i="10"/>
  <c r="F627" i="10"/>
  <c r="F707" i="10"/>
  <c r="F672" i="10"/>
  <c r="F640" i="10"/>
  <c r="F638" i="10"/>
  <c r="F636" i="10"/>
  <c r="F634" i="10"/>
  <c r="F629" i="10"/>
  <c r="F626" i="10"/>
  <c r="F676" i="10"/>
  <c r="F632" i="10"/>
  <c r="F631" i="10"/>
  <c r="F630" i="10"/>
  <c r="F625" i="10"/>
  <c r="F680" i="10"/>
  <c r="F637" i="10"/>
  <c r="F639" i="10"/>
  <c r="F633" i="10"/>
  <c r="F628" i="10"/>
  <c r="F635" i="10"/>
  <c r="F624" i="1" l="1"/>
  <c r="E715" i="1"/>
  <c r="F715" i="10"/>
  <c r="G625" i="10"/>
  <c r="F636" i="1" l="1"/>
  <c r="F627" i="1"/>
  <c r="F690" i="1"/>
  <c r="F673" i="1"/>
  <c r="F646" i="1"/>
  <c r="F708" i="1"/>
  <c r="F641" i="1"/>
  <c r="F716" i="1"/>
  <c r="F713" i="1"/>
  <c r="F710" i="1"/>
  <c r="F647" i="1"/>
  <c r="F689" i="1"/>
  <c r="F682" i="1"/>
  <c r="F629" i="1"/>
  <c r="F680" i="1"/>
  <c r="F626" i="1"/>
  <c r="F630" i="1"/>
  <c r="F709" i="1"/>
  <c r="F696" i="1"/>
  <c r="F681" i="1"/>
  <c r="F695" i="1"/>
  <c r="F675" i="1"/>
  <c r="F704" i="1"/>
  <c r="F672" i="1"/>
  <c r="F643" i="1"/>
  <c r="F706" i="1"/>
  <c r="F705" i="1"/>
  <c r="F684" i="1"/>
  <c r="F707" i="1"/>
  <c r="F669" i="1"/>
  <c r="F676" i="1"/>
  <c r="F691" i="1"/>
  <c r="F692" i="1"/>
  <c r="F703" i="1"/>
  <c r="F635" i="1"/>
  <c r="F639" i="1"/>
  <c r="F634" i="1"/>
  <c r="F668" i="1"/>
  <c r="F688" i="1"/>
  <c r="F632" i="1"/>
  <c r="F674" i="1"/>
  <c r="F638" i="1"/>
  <c r="F701" i="1"/>
  <c r="F637" i="1"/>
  <c r="F700" i="1"/>
  <c r="F683" i="1"/>
  <c r="F677" i="1"/>
  <c r="F628" i="1"/>
  <c r="F633" i="1"/>
  <c r="F699" i="1"/>
  <c r="F687" i="1"/>
  <c r="F642" i="1"/>
  <c r="F679" i="1"/>
  <c r="F693" i="1"/>
  <c r="F625" i="1"/>
  <c r="F670" i="1"/>
  <c r="F686" i="1"/>
  <c r="F678" i="1"/>
  <c r="F698" i="1"/>
  <c r="F702" i="1"/>
  <c r="F711" i="1"/>
  <c r="F640" i="1"/>
  <c r="F694" i="1"/>
  <c r="F697" i="1"/>
  <c r="F645" i="1"/>
  <c r="F685" i="1"/>
  <c r="F712" i="1"/>
  <c r="F644" i="1"/>
  <c r="F631" i="1"/>
  <c r="F671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2" i="10"/>
  <c r="G678" i="10"/>
  <c r="G674" i="10"/>
  <c r="G670" i="10"/>
  <c r="G647" i="10"/>
  <c r="G646" i="10"/>
  <c r="G645" i="10"/>
  <c r="G712" i="10"/>
  <c r="G696" i="10"/>
  <c r="G683" i="10"/>
  <c r="G679" i="10"/>
  <c r="G675" i="10"/>
  <c r="G671" i="10"/>
  <c r="G700" i="10"/>
  <c r="G684" i="10"/>
  <c r="G680" i="10"/>
  <c r="G676" i="10"/>
  <c r="G672" i="10"/>
  <c r="G668" i="10"/>
  <c r="G681" i="10"/>
  <c r="G644" i="10"/>
  <c r="G643" i="10"/>
  <c r="G642" i="10"/>
  <c r="G641" i="10"/>
  <c r="G640" i="10"/>
  <c r="G638" i="10"/>
  <c r="G636" i="10"/>
  <c r="G634" i="10"/>
  <c r="G629" i="10"/>
  <c r="G626" i="10"/>
  <c r="G669" i="10"/>
  <c r="G632" i="10"/>
  <c r="G631" i="10"/>
  <c r="G630" i="10"/>
  <c r="G688" i="10"/>
  <c r="G673" i="10"/>
  <c r="G639" i="10"/>
  <c r="G637" i="10"/>
  <c r="G635" i="10"/>
  <c r="G633" i="10"/>
  <c r="G628" i="10"/>
  <c r="H628" i="10" s="1"/>
  <c r="G627" i="10"/>
  <c r="G704" i="10"/>
  <c r="G677" i="10"/>
  <c r="F715" i="1" l="1"/>
  <c r="G625" i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3" i="10"/>
  <c r="H679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709" i="10"/>
  <c r="H693" i="10"/>
  <c r="H684" i="10"/>
  <c r="H680" i="10"/>
  <c r="H676" i="10"/>
  <c r="H672" i="10"/>
  <c r="H668" i="10"/>
  <c r="H713" i="10"/>
  <c r="H697" i="10"/>
  <c r="H681" i="10"/>
  <c r="H677" i="10"/>
  <c r="H673" i="10"/>
  <c r="H669" i="10"/>
  <c r="H678" i="10"/>
  <c r="H646" i="10"/>
  <c r="H632" i="10"/>
  <c r="H631" i="10"/>
  <c r="H630" i="10"/>
  <c r="H701" i="10"/>
  <c r="H685" i="10"/>
  <c r="H682" i="10"/>
  <c r="H670" i="10"/>
  <c r="H647" i="10"/>
  <c r="H674" i="10"/>
  <c r="H629" i="10"/>
  <c r="H645" i="10"/>
  <c r="G715" i="10"/>
  <c r="G690" i="1" l="1"/>
  <c r="G633" i="1"/>
  <c r="G716" i="1"/>
  <c r="G701" i="1"/>
  <c r="G635" i="1"/>
  <c r="G644" i="1"/>
  <c r="G642" i="1"/>
  <c r="G711" i="1"/>
  <c r="G704" i="1"/>
  <c r="G680" i="1"/>
  <c r="G679" i="1"/>
  <c r="G706" i="1"/>
  <c r="G681" i="1"/>
  <c r="G692" i="1"/>
  <c r="G637" i="1"/>
  <c r="G640" i="1"/>
  <c r="G695" i="1"/>
  <c r="G712" i="1"/>
  <c r="G700" i="1"/>
  <c r="G685" i="1"/>
  <c r="G709" i="1"/>
  <c r="G687" i="1"/>
  <c r="G628" i="1"/>
  <c r="G707" i="1"/>
  <c r="G676" i="1"/>
  <c r="G643" i="1"/>
  <c r="G674" i="1"/>
  <c r="G699" i="1"/>
  <c r="G682" i="1"/>
  <c r="G697" i="1"/>
  <c r="G693" i="1"/>
  <c r="G670" i="1"/>
  <c r="G631" i="1"/>
  <c r="G632" i="1"/>
  <c r="G634" i="1"/>
  <c r="G678" i="1"/>
  <c r="G710" i="1"/>
  <c r="G684" i="1"/>
  <c r="G698" i="1"/>
  <c r="G639" i="1"/>
  <c r="G668" i="1"/>
  <c r="G686" i="1"/>
  <c r="G689" i="1"/>
  <c r="G683" i="1"/>
  <c r="G647" i="1"/>
  <c r="G713" i="1"/>
  <c r="G702" i="1"/>
  <c r="G672" i="1"/>
  <c r="G675" i="1"/>
  <c r="G705" i="1"/>
  <c r="G677" i="1"/>
  <c r="G691" i="1"/>
  <c r="G627" i="1"/>
  <c r="G629" i="1"/>
  <c r="G703" i="1"/>
  <c r="G696" i="1"/>
  <c r="G646" i="1"/>
  <c r="G673" i="1"/>
  <c r="G638" i="1"/>
  <c r="G669" i="1"/>
  <c r="G641" i="1"/>
  <c r="G636" i="1"/>
  <c r="G708" i="1"/>
  <c r="G694" i="1"/>
  <c r="G645" i="1"/>
  <c r="G626" i="1"/>
  <c r="G630" i="1"/>
  <c r="G671" i="1"/>
  <c r="G688" i="1"/>
  <c r="H715" i="10"/>
  <c r="I629" i="10"/>
  <c r="H628" i="1" l="1"/>
  <c r="G715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4" i="10"/>
  <c r="I680" i="10"/>
  <c r="I676" i="10"/>
  <c r="I672" i="10"/>
  <c r="I668" i="10"/>
  <c r="I706" i="10"/>
  <c r="I690" i="10"/>
  <c r="I681" i="10"/>
  <c r="I677" i="10"/>
  <c r="I673" i="10"/>
  <c r="I669" i="10"/>
  <c r="I710" i="10"/>
  <c r="I694" i="10"/>
  <c r="I685" i="10"/>
  <c r="I682" i="10"/>
  <c r="I678" i="10"/>
  <c r="I674" i="10"/>
  <c r="I670" i="10"/>
  <c r="I647" i="10"/>
  <c r="I646" i="10"/>
  <c r="I645" i="10"/>
  <c r="I675" i="10"/>
  <c r="I679" i="10"/>
  <c r="I639" i="10"/>
  <c r="I637" i="10"/>
  <c r="I635" i="10"/>
  <c r="I633" i="10"/>
  <c r="I683" i="10"/>
  <c r="I643" i="10"/>
  <c r="I634" i="10"/>
  <c r="I642" i="10"/>
  <c r="I636" i="10"/>
  <c r="I631" i="10"/>
  <c r="I698" i="10"/>
  <c r="I671" i="10"/>
  <c r="I641" i="10"/>
  <c r="I638" i="10"/>
  <c r="I644" i="10"/>
  <c r="I632" i="10"/>
  <c r="I640" i="10"/>
  <c r="I630" i="10"/>
  <c r="H702" i="1" l="1"/>
  <c r="H643" i="1"/>
  <c r="H683" i="1"/>
  <c r="H681" i="1"/>
  <c r="H684" i="1"/>
  <c r="H647" i="1"/>
  <c r="H704" i="1"/>
  <c r="H685" i="1"/>
  <c r="H706" i="1"/>
  <c r="H682" i="1"/>
  <c r="H630" i="1"/>
  <c r="H693" i="1"/>
  <c r="H638" i="1"/>
  <c r="H711" i="1"/>
  <c r="H631" i="1"/>
  <c r="H703" i="1"/>
  <c r="H636" i="1"/>
  <c r="H644" i="1"/>
  <c r="H688" i="1"/>
  <c r="H672" i="1"/>
  <c r="H646" i="1"/>
  <c r="H696" i="1"/>
  <c r="H635" i="1"/>
  <c r="H639" i="1"/>
  <c r="H692" i="1"/>
  <c r="H708" i="1"/>
  <c r="H670" i="1"/>
  <c r="H640" i="1"/>
  <c r="H686" i="1"/>
  <c r="H691" i="1"/>
  <c r="H632" i="1"/>
  <c r="H701" i="1"/>
  <c r="H629" i="1"/>
  <c r="H698" i="1"/>
  <c r="H671" i="1"/>
  <c r="H669" i="1"/>
  <c r="H705" i="1"/>
  <c r="H675" i="1"/>
  <c r="H680" i="1"/>
  <c r="H694" i="1"/>
  <c r="H687" i="1"/>
  <c r="H679" i="1"/>
  <c r="H676" i="1"/>
  <c r="H689" i="1"/>
  <c r="H699" i="1"/>
  <c r="H634" i="1"/>
  <c r="H690" i="1"/>
  <c r="H633" i="1"/>
  <c r="H668" i="1"/>
  <c r="H637" i="1"/>
  <c r="H678" i="1"/>
  <c r="H707" i="1"/>
  <c r="H712" i="1"/>
  <c r="H642" i="1"/>
  <c r="H673" i="1"/>
  <c r="H716" i="1"/>
  <c r="H713" i="1"/>
  <c r="H700" i="1"/>
  <c r="H645" i="1"/>
  <c r="H641" i="1"/>
  <c r="H710" i="1"/>
  <c r="H709" i="1"/>
  <c r="H677" i="1"/>
  <c r="H674" i="1"/>
  <c r="H695" i="1"/>
  <c r="H697" i="1"/>
  <c r="I715" i="10"/>
  <c r="J630" i="10"/>
  <c r="I629" i="1" l="1"/>
  <c r="H715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1" i="10"/>
  <c r="J677" i="10"/>
  <c r="J673" i="10"/>
  <c r="J669" i="10"/>
  <c r="J703" i="10"/>
  <c r="J687" i="10"/>
  <c r="J685" i="10"/>
  <c r="J682" i="10"/>
  <c r="J678" i="10"/>
  <c r="J674" i="10"/>
  <c r="J670" i="10"/>
  <c r="J647" i="10"/>
  <c r="J646" i="10"/>
  <c r="J707" i="10"/>
  <c r="J691" i="10"/>
  <c r="J683" i="10"/>
  <c r="J679" i="10"/>
  <c r="J675" i="10"/>
  <c r="J671" i="10"/>
  <c r="J644" i="10"/>
  <c r="J643" i="10"/>
  <c r="J642" i="10"/>
  <c r="J641" i="10"/>
  <c r="J640" i="10"/>
  <c r="J672" i="10"/>
  <c r="J639" i="10"/>
  <c r="J637" i="10"/>
  <c r="J635" i="10"/>
  <c r="J633" i="10"/>
  <c r="J695" i="10"/>
  <c r="J676" i="10"/>
  <c r="J711" i="10"/>
  <c r="J680" i="10"/>
  <c r="J645" i="10"/>
  <c r="J638" i="10"/>
  <c r="J636" i="10"/>
  <c r="J634" i="10"/>
  <c r="J632" i="10"/>
  <c r="J631" i="10"/>
  <c r="J668" i="10"/>
  <c r="J684" i="10"/>
  <c r="I676" i="1" l="1"/>
  <c r="I711" i="1"/>
  <c r="I700" i="1"/>
  <c r="I643" i="1"/>
  <c r="I681" i="1"/>
  <c r="I678" i="1"/>
  <c r="I690" i="1"/>
  <c r="I683" i="1"/>
  <c r="I669" i="1"/>
  <c r="I685" i="1"/>
  <c r="I682" i="1"/>
  <c r="I638" i="1"/>
  <c r="I670" i="1"/>
  <c r="I707" i="1"/>
  <c r="I695" i="1"/>
  <c r="I672" i="1"/>
  <c r="I673" i="1"/>
  <c r="I697" i="1"/>
  <c r="I671" i="1"/>
  <c r="I636" i="1"/>
  <c r="I691" i="1"/>
  <c r="I630" i="1"/>
  <c r="I716" i="1"/>
  <c r="I645" i="1"/>
  <c r="I692" i="1"/>
  <c r="I709" i="1"/>
  <c r="I674" i="1"/>
  <c r="I631" i="1"/>
  <c r="I710" i="1"/>
  <c r="I705" i="1"/>
  <c r="I639" i="1"/>
  <c r="I694" i="1"/>
  <c r="I704" i="1"/>
  <c r="I640" i="1"/>
  <c r="I642" i="1"/>
  <c r="I679" i="1"/>
  <c r="I646" i="1"/>
  <c r="I713" i="1"/>
  <c r="I644" i="1"/>
  <c r="I696" i="1"/>
  <c r="I633" i="1"/>
  <c r="I706" i="1"/>
  <c r="I701" i="1"/>
  <c r="I641" i="1"/>
  <c r="I703" i="1"/>
  <c r="I687" i="1"/>
  <c r="I680" i="1"/>
  <c r="I702" i="1"/>
  <c r="I698" i="1"/>
  <c r="I637" i="1"/>
  <c r="I712" i="1"/>
  <c r="I686" i="1"/>
  <c r="I684" i="1"/>
  <c r="I668" i="1"/>
  <c r="I635" i="1"/>
  <c r="I632" i="1"/>
  <c r="I647" i="1"/>
  <c r="I699" i="1"/>
  <c r="I688" i="1"/>
  <c r="I677" i="1"/>
  <c r="I693" i="1"/>
  <c r="I708" i="1"/>
  <c r="I689" i="1"/>
  <c r="I675" i="1"/>
  <c r="I634" i="1"/>
  <c r="K644" i="10"/>
  <c r="J715" i="10"/>
  <c r="L647" i="10"/>
  <c r="J630" i="1" l="1"/>
  <c r="I715" i="1"/>
  <c r="L710" i="10"/>
  <c r="L706" i="10"/>
  <c r="L702" i="10"/>
  <c r="L698" i="10"/>
  <c r="M698" i="10" s="1"/>
  <c r="Z764" i="10" s="1"/>
  <c r="L694" i="10"/>
  <c r="L690" i="10"/>
  <c r="L686" i="10"/>
  <c r="L716" i="10"/>
  <c r="L711" i="10"/>
  <c r="L707" i="10"/>
  <c r="L703" i="10"/>
  <c r="L699" i="10"/>
  <c r="M699" i="10" s="1"/>
  <c r="Z765" i="10" s="1"/>
  <c r="L695" i="10"/>
  <c r="L691" i="10"/>
  <c r="L687" i="10"/>
  <c r="L712" i="10"/>
  <c r="M712" i="10" s="1"/>
  <c r="Z778" i="10" s="1"/>
  <c r="L708" i="10"/>
  <c r="L704" i="10"/>
  <c r="L700" i="10"/>
  <c r="L696" i="10"/>
  <c r="L692" i="10"/>
  <c r="L688" i="10"/>
  <c r="L709" i="10"/>
  <c r="L693" i="10"/>
  <c r="M693" i="10" s="1"/>
  <c r="Z759" i="10" s="1"/>
  <c r="L685" i="10"/>
  <c r="L683" i="10"/>
  <c r="L679" i="10"/>
  <c r="L675" i="10"/>
  <c r="L671" i="10"/>
  <c r="L713" i="10"/>
  <c r="L697" i="10"/>
  <c r="L684" i="10"/>
  <c r="L680" i="10"/>
  <c r="L676" i="10"/>
  <c r="L672" i="10"/>
  <c r="L668" i="10"/>
  <c r="L701" i="10"/>
  <c r="L681" i="10"/>
  <c r="L677" i="10"/>
  <c r="L673" i="10"/>
  <c r="M673" i="10" s="1"/>
  <c r="Z739" i="10" s="1"/>
  <c r="L669" i="10"/>
  <c r="L682" i="10"/>
  <c r="M682" i="10" s="1"/>
  <c r="Z748" i="10" s="1"/>
  <c r="L689" i="10"/>
  <c r="L670" i="10"/>
  <c r="L705" i="10"/>
  <c r="L674" i="10"/>
  <c r="M674" i="10" s="1"/>
  <c r="Z740" i="10" s="1"/>
  <c r="L678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2" i="10"/>
  <c r="K678" i="10"/>
  <c r="K674" i="10"/>
  <c r="K670" i="10"/>
  <c r="K700" i="10"/>
  <c r="K683" i="10"/>
  <c r="K679" i="10"/>
  <c r="K675" i="10"/>
  <c r="K671" i="10"/>
  <c r="K704" i="10"/>
  <c r="K688" i="10"/>
  <c r="K684" i="10"/>
  <c r="K680" i="10"/>
  <c r="K676" i="10"/>
  <c r="K672" i="10"/>
  <c r="K668" i="10"/>
  <c r="K715" i="10" s="1"/>
  <c r="K708" i="10"/>
  <c r="K669" i="10"/>
  <c r="K673" i="10"/>
  <c r="K677" i="10"/>
  <c r="K692" i="10"/>
  <c r="K681" i="10"/>
  <c r="J712" i="1" l="1"/>
  <c r="J691" i="1"/>
  <c r="J703" i="1"/>
  <c r="J707" i="1"/>
  <c r="J683" i="1"/>
  <c r="J670" i="1"/>
  <c r="J634" i="1"/>
  <c r="J669" i="1"/>
  <c r="J711" i="1"/>
  <c r="J699" i="1"/>
  <c r="J673" i="1"/>
  <c r="J694" i="1"/>
  <c r="J675" i="1"/>
  <c r="J687" i="1"/>
  <c r="J686" i="1"/>
  <c r="J710" i="1"/>
  <c r="J647" i="1"/>
  <c r="J637" i="1"/>
  <c r="J681" i="1"/>
  <c r="J680" i="1"/>
  <c r="J640" i="1"/>
  <c r="J632" i="1"/>
  <c r="J635" i="1"/>
  <c r="J690" i="1"/>
  <c r="J692" i="1"/>
  <c r="J633" i="1"/>
  <c r="J679" i="1"/>
  <c r="J709" i="1"/>
  <c r="J636" i="1"/>
  <c r="J693" i="1"/>
  <c r="J705" i="1"/>
  <c r="J678" i="1"/>
  <c r="J646" i="1"/>
  <c r="J639" i="1"/>
  <c r="J716" i="1"/>
  <c r="J672" i="1"/>
  <c r="J668" i="1"/>
  <c r="J645" i="1"/>
  <c r="L647" i="1" s="1"/>
  <c r="J644" i="1"/>
  <c r="J671" i="1"/>
  <c r="J676" i="1"/>
  <c r="J674" i="1"/>
  <c r="J696" i="1"/>
  <c r="J708" i="1"/>
  <c r="J631" i="1"/>
  <c r="J701" i="1"/>
  <c r="J638" i="1"/>
  <c r="J698" i="1"/>
  <c r="J684" i="1"/>
  <c r="J689" i="1"/>
  <c r="J702" i="1"/>
  <c r="J688" i="1"/>
  <c r="J642" i="1"/>
  <c r="J695" i="1"/>
  <c r="J685" i="1"/>
  <c r="J706" i="1"/>
  <c r="J700" i="1"/>
  <c r="J677" i="1"/>
  <c r="J713" i="1"/>
  <c r="J697" i="1"/>
  <c r="J641" i="1"/>
  <c r="J643" i="1"/>
  <c r="J682" i="1"/>
  <c r="J704" i="1"/>
  <c r="M675" i="10"/>
  <c r="Z741" i="10" s="1"/>
  <c r="M678" i="10"/>
  <c r="Z744" i="10" s="1"/>
  <c r="M689" i="10"/>
  <c r="Z755" i="10" s="1"/>
  <c r="M677" i="10"/>
  <c r="Z743" i="10" s="1"/>
  <c r="M672" i="10"/>
  <c r="Z738" i="10" s="1"/>
  <c r="M697" i="10"/>
  <c r="Z763" i="10" s="1"/>
  <c r="M679" i="10"/>
  <c r="Z745" i="10" s="1"/>
  <c r="M709" i="10"/>
  <c r="Z775" i="10" s="1"/>
  <c r="M700" i="10"/>
  <c r="Z766" i="10" s="1"/>
  <c r="M687" i="10"/>
  <c r="Z753" i="10" s="1"/>
  <c r="M703" i="10"/>
  <c r="Z769" i="10" s="1"/>
  <c r="M686" i="10"/>
  <c r="Z752" i="10" s="1"/>
  <c r="M702" i="10"/>
  <c r="Z768" i="10" s="1"/>
  <c r="M696" i="10"/>
  <c r="Z762" i="10" s="1"/>
  <c r="M681" i="10"/>
  <c r="Z747" i="10" s="1"/>
  <c r="M676" i="10"/>
  <c r="Z742" i="10" s="1"/>
  <c r="M713" i="10"/>
  <c r="M683" i="10"/>
  <c r="Z749" i="10" s="1"/>
  <c r="M688" i="10"/>
  <c r="Z754" i="10" s="1"/>
  <c r="M704" i="10"/>
  <c r="Z770" i="10" s="1"/>
  <c r="M691" i="10"/>
  <c r="Z757" i="10" s="1"/>
  <c r="M707" i="10"/>
  <c r="Z773" i="10" s="1"/>
  <c r="M690" i="10"/>
  <c r="Z756" i="10" s="1"/>
  <c r="M706" i="10"/>
  <c r="Z772" i="10" s="1"/>
  <c r="M670" i="10"/>
  <c r="Z736" i="10" s="1"/>
  <c r="L715" i="10"/>
  <c r="M668" i="10"/>
  <c r="M684" i="10"/>
  <c r="Z750" i="10" s="1"/>
  <c r="M705" i="10"/>
  <c r="Z771" i="10" s="1"/>
  <c r="M669" i="10"/>
  <c r="Z735" i="10" s="1"/>
  <c r="M701" i="10"/>
  <c r="Z767" i="10" s="1"/>
  <c r="M680" i="10"/>
  <c r="Z746" i="10" s="1"/>
  <c r="M671" i="10"/>
  <c r="Z737" i="10" s="1"/>
  <c r="M685" i="10"/>
  <c r="Z751" i="10" s="1"/>
  <c r="M692" i="10"/>
  <c r="Z758" i="10" s="1"/>
  <c r="M708" i="10"/>
  <c r="Z774" i="10" s="1"/>
  <c r="M695" i="10"/>
  <c r="Z761" i="10" s="1"/>
  <c r="M711" i="10"/>
  <c r="Z777" i="10" s="1"/>
  <c r="M694" i="10"/>
  <c r="Z760" i="10" s="1"/>
  <c r="M710" i="10"/>
  <c r="Z776" i="10" s="1"/>
  <c r="L669" i="1" l="1"/>
  <c r="L688" i="1"/>
  <c r="L702" i="1"/>
  <c r="L686" i="1"/>
  <c r="L668" i="1"/>
  <c r="L707" i="1"/>
  <c r="L710" i="1"/>
  <c r="L672" i="1"/>
  <c r="L695" i="1"/>
  <c r="L676" i="1"/>
  <c r="L705" i="1"/>
  <c r="L682" i="1"/>
  <c r="L694" i="1"/>
  <c r="L704" i="1"/>
  <c r="L716" i="1"/>
  <c r="L713" i="1"/>
  <c r="L673" i="1"/>
  <c r="L701" i="1"/>
  <c r="L681" i="1"/>
  <c r="L696" i="1"/>
  <c r="L685" i="1"/>
  <c r="L709" i="1"/>
  <c r="L670" i="1"/>
  <c r="L679" i="1"/>
  <c r="L680" i="1"/>
  <c r="L706" i="1"/>
  <c r="L693" i="1"/>
  <c r="L674" i="1"/>
  <c r="L712" i="1"/>
  <c r="L677" i="1"/>
  <c r="L703" i="1"/>
  <c r="L699" i="1"/>
  <c r="L671" i="1"/>
  <c r="L700" i="1"/>
  <c r="L691" i="1"/>
  <c r="L690" i="1"/>
  <c r="L678" i="1"/>
  <c r="L687" i="1"/>
  <c r="L698" i="1"/>
  <c r="L692" i="1"/>
  <c r="L697" i="1"/>
  <c r="L675" i="1"/>
  <c r="L708" i="1"/>
  <c r="L711" i="1"/>
  <c r="L689" i="1"/>
  <c r="L683" i="1"/>
  <c r="L684" i="1"/>
  <c r="J715" i="1"/>
  <c r="K644" i="1"/>
  <c r="M715" i="10"/>
  <c r="Z815" i="10" s="1"/>
  <c r="Z734" i="10"/>
  <c r="Z814" i="10" s="1"/>
  <c r="L715" i="1" l="1"/>
  <c r="K671" i="1"/>
  <c r="M671" i="1" s="1"/>
  <c r="K674" i="1"/>
  <c r="M674" i="1" s="1"/>
  <c r="K692" i="1"/>
  <c r="M692" i="1" s="1"/>
  <c r="K688" i="1"/>
  <c r="M688" i="1" s="1"/>
  <c r="K700" i="1"/>
  <c r="M700" i="1" s="1"/>
  <c r="K677" i="1"/>
  <c r="M677" i="1" s="1"/>
  <c r="K699" i="1"/>
  <c r="M699" i="1" s="1"/>
  <c r="K702" i="1"/>
  <c r="M702" i="1" s="1"/>
  <c r="K670" i="1"/>
  <c r="M670" i="1" s="1"/>
  <c r="K695" i="1"/>
  <c r="M695" i="1" s="1"/>
  <c r="K690" i="1"/>
  <c r="M690" i="1" s="1"/>
  <c r="K679" i="1"/>
  <c r="M679" i="1" s="1"/>
  <c r="K696" i="1"/>
  <c r="M696" i="1" s="1"/>
  <c r="K678" i="1"/>
  <c r="M678" i="1" s="1"/>
  <c r="K697" i="1"/>
  <c r="M697" i="1" s="1"/>
  <c r="K712" i="1"/>
  <c r="M712" i="1" s="1"/>
  <c r="K709" i="1"/>
  <c r="M709" i="1" s="1"/>
  <c r="K703" i="1"/>
  <c r="M703" i="1" s="1"/>
  <c r="K684" i="1"/>
  <c r="M684" i="1" s="1"/>
  <c r="K707" i="1"/>
  <c r="M707" i="1" s="1"/>
  <c r="K713" i="1"/>
  <c r="M713" i="1" s="1"/>
  <c r="K681" i="1"/>
  <c r="M681" i="1" s="1"/>
  <c r="K704" i="1"/>
  <c r="M704" i="1" s="1"/>
  <c r="K706" i="1"/>
  <c r="M706" i="1" s="1"/>
  <c r="K689" i="1"/>
  <c r="M689" i="1" s="1"/>
  <c r="K687" i="1"/>
  <c r="M687" i="1" s="1"/>
  <c r="K672" i="1"/>
  <c r="M672" i="1" s="1"/>
  <c r="K711" i="1"/>
  <c r="M711" i="1" s="1"/>
  <c r="K693" i="1"/>
  <c r="M693" i="1" s="1"/>
  <c r="K682" i="1"/>
  <c r="M682" i="1" s="1"/>
  <c r="K669" i="1"/>
  <c r="M669" i="1" s="1"/>
  <c r="K708" i="1"/>
  <c r="M708" i="1" s="1"/>
  <c r="K683" i="1"/>
  <c r="M683" i="1" s="1"/>
  <c r="K668" i="1"/>
  <c r="K694" i="1"/>
  <c r="M694" i="1" s="1"/>
  <c r="K705" i="1"/>
  <c r="M705" i="1" s="1"/>
  <c r="K673" i="1"/>
  <c r="M673" i="1" s="1"/>
  <c r="K691" i="1"/>
  <c r="M691" i="1" s="1"/>
  <c r="K710" i="1"/>
  <c r="M710" i="1" s="1"/>
  <c r="K698" i="1"/>
  <c r="M698" i="1" s="1"/>
  <c r="K676" i="1"/>
  <c r="M676" i="1" s="1"/>
  <c r="K701" i="1"/>
  <c r="M701" i="1" s="1"/>
  <c r="K680" i="1"/>
  <c r="M680" i="1" s="1"/>
  <c r="K686" i="1"/>
  <c r="M686" i="1" s="1"/>
  <c r="K675" i="1"/>
  <c r="M675" i="1" s="1"/>
  <c r="K716" i="1"/>
  <c r="K685" i="1"/>
  <c r="M685" i="1" s="1"/>
  <c r="Y765" i="1" l="1"/>
  <c r="F151" i="9"/>
  <c r="Y757" i="1"/>
  <c r="E119" i="9"/>
  <c r="C87" i="9"/>
  <c r="Y748" i="1"/>
  <c r="I55" i="9"/>
  <c r="Y747" i="1"/>
  <c r="F55" i="9"/>
  <c r="Y744" i="1"/>
  <c r="Y743" i="1"/>
  <c r="E55" i="9"/>
  <c r="Y776" i="1"/>
  <c r="C215" i="9"/>
  <c r="C151" i="9"/>
  <c r="Y762" i="1"/>
  <c r="Y766" i="1"/>
  <c r="G151" i="9"/>
  <c r="D23" i="9"/>
  <c r="Y735" i="1"/>
  <c r="Y779" i="1"/>
  <c r="F215" i="9"/>
  <c r="D215" i="9"/>
  <c r="Y777" i="1"/>
  <c r="G183" i="9"/>
  <c r="Y773" i="1"/>
  <c r="G55" i="9"/>
  <c r="Y745" i="1"/>
  <c r="I87" i="9"/>
  <c r="Y754" i="1"/>
  <c r="Y759" i="1"/>
  <c r="G119" i="9"/>
  <c r="H55" i="9"/>
  <c r="Y746" i="1"/>
  <c r="G23" i="9"/>
  <c r="Y738" i="1"/>
  <c r="Y750" i="1"/>
  <c r="E87" i="9"/>
  <c r="D119" i="9"/>
  <c r="Y756" i="1"/>
  <c r="F119" i="9"/>
  <c r="Y758" i="1"/>
  <c r="D151" i="9"/>
  <c r="Y763" i="1"/>
  <c r="Y752" i="1"/>
  <c r="G87" i="9"/>
  <c r="H151" i="9"/>
  <c r="Y767" i="1"/>
  <c r="K715" i="1"/>
  <c r="M668" i="1"/>
  <c r="H87" i="9"/>
  <c r="Y753" i="1"/>
  <c r="Y769" i="1"/>
  <c r="C183" i="9"/>
  <c r="Y761" i="1"/>
  <c r="I119" i="9"/>
  <c r="Y740" i="1"/>
  <c r="I23" i="9"/>
  <c r="D183" i="9"/>
  <c r="Y770" i="1"/>
  <c r="Y739" i="1"/>
  <c r="H23" i="9"/>
  <c r="Y771" i="1"/>
  <c r="E183" i="9"/>
  <c r="D55" i="9"/>
  <c r="Y742" i="1"/>
  <c r="Y749" i="1"/>
  <c r="D87" i="9"/>
  <c r="C119" i="9"/>
  <c r="Y755" i="1"/>
  <c r="Y775" i="1"/>
  <c r="I183" i="9"/>
  <c r="Y736" i="1"/>
  <c r="E23" i="9"/>
  <c r="Y737" i="1"/>
  <c r="F23" i="9"/>
  <c r="Y751" i="1"/>
  <c r="F87" i="9"/>
  <c r="Y741" i="1"/>
  <c r="C55" i="9"/>
  <c r="H119" i="9"/>
  <c r="Y760" i="1"/>
  <c r="Y764" i="1"/>
  <c r="E151" i="9"/>
  <c r="H183" i="9"/>
  <c r="Y774" i="1"/>
  <c r="Y772" i="1"/>
  <c r="F183" i="9"/>
  <c r="E215" i="9"/>
  <c r="Y778" i="1"/>
  <c r="Y768" i="1"/>
  <c r="I151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<sst xmlns="http://schemas.openxmlformats.org/spreadsheetml/2006/main" count="5015" uniqueCount="1282">
  <si>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</si>
  <si>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</si>
  <si>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</si>
  <si>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</si>
  <si>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</si>
  <si>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</si>
  <si>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</si>
  <si>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</si>
  <si>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</si>
  <si>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</si>
  <si>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</si>
  <si>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</si>
  <si>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</si>
  <si>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</si>
  <si>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</si>
  <si>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</si>
  <si>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</si>
  <si>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</si>
  <si>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</si>
  <si>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</si>
  <si>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</si>
  <si>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</si>
  <si>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</si>
  <si>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</si>
  <si>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</si>
  <si>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</si>
  <si>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</si>
  <si>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</si>
  <si>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</si>
  <si>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</si>
  <si>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</si>
  <si>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</si>
  <si>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</si>
  <si>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</si>
  <si>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</si>
  <si>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</si>
  <si>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</si>
  <si>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</si>
  <si>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</si>
  <si>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</si>
  <si>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</si>
  <si>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</si>
  <si>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</si>
  <si>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</si>
  <si>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</si>
  <si>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</si>
  <si>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</si>
  <si>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</si>
  <si>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</si>
  <si>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</si>
  <si>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</si>
  <si>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</si>
  <si>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</si>
  <si>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</si>
  <si>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</si>
  <si>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</si>
  <si>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</si>
  <si>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</si>
  <si>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</si>
  <si>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</si>
  <si>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</si>
  <si>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</si>
  <si>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</si>
  <si>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</si>
  <si>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</si>
  <si>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</si>
  <si>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</si>
  <si>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</si>
  <si>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</si>
  <si>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</si>
  <si>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</si>
  <si>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</si>
  <si>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</si>
  <si>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</si>
  <si>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</si>
  <si>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</si>
  <si>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</si>
  <si>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</si>
  <si>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</si>
  <si>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</si>
  <si>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</si>
  <si>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</si>
  <si>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</si>
  <si>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</si>
  <si>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</si>
  <si>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</si>
  <si>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</si>
  <si>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</si>
  <si>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</si>
  <si>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</si>
  <si>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</si>
  <si>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</si>
  <si>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</si>
  <si>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</si>
  <si>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</si>
  <si>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</si>
  <si>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</si>
  <si>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</si>
  <si>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</si>
  <si>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</si>
  <si>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</si>
  <si>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</si>
  <si>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</si>
  <si>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</si>
  <si>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</si>
  <si>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</si>
  <si>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</si>
  <si>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</si>
  <si>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</si>
  <si>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</si>
  <si>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</si>
  <si>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</si>
  <si>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</si>
  <si>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</si>
  <si>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</si>
  <si>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</si>
  <si>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</si>
  <si>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</si>
  <si>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</si>
  <si>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</si>
  <si>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</si>
  <si>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</si>
  <si>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</si>
  <si>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</si>
  <si>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</si>
  <si>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</si>
  <si>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</si>
  <si>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</si>
  <si>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</si>
  <si>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</si>
  <si>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</si>
  <si>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</si>
  <si>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</si>
  <si>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</si>
  <si>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</si>
  <si>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</si>
  <si>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</si>
  <si>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</si>
  <si>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</si>
  <si>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</si>
  <si>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</si>
  <si>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</si>
  <si>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</si>
  <si>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</si>
  <si>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</si>
  <si>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</si>
  <si>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</si>
  <si>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</si>
  <si>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</si>
  <si>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</si>
  <si>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</si>
  <si>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</si>
  <si>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</si>
  <si>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</si>
  <si>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</si>
  <si>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</si>
  <si>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</si>
  <si>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</si>
  <si>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</si>
  <si>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</si>
  <si>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</si>
  <si>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</si>
  <si>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</si>
  <si>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</si>
  <si>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</si>
  <si>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</si>
  <si>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</si>
  <si>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</si>
  <si>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</si>
  <si>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</si>
  <si>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</si>
  <si>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</si>
  <si>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</si>
  <si>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</si>
  <si>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</si>
  <si>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</si>
  <si>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</si>
  <si>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</si>
  <si>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</si>
  <si>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</si>
  <si>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</si>
  <si>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</si>
  <si>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</si>
  <si>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</si>
  <si>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</si>
  <si>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</si>
  <si>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</si>
  <si>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</si>
  <si>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</si>
  <si>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</si>
  <si>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</si>
  <si>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</si>
  <si>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</si>
  <si>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</si>
  <si>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</si>
  <si>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</si>
  <si>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</si>
  <si>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</si>
  <si>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</si>
  <si>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</si>
  <si>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</si>
  <si>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</si>
  <si>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</si>
  <si>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</si>
  <si>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</si>
  <si>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</si>
  <si>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</si>
  <si>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</si>
  <si>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</si>
  <si>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</si>
  <si>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</si>
  <si>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</si>
  <si>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</si>
  <si>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</si>
  <si>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</si>
  <si>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</si>
  <si>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</si>
  <si>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</si>
  <si>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</si>
  <si>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</si>
  <si>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</si>
  <si>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</si>
  <si>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</si>
  <si>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</si>
  <si>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</si>
  <si>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</si>
  <si>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</si>
  <si>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</si>
  <si>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</si>
  <si>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</si>
  <si>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</si>
  <si>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</si>
  <si>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</si>
  <si>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</si>
  <si>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</si>
  <si>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</si>
  <si>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</si>
  <si>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</si>
  <si>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</si>
  <si>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</si>
  <si>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</si>
  <si>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</si>
  <si>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</si>
  <si>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</si>
  <si>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</si>
  <si>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</si>
  <si>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</si>
  <si>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</si>
  <si>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</si>
  <si>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</si>
  <si>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</si>
  <si>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</si>
  <si>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</si>
  <si>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</si>
  <si>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</si>
  <si>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</si>
  <si>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</si>
  <si>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</si>
  <si>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</si>
  <si>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</si>
  <si>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</si>
  <si>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</si>
  <si>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</si>
  <si>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</si>
  <si>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</si>
  <si>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</si>
  <si>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</si>
  <si>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</si>
  <si>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</si>
  <si>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</si>
  <si>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</si>
  <si>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</si>
  <si>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</si>
  <si>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</si>
  <si>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</si>
  <si>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</si>
  <si>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</si>
  <si>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</si>
  <si>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</si>
  <si>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</si>
  <si>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</si>
  <si>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</si>
  <si>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</si>
  <si>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</si>
  <si>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</si>
  <si>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</si>
  <si>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</si>
  <si>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</si>
  <si>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</si>
  <si>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</si>
  <si>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</si>
  <si>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</si>
  <si>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</si>
  <si>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</si>
  <si>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</si>
  <si>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</si>
  <si>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</si>
  <si>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</si>
  <si>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</si>
  <si>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</si>
  <si>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</si>
  <si>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</si>
  <si>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</si>
  <si>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</si>
  <si>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</si>
  <si>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</si>
  <si>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</si>
  <si>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</si>
  <si>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</si>
  <si>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</si>
  <si>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</si>
  <si>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</si>
  <si>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</si>
  <si>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</si>
  <si>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</si>
  <si>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</si>
  <si>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</si>
  <si>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</si>
  <si>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</si>
  <si>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</si>
  <si>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</si>
  <si>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</si>
  <si>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</si>
  <si>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</si>
  <si>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</si>
  <si>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</si>
  <si>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</si>
  <si>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</si>
  <si>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</si>
  <si>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</si>
  <si>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</si>
  <si>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</si>
  <si>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</si>
  <si>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</si>
  <si>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</si>
  <si>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</si>
  <si>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</si>
  <si>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</si>
  <si>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</si>
  <si>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</si>
  <si>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</si>
  <si>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</si>
  <si>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</si>
  <si>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</si>
  <si>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</si>
  <si>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</si>
  <si>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</si>
  <si>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</si>
  <si>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</si>
  <si>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</si>
  <si>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</si>
  <si>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</si>
  <si>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</si>
  <si>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</si>
  <si>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</si>
  <si>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</si>
  <si>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</si>
  <si>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</si>
  <si>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</si>
  <si>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</si>
  <si>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</si>
  <si>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</si>
  <si>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</si>
  <si>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</si>
  <si>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</si>
  <si>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</si>
  <si>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</si>
  <si>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</si>
  <si>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</si>
  <si>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</si>
  <si>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</si>
  <si>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</si>
  <si>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</si>
  <si>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</si>
  <si>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</si>
  <si>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</si>
  <si>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</si>
  <si>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</si>
  <si>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</si>
  <si>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</si>
  <si>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</si>
  <si>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</si>
  <si>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</si>
  <si>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</si>
  <si>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</si>
  <si>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</si>
  <si>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</si>
  <si>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</si>
  <si>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</si>
  <si>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</si>
  <si>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</si>
  <si>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</si>
  <si>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</si>
  <si>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</si>
  <si>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</si>
  <si>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</si>
  <si>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</si>
  <si>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</si>
  <si>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</si>
  <si>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</si>
  <si>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</si>
  <si>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</si>
  <si>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</si>
  <si>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</si>
  <si>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</si>
  <si>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</si>
  <si>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</si>
  <si>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</si>
  <si>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</si>
  <si>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</si>
  <si>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</si>
  <si>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</si>
  <si>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</si>
  <si>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</si>
  <si>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</si>
  <si>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</si>
  <si>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</si>
  <si>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</si>
  <si>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</si>
  <si>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</si>
  <si>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</si>
  <si>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</si>
  <si>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</si>
  <si>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</si>
  <si>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</si>
  <si>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</si>
  <si>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</si>
  <si>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</si>
  <si>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</si>
  <si>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</si>
  <si>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</si>
  <si>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</si>
  <si>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</si>
  <si>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</si>
  <si>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</si>
  <si>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</si>
  <si>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</si>
  <si>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</si>
  <si>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</si>
  <si>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</si>
  <si>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</si>
  <si>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</si>
  <si>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</si>
  <si>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</si>
  <si>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</si>
  <si>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</si>
  <si>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</si>
  <si>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</si>
  <si>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</si>
  <si>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</si>
  <si>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</si>
  <si>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</si>
  <si>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</si>
  <si>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</si>
  <si>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</si>
  <si>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</si>
  <si>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</si>
  <si>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</si>
  <si>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</si>
  <si>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</si>
  <si>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</si>
  <si>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</si>
  <si>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</si>
  <si>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</si>
  <si>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</si>
  <si>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</si>
  <si>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</si>
  <si>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</si>
  <si>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</si>
  <si>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</si>
  <si>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</si>
  <si>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</si>
  <si>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</si>
  <si>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</si>
  <si>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</si>
  <si>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</si>
  <si>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</si>
  <si>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</si>
  <si>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</si>
  <si>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</si>
  <si>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</si>
  <si>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</si>
  <si>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</si>
  <si>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</si>
  <si>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</si>
  <si>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</si>
  <si>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</si>
  <si>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</si>
  <si>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</si>
  <si>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</si>
  <si>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</si>
  <si>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</si>
  <si>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</si>
  <si>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</si>
  <si>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</si>
  <si>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</si>
  <si>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</si>
  <si>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</si>
  <si>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</si>
  <si>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</si>
  <si>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</si>
  <si>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</si>
  <si>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</si>
  <si>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</si>
  <si>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</si>
  <si>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</si>
  <si>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</si>
  <si>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</si>
  <si>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</si>
  <si>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</si>
  <si>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</si>
  <si>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</si>
  <si>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</si>
  <si>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</si>
  <si>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</si>
  <si>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</si>
  <si>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</si>
  <si>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</si>
  <si>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</si>
  <si>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</si>
  <si>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</si>
  <si>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</si>
  <si>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</si>
  <si>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</si>
  <si>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</si>
  <si>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</si>
  <si>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</si>
  <si>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</si>
  <si>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</si>
  <si>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</si>
  <si>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</si>
  <si>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</si>
  <si>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</si>
  <si>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</si>
  <si>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</si>
  <si>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</si>
  <si>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</si>
  <si>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</si>
  <si>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</si>
  <si>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</si>
  <si>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</si>
  <si>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</si>
  <si>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</si>
  <si>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</si>
  <si>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</si>
  <si>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</si>
  <si>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</si>
  <si>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</si>
  <si>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</si>
  <si>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</si>
  <si>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</si>
  <si>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</si>
  <si>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</si>
  <si>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</si>
  <si>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</si>
  <si>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</si>
  <si>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</si>
  <si>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</si>
  <si>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</si>
  <si>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</si>
  <si>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</si>
  <si>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</si>
  <si>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</si>
  <si>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</si>
  <si>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</si>
  <si>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</si>
  <si>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</si>
  <si>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</si>
  <si>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</si>
  <si>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</si>
  <si>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</si>
  <si>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</si>
  <si>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</si>
  <si>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</si>
  <si>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</si>
  <si>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</si>
  <si>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</si>
  <si>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</si>
  <si>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</si>
  <si>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</si>
  <si>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</si>
  <si>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</si>
  <si>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</si>
  <si>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</si>
  <si>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</si>
  <si>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</si>
  <si>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</si>
  <si>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</si>
  <si>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</si>
  <si>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</si>
  <si>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</si>
  <si>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</si>
  <si>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</si>
  <si>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</si>
  <si>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</si>
  <si>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</si>
  <si>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</si>
  <si>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</si>
  <si>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</si>
  <si>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</si>
  <si>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</si>
  <si>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</si>
  <si>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</si>
  <si>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</si>
  <si>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</si>
  <si>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</si>
  <si>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</si>
  <si>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</si>
  <si>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</si>
  <si>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</si>
  <si>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</si>
  <si>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</si>
  <si>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</si>
  <si>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</si>
  <si>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</si>
  <si>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</si>
  <si>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</si>
  <si>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</si>
  <si>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</si>
  <si>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</si>
  <si>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</si>
  <si>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</si>
  <si>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</si>
  <si>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</si>
  <si>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</si>
  <si>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</si>
  <si>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</si>
  <si>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</si>
  <si>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</si>
  <si>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</si>
  <si>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</si>
  <si>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</si>
  <si>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</si>
  <si>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</si>
  <si>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</si>
  <si>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</si>
  <si>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</si>
  <si>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</si>
  <si>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</si>
  <si>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</si>
  <si>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</si>
  <si>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</si>
  <si>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</si>
  <si>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</si>
  <si>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</si>
  <si>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</si>
  <si>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</si>
  <si>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</si>
  <si>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</si>
  <si>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</si>
  <si>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</si>
  <si>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</si>
  <si>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</si>
  <si>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</si>
  <si>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</si>
  <si>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</si>
  <si>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</si>
  <si>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</si>
  <si>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</si>
  <si>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</si>
  <si>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</si>
  <si>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</si>
  <si>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</si>
  <si>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</si>
  <si>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</si>
  <si>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</si>
  <si>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</si>
  <si>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</si>
  <si>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</si>
  <si>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</si>
  <si>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</si>
  <si>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</si>
  <si>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</si>
  <si>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</si>
  <si>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</si>
  <si>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</si>
  <si>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</si>
  <si>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</si>
  <si>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</si>
  <si>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</si>
  <si>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</si>
  <si>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</si>
  <si>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</si>
  <si>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</si>
  <si>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</si>
  <si>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</si>
  <si>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</si>
  <si>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</si>
  <si>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</si>
  <si>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</si>
  <si>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</si>
  <si>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</si>
  <si>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</si>
  <si>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</si>
  <si>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</si>
  <si>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</si>
  <si>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</si>
  <si>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</si>
  <si>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</si>
  <si>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</si>
  <si>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</si>
  <si>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</si>
  <si>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</si>
  <si>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</si>
  <si>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</si>
  <si>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</si>
  <si>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</si>
  <si>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</si>
  <si>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</si>
  <si>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</si>
  <si>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</si>
  <si>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</si>
  <si>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</si>
  <si>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</si>
  <si>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</si>
  <si>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</si>
  <si>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</si>
  <si>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</si>
  <si>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</si>
  <si>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</si>
  <si>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</si>
  <si>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</si>
  <si>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</si>
  <si>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</si>
  <si>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</si>
  <si>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</si>
  <si>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</si>
  <si>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</si>
  <si>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</si>
  <si>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</si>
  <si>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</si>
  <si>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</si>
  <si>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</si>
  <si>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</si>
  <si>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</si>
  <si>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</si>
  <si>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</si>
  <si>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</si>
  <si>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</si>
  <si>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</si>
  <si>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</si>
  <si>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</si>
  <si>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</si>
  <si>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</si>
  <si>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</si>
  <si>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</si>
  <si>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</si>
  <si>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</si>
  <si>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</si>
  <si>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</si>
  <si>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</si>
  <si>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</si>
  <si>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</si>
  <si>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</si>
  <si>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</si>
  <si>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</si>
  <si>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</si>
  <si>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</si>
  <si>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</si>
  <si>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</si>
  <si>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</si>
  <si>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</si>
  <si>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</si>
  <si>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</si>
  <si>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</si>
  <si>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</si>
  <si>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</si>
  <si>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</si>
  <si>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</si>
  <si>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</si>
  <si>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</si>
  <si>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</si>
  <si>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</si>
  <si>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</si>
  <si>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</si>
  <si>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</si>
  <si>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</si>
  <si>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</si>
  <si>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</si>
  <si>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</si>
  <si>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</si>
  <si>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</si>
  <si>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</si>
  <si>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</si>
  <si>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</si>
  <si>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</si>
  <si>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</si>
  <si>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</si>
  <si>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</si>
  <si>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</si>
  <si>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</si>
  <si>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</si>
  <si>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</si>
  <si>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</si>
  <si>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</si>
  <si>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</si>
  <si>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</si>
  <si>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</si>
  <si>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</si>
  <si>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</si>
  <si>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</si>
  <si>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</si>
  <si>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</si>
  <si>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</si>
  <si>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</si>
  <si>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</si>
  <si>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</si>
  <si>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</si>
  <si>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</si>
  <si>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</si>
  <si>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</si>
  <si>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</si>
  <si>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</si>
  <si>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</si>
  <si>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</si>
  <si>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</si>
  <si>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</si>
  <si>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</si>
  <si>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</si>
  <si>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</si>
  <si>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</si>
  <si>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</si>
  <si>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</si>
  <si>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</si>
  <si>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</si>
  <si>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</si>
  <si>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</si>
  <si>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</si>
  <si>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</si>
  <si>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</si>
  <si>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</si>
  <si>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</si>
  <si>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</si>
  <si>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</si>
  <si>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</si>
  <si>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</si>
  <si>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</si>
  <si>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</si>
  <si>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</si>
  <si>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</si>
  <si>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</si>
  <si>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</si>
  <si>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</si>
  <si>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</si>
  <si>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</si>
  <si>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</si>
  <si>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</si>
  <si>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</si>
  <si>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</si>
  <si>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</si>
  <si>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</si>
  <si>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</si>
  <si>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</si>
  <si>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</si>
  <si>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</si>
  <si>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</si>
  <si>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</si>
  <si>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</si>
  <si>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</si>
  <si>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</si>
  <si>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</si>
  <si>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</si>
  <si>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</si>
  <si>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</si>
  <si>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</si>
  <si>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</si>
  <si>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</si>
  <si>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</si>
  <si>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</si>
  <si>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</si>
  <si>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</si>
  <si>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</si>
  <si>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</si>
  <si>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</si>
  <si>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</si>
  <si>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</si>
  <si>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</si>
  <si>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</si>
  <si>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</si>
  <si>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</si>
  <si>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</si>
  <si>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</si>
  <si>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</si>
  <si>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</si>
  <si>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</si>
  <si>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</si>
  <si>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</si>
  <si>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</si>
  <si>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</si>
  <si>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</si>
  <si>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</si>
  <si>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</si>
  <si>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</si>
  <si>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</si>
  <si>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</si>
  <si>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</si>
  <si>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</si>
  <si>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</si>
  <si>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</si>
  <si>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</si>
  <si>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</si>
  <si>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</si>
  <si>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</si>
  <si>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</si>
  <si>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</si>
  <si>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</si>
  <si>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</si>
  <si>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</si>
  <si>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</si>
  <si>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</si>
  <si>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</si>
  <si>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</si>
  <si>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</si>
  <si>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</si>
  <si>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</si>
  <si>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</si>
  <si>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</si>
  <si>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</si>
  <si>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</si>
  <si>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</si>
  <si>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</si>
  <si>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</si>
  <si>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</si>
  <si>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</si>
  <si>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</si>
  <si>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</si>
  <si>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</si>
  <si>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</si>
  <si>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</si>
  <si>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</si>
  <si>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</si>
  <si>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</si>
  <si>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</si>
  <si>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</si>
  <si>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</si>
  <si>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</si>
  <si>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</si>
  <si>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</si>
  <si>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</si>
  <si>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</si>
  <si>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</si>
  <si>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</si>
  <si>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</si>
  <si>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</si>
  <si>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</si>
  <si>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</si>
  <si>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</si>
  <si>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</si>
  <si>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</si>
  <si>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</si>
  <si>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</si>
  <si>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</si>
  <si>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</si>
  <si>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</si>
  <si>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</si>
  <si>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</si>
  <si>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</si>
  <si>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</si>
  <si>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</si>
  <si>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</si>
  <si>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</si>
  <si>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</si>
  <si>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</si>
  <si>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</si>
  <si>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</si>
  <si>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</si>
  <si>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</si>
  <si>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</si>
  <si>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</si>
  <si>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</si>
  <si>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</si>
  <si>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</si>
  <si>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</si>
  <si>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</si>
  <si>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</si>
  <si>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</si>
  <si>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</si>
  <si>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</si>
  <si>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</si>
  <si>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</si>
  <si>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</si>
  <si>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</si>
  <si>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</si>
  <si>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</si>
  <si>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</si>
  <si>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</si>
  <si>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</si>
  <si>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</si>
  <si>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</si>
  <si>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</si>
  <si>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</si>
  <si>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</si>
  <si>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</si>
  <si>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</si>
  <si>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</si>
  <si>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</si>
  <si>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</si>
  <si>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</si>
  <si>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</si>
  <si>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</si>
  <si>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</si>
  <si>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</si>
  <si>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</si>
  <si>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</si>
  <si>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</si>
  <si>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</si>
  <si>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</si>
  <si>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</si>
  <si>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</si>
  <si>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</si>
  <si>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</si>
  <si>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</si>
  <si>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</si>
  <si>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</si>
  <si>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</si>
  <si>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</si>
  <si>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</si>
  <si>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</si>
  <si>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</si>
  <si>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</si>
  <si>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</si>
  <si>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</si>
  <si>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</si>
  <si>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</si>
  <si>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</si>
  <si>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</si>
  <si>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</si>
  <si>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</si>
  <si>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</si>
  <si>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</si>
  <si>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</si>
  <si>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</si>
  <si>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</si>
  <si>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</si>
  <si>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</si>
  <si>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</si>
  <si>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</si>
  <si>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</si>
  <si>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</si>
  <si>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</si>
  <si>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</si>
  <si>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</si>
  <si>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</si>
  <si>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</si>
  <si>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</si>
  <si>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</si>
  <si>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</si>
  <si>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</si>
  <si>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</si>
  <si>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</si>
  <si>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</si>
  <si>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</si>
  <si>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</si>
  <si>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</si>
  <si>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</si>
  <si>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</si>
  <si>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</si>
  <si>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</si>
  <si>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</si>
  <si>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</si>
  <si>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</si>
  <si>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</si>
  <si>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</si>
  <si>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</si>
  <si>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</si>
  <si>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</si>
  <si>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</si>
  <si>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</si>
  <si>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</si>
  <si>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</si>
  <si>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</si>
  <si>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</si>
  <si>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</si>
  <si>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</si>
  <si>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</si>
  <si>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</si>
  <si>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</si>
  <si>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</si>
  <si>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</si>
  <si>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</si>
  <si>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</si>
  <si>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</si>
  <si>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</si>
  <si>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</si>
  <si>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</si>
  <si>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</si>
  <si>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</si>
  <si>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</si>
  <si>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</si>
  <si>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</si>
  <si>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</si>
  <si>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</si>
  <si>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</si>
  <si>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</si>
  <si>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</si>
  <si>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</si>
  <si>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</si>
  <si>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</si>
  <si>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</si>
  <si>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</si>
  <si>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</si>
  <si>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</si>
  <si>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</si>
  <si>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</si>
  <si>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</si>
  <si>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</si>
  <si>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</si>
  <si>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</si>
  <si>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</si>
  <si>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</si>
  <si>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</si>
  <si>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</si>
  <si>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</si>
  <si>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</si>
  <si>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</si>
  <si>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</si>
  <si>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</si>
  <si>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</si>
  <si>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</si>
  <si>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</si>
  <si>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</si>
  <si>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</si>
  <si>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</si>
  <si>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</si>
  <si>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</si>
  <si>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</si>
  <si>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</si>
  <si>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</si>
  <si>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</si>
  <si>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</si>
  <si>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</si>
  <si>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</si>
  <si>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</si>
  <si>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</si>
  <si>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</si>
  <si>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</si>
  <si>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</si>
  <si>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</si>
  <si>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</si>
  <si>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</si>
  <si>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</si>
  <si>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</si>
  <si>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</si>
  <si>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</si>
  <si>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</si>
  <si>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</si>
  <si>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</si>
  <si>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</si>
  <si>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</si>
  <si>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</si>
  <si>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</si>
  <si>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</si>
  <si>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</si>
  <si>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</si>
  <si>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</si>
  <si>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</si>
  <si>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</si>
  <si>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</si>
  <si>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</si>
  <si>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</si>
  <si>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</si>
  <si>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</si>
  <si>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</si>
  <si>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</si>
  <si>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</si>
  <si>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</si>
  <si>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</si>
  <si>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</si>
  <si>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</si>
  <si>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</si>
  <si>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</si>
  <si>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</si>
  <si>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</si>
  <si>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</si>
  <si>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</si>
  <si>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</si>
  <si>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</si>
  <si>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</si>
  <si>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</si>
  <si>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</si>
  <si>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</si>
  <si>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</si>
  <si>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</si>
  <si>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</si>
  <si>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</si>
  <si>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</si>
  <si>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</si>
  <si>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</si>
  <si>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</si>
  <si>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</si>
  <si>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</si>
  <si>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</si>
  <si>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</si>
  <si>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</si>
  <si>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</si>
  <si>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</si>
  <si>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</si>
  <si>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</si>
  <si>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</si>
  <si>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</si>
  <si>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</si>
  <si>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</si>
  <si>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</si>
  <si>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</si>
  <si>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</si>
  <si>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</si>
  <si>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</si>
  <si>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</si>
  <si>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</si>
  <si>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</si>
  <si>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</si>
  <si>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</si>
  <si>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</si>
  <si>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</si>
  <si>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</si>
  <si>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</si>
  <si>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</si>
  <si>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</si>
  <si>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</si>
  <si>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</si>
  <si>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</si>
  <si>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</si>
  <si>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</si>
  <si>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</si>
  <si>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</si>
  <si>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</si>
  <si>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</si>
  <si>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</si>
  <si>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</si>
  <si>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</si>
  <si>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</si>
  <si>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</si>
  <si>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</si>
  <si>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</si>
  <si>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</si>
  <si>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</si>
  <si>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</si>
  <si>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</si>
  <si>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</si>
  <si>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</si>
  <si>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</si>
  <si>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</si>
  <si>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</si>
  <si>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</si>
  <si>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</si>
  <si>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</si>
  <si>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</si>
  <si>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</si>
  <si>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</si>
  <si>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</si>
  <si>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</si>
  <si>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</si>
  <si>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</si>
  <si>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</si>
  <si>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</si>
  <si>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</si>
  <si>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</si>
  <si>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</si>
  <si>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</si>
  <si>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</si>
  <si>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</si>
  <si>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</si>
  <si>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</si>
  <si>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</si>
  <si>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</si>
  <si>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06/30/2020</t>
  </si>
  <si>
    <t>204</t>
  </si>
  <si>
    <t>Seattle Cancer Care Alliance</t>
  </si>
  <si>
    <t>825 Eastlake Ave E.</t>
  </si>
  <si>
    <t>P.O. Box 19023</t>
  </si>
  <si>
    <t>Seattle, WA 98109</t>
  </si>
  <si>
    <t>King County</t>
  </si>
  <si>
    <t>Aaron Crane</t>
  </si>
  <si>
    <t>Steven D. Huebner</t>
  </si>
  <si>
    <t>Paula Rosput Reynolds</t>
  </si>
  <si>
    <t>(206) 606-1060</t>
  </si>
  <si>
    <t>(206) 606-6643</t>
  </si>
  <si>
    <t>06/30/2021</t>
  </si>
  <si>
    <t/>
  </si>
  <si>
    <t>Signature of Executive Vice President</t>
  </si>
  <si>
    <t>Name/Title:  Aaron Crane, Executive Vice President</t>
  </si>
  <si>
    <t>Name/Title:  Paula Reynolds, Board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</si>
</sst>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2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6519</v>
          </cell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>
            <v>681184</v>
          </cell>
          <cell r="V59"/>
          <cell r="W59"/>
          <cell r="X59">
            <v>22994</v>
          </cell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>
            <v>88296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>
            <v>498</v>
          </cell>
          <cell r="AU59"/>
          <cell r="AY59"/>
          <cell r="AZ59"/>
          <cell r="BA59"/>
          <cell r="BE59">
            <v>485314.41285089916</v>
          </cell>
        </row>
        <row r="71">
          <cell r="C71">
            <v>61713243.49000001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3944143.35</v>
          </cell>
          <cell r="T71">
            <v>21838225.260000017</v>
          </cell>
          <cell r="U71">
            <v>28346396.199999996</v>
          </cell>
          <cell r="V71">
            <v>0</v>
          </cell>
          <cell r="W71">
            <v>1030984.7499999998</v>
          </cell>
          <cell r="X71">
            <v>2098427.1100000003</v>
          </cell>
          <cell r="Y71">
            <v>6839518.2600000016</v>
          </cell>
          <cell r="Z71">
            <v>9790222.4300000016</v>
          </cell>
          <cell r="AA71">
            <v>4586724.7600000007</v>
          </cell>
          <cell r="AB71">
            <v>240565342.48999995</v>
          </cell>
          <cell r="AC71">
            <v>330904.2300000001</v>
          </cell>
          <cell r="AD71">
            <v>0</v>
          </cell>
          <cell r="AE71">
            <v>1229323.6900000006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87601944.230000004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6256983.1100000106</v>
          </cell>
          <cell r="AU71">
            <v>0</v>
          </cell>
          <cell r="AV71">
            <v>5224115.0599999977</v>
          </cell>
          <cell r="AW71">
            <v>383601.40999999968</v>
          </cell>
          <cell r="AX71">
            <v>0</v>
          </cell>
          <cell r="AY71">
            <v>898345.38000000024</v>
          </cell>
          <cell r="AZ71">
            <v>603709.77</v>
          </cell>
          <cell r="BA71">
            <v>0</v>
          </cell>
          <cell r="BB71">
            <v>4667202.87</v>
          </cell>
          <cell r="BC71">
            <v>820497.75</v>
          </cell>
          <cell r="BD71">
            <v>2913974.7800000007</v>
          </cell>
          <cell r="BE71">
            <v>11373645.249999998</v>
          </cell>
          <cell r="BF71">
            <v>0</v>
          </cell>
          <cell r="BG71">
            <v>0</v>
          </cell>
          <cell r="BH71">
            <v>0</v>
          </cell>
          <cell r="BI71">
            <v>57782.470000000088</v>
          </cell>
          <cell r="BJ71">
            <v>2884084.9300000006</v>
          </cell>
          <cell r="BK71">
            <v>2871927.1399999978</v>
          </cell>
          <cell r="BL71">
            <v>3932581.4400000013</v>
          </cell>
          <cell r="BM71">
            <v>7209172.8899999969</v>
          </cell>
          <cell r="BN71">
            <v>29604655.239999995</v>
          </cell>
          <cell r="BO71">
            <v>843259.57999999984</v>
          </cell>
          <cell r="BP71">
            <v>7882681.6600000039</v>
          </cell>
          <cell r="BQ71">
            <v>0</v>
          </cell>
          <cell r="BR71">
            <v>0</v>
          </cell>
          <cell r="BS71">
            <v>428038.06000000006</v>
          </cell>
          <cell r="BT71">
            <v>630923.31999999972</v>
          </cell>
          <cell r="BU71">
            <v>346477.53</v>
          </cell>
          <cell r="BV71">
            <v>6521122.3599999966</v>
          </cell>
          <cell r="BW71">
            <v>0</v>
          </cell>
          <cell r="BX71">
            <v>0</v>
          </cell>
          <cell r="BY71">
            <v>5446799.0399999991</v>
          </cell>
          <cell r="BZ71">
            <v>0</v>
          </cell>
          <cell r="CA71">
            <v>2099903.5300000007</v>
          </cell>
          <cell r="CB71">
            <v>0</v>
          </cell>
          <cell r="CC71">
            <v>61066366.649999984</v>
          </cell>
          <cell r="CD71">
            <v>10496954.010000005</v>
          </cell>
        </row>
        <row r="82">
          <cell r="C82" t="str">
            <v>06/30/2019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 transitionEntry="1" codeName="Sheet1">
    <pageSetUpPr autoPageBreaks="0" fitToPage="1"/>
  </sheetPr>
  <dimension ref="A1:CF817"/>
  <sheetViews>
    <sheetView showGridLines="0" tabSelected="1" zoomScale="90" zoomScaleNormal="90" workbookViewId="0">
      <pane xSplit="1" topLeftCell="B1" activePane="topRight" state="frozen"/>
      <selection activeCell="B34" sqref="B34"/>
      <selection pane="topRight" activeCell="C189" sqref="C18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1229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1230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1255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1226</v>
      </c>
      <c r="C10" s="235"/>
    </row>
    <row r="11" spans="1:6" ht="12.75" customHeight="1" x14ac:dyDescent="0.35">
      <c r="A11" s="198" t="s">
        <v>1228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1264</v>
      </c>
      <c r="C16" s="235"/>
      <c r="F16" s="287"/>
    </row>
    <row r="17" spans="1:6" ht="12.75" customHeight="1" x14ac:dyDescent="0.35">
      <c r="A17" s="294" t="s">
        <v>1262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1231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1251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1232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1233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1234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1235</v>
      </c>
      <c r="C36" s="235"/>
    </row>
    <row r="37" spans="1:83" ht="12.65" customHeight="1" x14ac:dyDescent="0.35">
      <c r="A37" s="199" t="s">
        <v>1227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42652888</v>
      </c>
      <c r="C47" s="184">
        <v>72625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>
        <v>3217463.4800000009</v>
      </c>
      <c r="U47" s="184">
        <v>3775157.6599999988</v>
      </c>
      <c r="V47" s="184"/>
      <c r="W47" s="184">
        <v>185642.43</v>
      </c>
      <c r="X47" s="184">
        <v>400996.18000000005</v>
      </c>
      <c r="Y47" s="184">
        <v>1321701.1000000003</v>
      </c>
      <c r="Z47" s="184">
        <v>2073738.18</v>
      </c>
      <c r="AA47" s="184">
        <v>71856.289999999994</v>
      </c>
      <c r="AB47" s="184">
        <v>1235098.69</v>
      </c>
      <c r="AC47" s="184">
        <v>49177.81</v>
      </c>
      <c r="AD47" s="184"/>
      <c r="AE47" s="184">
        <v>268435.96000000002</v>
      </c>
      <c r="AF47" s="184"/>
      <c r="AG47" s="184"/>
      <c r="AH47" s="184"/>
      <c r="AI47" s="184"/>
      <c r="AJ47" s="184">
        <v>10695092.919999998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>
        <v>554931.26</v>
      </c>
      <c r="AU47" s="184"/>
      <c r="AV47" s="184">
        <v>1099971.3199999998</v>
      </c>
      <c r="AW47" s="184"/>
      <c r="AX47" s="184"/>
      <c r="AY47" s="184">
        <v>219200.44999999998</v>
      </c>
      <c r="AZ47" s="184"/>
      <c r="BA47" s="184"/>
      <c r="BB47" s="184">
        <v>611645.75999999989</v>
      </c>
      <c r="BC47" s="184">
        <v>19476.73</v>
      </c>
      <c r="BD47" s="184">
        <v>672345.87</v>
      </c>
      <c r="BE47" s="184">
        <v>260458.37</v>
      </c>
      <c r="BF47" s="184"/>
      <c r="BG47" s="184"/>
      <c r="BH47" s="184"/>
      <c r="BI47" s="184">
        <v>15175.28</v>
      </c>
      <c r="BJ47" s="184">
        <v>534004.33000000007</v>
      </c>
      <c r="BK47" s="184">
        <v>963027.07000000007</v>
      </c>
      <c r="BL47" s="184">
        <v>607702.62</v>
      </c>
      <c r="BM47" s="184">
        <v>406227.83</v>
      </c>
      <c r="BN47" s="184">
        <v>4766544.21</v>
      </c>
      <c r="BO47" s="184">
        <v>258000.79</v>
      </c>
      <c r="BP47" s="184">
        <v>406047.13999999996</v>
      </c>
      <c r="BQ47" s="184"/>
      <c r="BR47" s="184"/>
      <c r="BS47" s="184">
        <v>80474.809999999983</v>
      </c>
      <c r="BT47" s="184">
        <v>103886.82999999999</v>
      </c>
      <c r="BU47" s="184">
        <v>52230.009999999995</v>
      </c>
      <c r="BV47" s="184">
        <v>1329165.51</v>
      </c>
      <c r="BW47" s="184"/>
      <c r="BX47" s="184"/>
      <c r="BY47" s="184">
        <v>1318729.1499999997</v>
      </c>
      <c r="BZ47" s="184"/>
      <c r="CA47" s="184">
        <v>479016.9599999999</v>
      </c>
      <c r="CB47" s="184"/>
      <c r="CC47" s="184">
        <f>4525697.11+1942.59</f>
        <v>4527639.7</v>
      </c>
      <c r="CD47" s="195"/>
      <c r="CE47" s="195">
        <f>SUM(C47:CC47)</f>
        <v>42652887.699999996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42652888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25138359.940000001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>
        <v>1095880</v>
      </c>
      <c r="U51" s="184">
        <v>1366104</v>
      </c>
      <c r="V51" s="184">
        <v>0</v>
      </c>
      <c r="W51" s="184">
        <v>78027</v>
      </c>
      <c r="X51" s="184">
        <v>70824</v>
      </c>
      <c r="Y51" s="184">
        <v>495104</v>
      </c>
      <c r="Z51" s="184">
        <v>2027171</v>
      </c>
      <c r="AA51" s="184">
        <v>58284</v>
      </c>
      <c r="AB51" s="184">
        <v>454495</v>
      </c>
      <c r="AC51" s="184">
        <v>27014</v>
      </c>
      <c r="AD51" s="184">
        <v>0</v>
      </c>
      <c r="AE51" s="184">
        <v>59307</v>
      </c>
      <c r="AF51" s="184">
        <v>0</v>
      </c>
      <c r="AG51" s="184">
        <v>0</v>
      </c>
      <c r="AH51" s="184">
        <v>0</v>
      </c>
      <c r="AI51" s="184">
        <v>0</v>
      </c>
      <c r="AJ51" s="184">
        <v>3794928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81072</v>
      </c>
      <c r="AU51" s="184">
        <v>0</v>
      </c>
      <c r="AV51" s="184">
        <v>306774</v>
      </c>
      <c r="AW51" s="184">
        <v>0</v>
      </c>
      <c r="AX51" s="184">
        <v>0</v>
      </c>
      <c r="AY51" s="184">
        <v>6209</v>
      </c>
      <c r="AZ51" s="184">
        <v>90795</v>
      </c>
      <c r="BA51" s="184">
        <v>0</v>
      </c>
      <c r="BB51" s="184">
        <v>50183</v>
      </c>
      <c r="BC51" s="184">
        <v>9847</v>
      </c>
      <c r="BD51" s="184">
        <v>73332</v>
      </c>
      <c r="BE51" s="184">
        <v>5633142</v>
      </c>
      <c r="BF51" s="184">
        <v>0</v>
      </c>
      <c r="BG51" s="184">
        <v>0</v>
      </c>
      <c r="BH51" s="184">
        <v>0</v>
      </c>
      <c r="BI51" s="184">
        <v>11268</v>
      </c>
      <c r="BJ51" s="184">
        <v>95890</v>
      </c>
      <c r="BK51" s="184">
        <v>246356</v>
      </c>
      <c r="BL51" s="184">
        <v>291030</v>
      </c>
      <c r="BM51" s="184">
        <v>41351</v>
      </c>
      <c r="BN51" s="184">
        <v>529773</v>
      </c>
      <c r="BO51" s="184">
        <v>50085</v>
      </c>
      <c r="BP51" s="184">
        <v>77570</v>
      </c>
      <c r="BQ51" s="184">
        <v>0</v>
      </c>
      <c r="BR51" s="184">
        <v>0</v>
      </c>
      <c r="BS51" s="184">
        <v>14387</v>
      </c>
      <c r="BT51" s="184">
        <v>24448</v>
      </c>
      <c r="BU51" s="184">
        <v>49226</v>
      </c>
      <c r="BV51" s="184">
        <v>106796</v>
      </c>
      <c r="BW51" s="184">
        <v>0</v>
      </c>
      <c r="BX51" s="184">
        <v>0</v>
      </c>
      <c r="BY51" s="184">
        <v>196271</v>
      </c>
      <c r="BZ51" s="184">
        <v>0</v>
      </c>
      <c r="CA51" s="184">
        <v>27590</v>
      </c>
      <c r="CB51" s="184">
        <v>0</v>
      </c>
      <c r="CC51" s="184">
        <v>7597827</v>
      </c>
      <c r="CD51" s="195"/>
      <c r="CE51" s="195">
        <f>SUM(C51:CD51)</f>
        <v>25138360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25138359.940000001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1210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6362</v>
      </c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v>682515</v>
      </c>
      <c r="V59" s="185"/>
      <c r="W59" s="185"/>
      <c r="X59" s="185">
        <v>27070</v>
      </c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v>103233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>
        <v>442</v>
      </c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589132.54733370664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0</v>
      </c>
      <c r="D60" s="187">
        <v>0</v>
      </c>
      <c r="E60" s="187">
        <v>0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0</v>
      </c>
      <c r="Q60" s="221">
        <v>0</v>
      </c>
      <c r="R60" s="221">
        <v>0</v>
      </c>
      <c r="S60" s="221">
        <v>0</v>
      </c>
      <c r="T60" s="221">
        <v>130.94999999999999</v>
      </c>
      <c r="U60" s="221">
        <v>175.01</v>
      </c>
      <c r="V60" s="221">
        <v>0</v>
      </c>
      <c r="W60" s="221">
        <v>6.706676245210728</v>
      </c>
      <c r="X60" s="221">
        <v>13.441743295019155</v>
      </c>
      <c r="Y60" s="221">
        <v>58.628884099616855</v>
      </c>
      <c r="Z60" s="221">
        <v>44.181039272030652</v>
      </c>
      <c r="AA60" s="221">
        <v>2.3230890804597699</v>
      </c>
      <c r="AB60" s="221">
        <v>62.588362068965516</v>
      </c>
      <c r="AC60" s="221">
        <v>2.3985871647509578</v>
      </c>
      <c r="AD60" s="221">
        <v>0</v>
      </c>
      <c r="AE60" s="221">
        <v>9.0399999999999991</v>
      </c>
      <c r="AF60" s="221">
        <v>0</v>
      </c>
      <c r="AG60" s="221">
        <v>0</v>
      </c>
      <c r="AH60" s="221">
        <v>0</v>
      </c>
      <c r="AI60" s="221">
        <v>0</v>
      </c>
      <c r="AJ60" s="221">
        <v>484.84830316091956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29.3</v>
      </c>
      <c r="AU60" s="221">
        <v>0</v>
      </c>
      <c r="AV60" s="221">
        <v>41.602772988505748</v>
      </c>
      <c r="AW60" s="221">
        <v>0</v>
      </c>
      <c r="AX60" s="221">
        <v>0</v>
      </c>
      <c r="AY60" s="221">
        <v>9.4499999999999993</v>
      </c>
      <c r="AZ60" s="221">
        <v>0</v>
      </c>
      <c r="BA60" s="221">
        <v>0</v>
      </c>
      <c r="BB60" s="221">
        <v>26.964683908045977</v>
      </c>
      <c r="BC60" s="221">
        <v>1</v>
      </c>
      <c r="BD60" s="221">
        <v>46.796048850574699</v>
      </c>
      <c r="BE60" s="221">
        <v>9.9566379310344821</v>
      </c>
      <c r="BF60" s="221">
        <v>0</v>
      </c>
      <c r="BG60" s="221">
        <v>0</v>
      </c>
      <c r="BH60" s="221">
        <v>0</v>
      </c>
      <c r="BI60" s="221">
        <v>1.1096455938697318</v>
      </c>
      <c r="BJ60" s="221">
        <v>23.68564655172414</v>
      </c>
      <c r="BK60" s="221">
        <v>67.960852490421459</v>
      </c>
      <c r="BL60" s="221">
        <v>31.096853448275862</v>
      </c>
      <c r="BM60" s="221">
        <v>13.81</v>
      </c>
      <c r="BN60" s="221">
        <v>104.31914272030652</v>
      </c>
      <c r="BO60" s="221">
        <v>10.48088601532567</v>
      </c>
      <c r="BP60" s="221">
        <v>15.613304597701148</v>
      </c>
      <c r="BQ60" s="221">
        <v>0</v>
      </c>
      <c r="BR60" s="221">
        <v>0</v>
      </c>
      <c r="BS60" s="221">
        <v>3.5906321839080459</v>
      </c>
      <c r="BT60" s="221">
        <v>4.5367959770114936</v>
      </c>
      <c r="BU60" s="221">
        <v>2.1487116858237547</v>
      </c>
      <c r="BV60" s="221">
        <v>68.514952107279697</v>
      </c>
      <c r="BW60" s="221">
        <v>0</v>
      </c>
      <c r="BX60" s="221">
        <v>0</v>
      </c>
      <c r="BY60" s="221">
        <v>42.707586206896558</v>
      </c>
      <c r="BZ60" s="221">
        <v>0</v>
      </c>
      <c r="CA60" s="221">
        <v>21.398136973180076</v>
      </c>
      <c r="CB60" s="221">
        <v>0</v>
      </c>
      <c r="CC60" s="221">
        <f>175.79+2.2</f>
        <v>177.98999999999998</v>
      </c>
      <c r="CD60" s="249" t="s">
        <v>221</v>
      </c>
      <c r="CE60" s="251">
        <f t="shared" ref="CE60:CE70" si="0">SUM(C60:CD60)</f>
        <v>1744.1499746168586</v>
      </c>
    </row>
    <row r="61" spans="1:84" ht="12.65" customHeight="1" x14ac:dyDescent="0.35">
      <c r="A61" s="171" t="s">
        <v>235</v>
      </c>
      <c r="B61" s="175"/>
      <c r="C61" s="184">
        <v>275892</v>
      </c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>
        <v>11937662.58</v>
      </c>
      <c r="U61" s="185">
        <v>14034727.050000003</v>
      </c>
      <c r="V61" s="185"/>
      <c r="W61" s="185">
        <v>696938.04999999993</v>
      </c>
      <c r="X61" s="185">
        <v>1504683.2399999998</v>
      </c>
      <c r="Y61" s="185">
        <v>4916071.2499999972</v>
      </c>
      <c r="Z61" s="185">
        <v>8231416.9300000016</v>
      </c>
      <c r="AA61" s="185">
        <v>269301.22000000003</v>
      </c>
      <c r="AB61" s="185">
        <v>4594835.1299999952</v>
      </c>
      <c r="AC61" s="185">
        <v>182808.14</v>
      </c>
      <c r="AD61" s="185"/>
      <c r="AE61" s="185">
        <v>1006299.9500000002</v>
      </c>
      <c r="AF61" s="185"/>
      <c r="AG61" s="185"/>
      <c r="AH61" s="185"/>
      <c r="AI61" s="185"/>
      <c r="AJ61" s="185">
        <v>39737062.699999988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>
        <v>2058672.37</v>
      </c>
      <c r="AU61" s="185"/>
      <c r="AV61" s="185">
        <v>4103564.4600000014</v>
      </c>
      <c r="AW61" s="185"/>
      <c r="AX61" s="185"/>
      <c r="AY61" s="185">
        <v>813986.02999999968</v>
      </c>
      <c r="AZ61" s="185"/>
      <c r="BA61" s="185"/>
      <c r="BB61" s="185">
        <v>2353793.2100000023</v>
      </c>
      <c r="BC61" s="185">
        <v>72265.159999999916</v>
      </c>
      <c r="BD61" s="185">
        <v>2476816.1899999981</v>
      </c>
      <c r="BE61" s="185">
        <v>975015.47</v>
      </c>
      <c r="BF61" s="185"/>
      <c r="BG61" s="185"/>
      <c r="BH61" s="185"/>
      <c r="BI61" s="185">
        <v>56095.75</v>
      </c>
      <c r="BJ61" s="185">
        <v>1982485.6600000004</v>
      </c>
      <c r="BK61" s="185">
        <v>3571817.3700000006</v>
      </c>
      <c r="BL61" s="185">
        <v>2259126.5300000003</v>
      </c>
      <c r="BM61" s="185">
        <v>1525391.17</v>
      </c>
      <c r="BN61" s="185">
        <v>16688710.059999991</v>
      </c>
      <c r="BO61" s="185">
        <v>967092.24000000011</v>
      </c>
      <c r="BP61" s="185">
        <v>1514779.5800000003</v>
      </c>
      <c r="BQ61" s="185"/>
      <c r="BR61" s="185"/>
      <c r="BS61" s="185">
        <v>300686.14</v>
      </c>
      <c r="BT61" s="185">
        <v>386010.60000000015</v>
      </c>
      <c r="BU61" s="185">
        <v>192593.59000000003</v>
      </c>
      <c r="BV61" s="185">
        <v>4933856.149999992</v>
      </c>
      <c r="BW61" s="185"/>
      <c r="BX61" s="185"/>
      <c r="BY61" s="185">
        <v>4946638.1900000004</v>
      </c>
      <c r="BZ61" s="185"/>
      <c r="CA61" s="185">
        <v>1782255.37</v>
      </c>
      <c r="CB61" s="185"/>
      <c r="CC61" s="185">
        <f>16920547.73+6407.63</f>
        <v>16926955.359999999</v>
      </c>
      <c r="CD61" s="249" t="s">
        <v>221</v>
      </c>
      <c r="CE61" s="195">
        <f t="shared" si="0"/>
        <v>158276304.88999999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72625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3217463</v>
      </c>
      <c r="U62" s="195">
        <f t="shared" si="1"/>
        <v>3775158</v>
      </c>
      <c r="V62" s="195">
        <f t="shared" si="1"/>
        <v>0</v>
      </c>
      <c r="W62" s="195">
        <f t="shared" si="1"/>
        <v>185642</v>
      </c>
      <c r="X62" s="195">
        <f t="shared" si="1"/>
        <v>400996</v>
      </c>
      <c r="Y62" s="195">
        <f t="shared" si="1"/>
        <v>1321701</v>
      </c>
      <c r="Z62" s="195">
        <f t="shared" si="1"/>
        <v>2073738</v>
      </c>
      <c r="AA62" s="195">
        <f t="shared" si="1"/>
        <v>71856</v>
      </c>
      <c r="AB62" s="195">
        <f t="shared" si="1"/>
        <v>1235099</v>
      </c>
      <c r="AC62" s="195">
        <f t="shared" si="1"/>
        <v>49178</v>
      </c>
      <c r="AD62" s="195">
        <f t="shared" si="1"/>
        <v>0</v>
      </c>
      <c r="AE62" s="195">
        <f t="shared" si="1"/>
        <v>268436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10695093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554931</v>
      </c>
      <c r="AU62" s="195">
        <f t="shared" si="1"/>
        <v>0</v>
      </c>
      <c r="AV62" s="195">
        <f t="shared" si="1"/>
        <v>1099971</v>
      </c>
      <c r="AW62" s="195">
        <f t="shared" si="1"/>
        <v>0</v>
      </c>
      <c r="AX62" s="195">
        <f t="shared" si="1"/>
        <v>0</v>
      </c>
      <c r="AY62" s="195">
        <f>ROUND(AY47+AY48,0)</f>
        <v>219200</v>
      </c>
      <c r="AZ62" s="195">
        <f>ROUND(AZ47+AZ48,0)</f>
        <v>0</v>
      </c>
      <c r="BA62" s="195">
        <f>ROUND(BA47+BA48,0)</f>
        <v>0</v>
      </c>
      <c r="BB62" s="195">
        <f t="shared" si="1"/>
        <v>611646</v>
      </c>
      <c r="BC62" s="195">
        <f t="shared" si="1"/>
        <v>19477</v>
      </c>
      <c r="BD62" s="195">
        <f t="shared" si="1"/>
        <v>672346</v>
      </c>
      <c r="BE62" s="195">
        <f t="shared" si="1"/>
        <v>260458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15175</v>
      </c>
      <c r="BJ62" s="195">
        <f t="shared" si="1"/>
        <v>534004</v>
      </c>
      <c r="BK62" s="195">
        <f t="shared" si="1"/>
        <v>963027</v>
      </c>
      <c r="BL62" s="195">
        <f t="shared" si="1"/>
        <v>607703</v>
      </c>
      <c r="BM62" s="195">
        <f t="shared" si="1"/>
        <v>406228</v>
      </c>
      <c r="BN62" s="195">
        <f t="shared" si="1"/>
        <v>4766544</v>
      </c>
      <c r="BO62" s="195">
        <f t="shared" ref="BO62:CC62" si="2">ROUND(BO47+BO48,0)</f>
        <v>258001</v>
      </c>
      <c r="BP62" s="195">
        <f t="shared" si="2"/>
        <v>406047</v>
      </c>
      <c r="BQ62" s="195">
        <f t="shared" si="2"/>
        <v>0</v>
      </c>
      <c r="BR62" s="195">
        <f t="shared" si="2"/>
        <v>0</v>
      </c>
      <c r="BS62" s="195">
        <f t="shared" si="2"/>
        <v>80475</v>
      </c>
      <c r="BT62" s="195">
        <f t="shared" si="2"/>
        <v>103887</v>
      </c>
      <c r="BU62" s="195">
        <f t="shared" si="2"/>
        <v>52230</v>
      </c>
      <c r="BV62" s="195">
        <f t="shared" si="2"/>
        <v>1329166</v>
      </c>
      <c r="BW62" s="195">
        <f t="shared" si="2"/>
        <v>0</v>
      </c>
      <c r="BX62" s="195">
        <f t="shared" si="2"/>
        <v>0</v>
      </c>
      <c r="BY62" s="195">
        <f t="shared" si="2"/>
        <v>1318729</v>
      </c>
      <c r="BZ62" s="195">
        <f t="shared" si="2"/>
        <v>0</v>
      </c>
      <c r="CA62" s="195">
        <f t="shared" si="2"/>
        <v>479017</v>
      </c>
      <c r="CB62" s="195">
        <f t="shared" si="2"/>
        <v>0</v>
      </c>
      <c r="CC62" s="195">
        <f t="shared" si="2"/>
        <v>4527640</v>
      </c>
      <c r="CD62" s="249" t="s">
        <v>221</v>
      </c>
      <c r="CE62" s="195">
        <f t="shared" si="0"/>
        <v>42652887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13905</v>
      </c>
      <c r="V63" s="185"/>
      <c r="W63" s="185"/>
      <c r="X63" s="185"/>
      <c r="Y63" s="185"/>
      <c r="Z63" s="185">
        <v>410679.93</v>
      </c>
      <c r="AA63" s="185"/>
      <c r="AB63" s="185">
        <v>12250.000000000015</v>
      </c>
      <c r="AC63" s="185"/>
      <c r="AD63" s="185"/>
      <c r="AE63" s="185"/>
      <c r="AF63" s="185"/>
      <c r="AG63" s="185"/>
      <c r="AH63" s="185"/>
      <c r="AI63" s="185"/>
      <c r="AJ63" s="185">
        <v>23188.46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>
        <v>82.58</v>
      </c>
      <c r="BA63" s="185"/>
      <c r="BB63" s="185">
        <v>3020</v>
      </c>
      <c r="BC63" s="185"/>
      <c r="BD63" s="185">
        <v>332.2</v>
      </c>
      <c r="BE63" s="185">
        <v>-698.0600000000004</v>
      </c>
      <c r="BF63" s="185"/>
      <c r="BG63" s="185"/>
      <c r="BH63" s="185"/>
      <c r="BI63" s="185">
        <v>735.46</v>
      </c>
      <c r="BJ63" s="185">
        <v>352083.30000000005</v>
      </c>
      <c r="BK63" s="185">
        <v>4287104.09</v>
      </c>
      <c r="BL63" s="185"/>
      <c r="BM63" s="185">
        <v>422508.75</v>
      </c>
      <c r="BN63" s="185">
        <v>3192827.9699999997</v>
      </c>
      <c r="BO63" s="185">
        <v>293.75</v>
      </c>
      <c r="BP63" s="185">
        <v>526578.86</v>
      </c>
      <c r="BQ63" s="185"/>
      <c r="BR63" s="185"/>
      <c r="BS63" s="185"/>
      <c r="BT63" s="185"/>
      <c r="BU63" s="185"/>
      <c r="BV63" s="185"/>
      <c r="BW63" s="185"/>
      <c r="BX63" s="185"/>
      <c r="BY63" s="185">
        <v>1162.5</v>
      </c>
      <c r="BZ63" s="185"/>
      <c r="CA63" s="185"/>
      <c r="CB63" s="185"/>
      <c r="CC63" s="185">
        <f>949532.13+81351.74</f>
        <v>1030883.87</v>
      </c>
      <c r="CD63" s="249" t="s">
        <v>221</v>
      </c>
      <c r="CE63" s="195">
        <f t="shared" si="0"/>
        <v>10276938.659999998</v>
      </c>
      <c r="CF63" s="252"/>
    </row>
    <row r="64" spans="1:84" ht="12.65" customHeight="1" x14ac:dyDescent="0.35">
      <c r="A64" s="171" t="s">
        <v>237</v>
      </c>
      <c r="B64" s="175"/>
      <c r="C64" s="184">
        <v>7870300</v>
      </c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4044133.9299999992</v>
      </c>
      <c r="T64" s="185">
        <v>2859202.14</v>
      </c>
      <c r="U64" s="185">
        <v>4709069.5199999996</v>
      </c>
      <c r="V64" s="185" t="s">
        <v>1278</v>
      </c>
      <c r="W64" s="185">
        <v>249712.90000000011</v>
      </c>
      <c r="X64" s="185">
        <v>782029.38999999955</v>
      </c>
      <c r="Y64" s="185">
        <v>372796.30999999994</v>
      </c>
      <c r="Z64" s="185">
        <v>993231.70000000054</v>
      </c>
      <c r="AA64" s="185">
        <v>7960558.6799999997</v>
      </c>
      <c r="AB64" s="185">
        <v>304021060.18000001</v>
      </c>
      <c r="AC64" s="185">
        <v>70584.009999999995</v>
      </c>
      <c r="AD64" s="185" t="s">
        <v>1278</v>
      </c>
      <c r="AE64" s="185">
        <v>9370.34</v>
      </c>
      <c r="AF64" s="185"/>
      <c r="AG64" s="185"/>
      <c r="AH64" s="185"/>
      <c r="AI64" s="185"/>
      <c r="AJ64" s="185">
        <v>1509729.57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>
        <v>3595.57</v>
      </c>
      <c r="AU64" s="185" t="s">
        <v>1278</v>
      </c>
      <c r="AV64" s="185">
        <v>769108.81000000017</v>
      </c>
      <c r="AW64" s="185" t="s">
        <v>1278</v>
      </c>
      <c r="AX64" s="185" t="s">
        <v>1278</v>
      </c>
      <c r="AY64" s="185">
        <v>914.8</v>
      </c>
      <c r="AZ64" s="185">
        <v>285706.99000000005</v>
      </c>
      <c r="BA64" s="185"/>
      <c r="BB64" s="185">
        <v>3177.1900000000005</v>
      </c>
      <c r="BC64" s="185">
        <v>4118.9300000000012</v>
      </c>
      <c r="BD64" s="185">
        <v>2577171.8500000006</v>
      </c>
      <c r="BE64" s="185">
        <v>726242.98999999987</v>
      </c>
      <c r="BF64" s="185"/>
      <c r="BG64" s="185"/>
      <c r="BH64" s="185"/>
      <c r="BI64" s="185">
        <v>60429.790000000008</v>
      </c>
      <c r="BJ64" s="185">
        <v>3591.67</v>
      </c>
      <c r="BK64" s="185">
        <v>9387.6700000000037</v>
      </c>
      <c r="BL64" s="185">
        <v>20214.439999999995</v>
      </c>
      <c r="BM64" s="185">
        <v>21.99</v>
      </c>
      <c r="BN64" s="185">
        <v>74065.859999999986</v>
      </c>
      <c r="BO64" s="185">
        <v>244541.64999999997</v>
      </c>
      <c r="BP64" s="185">
        <v>2138.9</v>
      </c>
      <c r="BQ64" s="185"/>
      <c r="BR64" s="185"/>
      <c r="BS64" s="185">
        <v>763.34999999999991</v>
      </c>
      <c r="BT64" s="185">
        <v>2749.85</v>
      </c>
      <c r="BU64" s="185">
        <v>1552.5700000000002</v>
      </c>
      <c r="BV64" s="185">
        <v>30674.590000000007</v>
      </c>
      <c r="BW64" s="185" t="s">
        <v>1278</v>
      </c>
      <c r="BX64" s="185" t="s">
        <v>1278</v>
      </c>
      <c r="BY64" s="185">
        <v>154331.75999999995</v>
      </c>
      <c r="BZ64" s="185" t="s">
        <v>1278</v>
      </c>
      <c r="CA64" s="185">
        <v>2066.63</v>
      </c>
      <c r="CB64" s="185"/>
      <c r="CC64" s="185">
        <f>159139.3-18897.49</f>
        <v>140241.81</v>
      </c>
      <c r="CD64" s="249" t="s">
        <v>221</v>
      </c>
      <c r="CE64" s="195">
        <f t="shared" si="0"/>
        <v>340568588.33000004</v>
      </c>
      <c r="CF64" s="252"/>
    </row>
    <row r="65" spans="1:84" ht="12.65" customHeight="1" x14ac:dyDescent="0.35">
      <c r="A65" s="171" t="s">
        <v>238</v>
      </c>
      <c r="B65" s="175"/>
      <c r="C65" s="267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>
        <v>7757.2999999999993</v>
      </c>
      <c r="U65" s="185">
        <v>13793.840000000002</v>
      </c>
      <c r="V65" s="185" t="s">
        <v>1278</v>
      </c>
      <c r="W65" s="185">
        <v>239.64000000000001</v>
      </c>
      <c r="X65" s="185">
        <v>674.31</v>
      </c>
      <c r="Y65" s="185">
        <v>25462.639999999989</v>
      </c>
      <c r="Z65" s="185">
        <v>286482.98</v>
      </c>
      <c r="AA65" s="185">
        <v>1336.62</v>
      </c>
      <c r="AB65" s="185">
        <v>5211.7699999999995</v>
      </c>
      <c r="AC65" s="185"/>
      <c r="AD65" s="185" t="s">
        <v>1278</v>
      </c>
      <c r="AE65" s="185"/>
      <c r="AF65" s="185"/>
      <c r="AG65" s="185"/>
      <c r="AH65" s="185"/>
      <c r="AI65" s="185"/>
      <c r="AJ65" s="185">
        <v>59546.710000000006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>
        <v>729.35</v>
      </c>
      <c r="AU65" s="185" t="s">
        <v>1278</v>
      </c>
      <c r="AV65" s="185">
        <v>3536.0699999999993</v>
      </c>
      <c r="AW65" s="185" t="s">
        <v>1278</v>
      </c>
      <c r="AX65" s="185" t="s">
        <v>1278</v>
      </c>
      <c r="AY65" s="185">
        <v>2752.35</v>
      </c>
      <c r="AZ65" s="185">
        <v>0</v>
      </c>
      <c r="BA65" s="185"/>
      <c r="BB65" s="185">
        <v>3851.98</v>
      </c>
      <c r="BC65" s="185">
        <v>331.3</v>
      </c>
      <c r="BD65" s="185">
        <v>14108.489999999998</v>
      </c>
      <c r="BE65" s="185">
        <v>1363396.3800000004</v>
      </c>
      <c r="BF65" s="185"/>
      <c r="BG65" s="185"/>
      <c r="BH65" s="185"/>
      <c r="BI65" s="185">
        <v>3023.099999999999</v>
      </c>
      <c r="BJ65" s="185">
        <v>748.98</v>
      </c>
      <c r="BK65" s="185">
        <v>1831.7700000000002</v>
      </c>
      <c r="BL65" s="185">
        <v>2077.9700000000003</v>
      </c>
      <c r="BM65" s="185">
        <v>3095.31</v>
      </c>
      <c r="BN65" s="185">
        <v>43867.549999999996</v>
      </c>
      <c r="BO65" s="185">
        <v>714163.33</v>
      </c>
      <c r="BP65" s="185">
        <v>2988.5299999999997</v>
      </c>
      <c r="BQ65" s="185"/>
      <c r="BR65" s="185"/>
      <c r="BS65" s="185"/>
      <c r="BT65" s="185"/>
      <c r="BU65" s="185">
        <v>393.51</v>
      </c>
      <c r="BV65" s="185">
        <v>7769</v>
      </c>
      <c r="BW65" s="185" t="s">
        <v>1278</v>
      </c>
      <c r="BX65" s="185" t="s">
        <v>1278</v>
      </c>
      <c r="BY65" s="185">
        <v>22826.739999999998</v>
      </c>
      <c r="BZ65" s="185" t="s">
        <v>1278</v>
      </c>
      <c r="CA65" s="185">
        <v>6874.5300000000016</v>
      </c>
      <c r="CB65" s="185"/>
      <c r="CC65" s="185">
        <f>1274648.28+426.82</f>
        <v>1275075.1000000001</v>
      </c>
      <c r="CD65" s="249" t="s">
        <v>221</v>
      </c>
      <c r="CE65" s="195">
        <f t="shared" si="0"/>
        <v>3873947.15</v>
      </c>
      <c r="CF65" s="252"/>
    </row>
    <row r="66" spans="1:84" ht="12.65" customHeight="1" x14ac:dyDescent="0.35">
      <c r="A66" s="171" t="s">
        <v>239</v>
      </c>
      <c r="B66" s="175"/>
      <c r="C66" s="184">
        <v>49678630.07</v>
      </c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>
        <v>6615080.7199999997</v>
      </c>
      <c r="U66" s="185">
        <v>12979487.670000006</v>
      </c>
      <c r="V66" s="185" t="s">
        <v>1278</v>
      </c>
      <c r="W66" s="185"/>
      <c r="X66" s="185">
        <v>113775.34999999999</v>
      </c>
      <c r="Y66" s="185">
        <v>534615.83000000019</v>
      </c>
      <c r="Z66" s="185">
        <v>2449145.98</v>
      </c>
      <c r="AA66" s="185">
        <v>34498.570000000007</v>
      </c>
      <c r="AB66" s="185">
        <v>12198641.719999999</v>
      </c>
      <c r="AC66" s="185"/>
      <c r="AD66" s="185" t="s">
        <v>1278</v>
      </c>
      <c r="AE66" s="185">
        <v>348.73</v>
      </c>
      <c r="AF66" s="185"/>
      <c r="AG66" s="185"/>
      <c r="AH66" s="185"/>
      <c r="AI66" s="185"/>
      <c r="AJ66" s="185">
        <v>54664560.149999984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>
        <v>12476873.379999999</v>
      </c>
      <c r="AU66" s="185" t="s">
        <v>1278</v>
      </c>
      <c r="AV66" s="185">
        <v>164292.26999999999</v>
      </c>
      <c r="AW66" s="185" t="s">
        <v>1278</v>
      </c>
      <c r="AX66" s="185" t="s">
        <v>1278</v>
      </c>
      <c r="AY66" s="185">
        <v>150.47000000000003</v>
      </c>
      <c r="AZ66" s="185">
        <v>1274.8499999999999</v>
      </c>
      <c r="BA66" s="185"/>
      <c r="BB66" s="185">
        <v>1984132.06</v>
      </c>
      <c r="BC66" s="185">
        <v>1796655.99</v>
      </c>
      <c r="BD66" s="185">
        <v>553631.28999999992</v>
      </c>
      <c r="BE66" s="185">
        <v>5032130.7200000016</v>
      </c>
      <c r="BF66" s="185"/>
      <c r="BG66" s="185"/>
      <c r="BH66" s="185"/>
      <c r="BI66" s="185">
        <v>120337.54999999996</v>
      </c>
      <c r="BJ66" s="185">
        <v>539363.94999999995</v>
      </c>
      <c r="BK66" s="185">
        <v>900323.30999999994</v>
      </c>
      <c r="BL66" s="185">
        <v>238103.29000000004</v>
      </c>
      <c r="BM66" s="185">
        <v>1524000</v>
      </c>
      <c r="BN66" s="185">
        <v>1807004.2500000007</v>
      </c>
      <c r="BO66" s="185">
        <v>63429.42</v>
      </c>
      <c r="BP66" s="185">
        <v>189159.48000000004</v>
      </c>
      <c r="BQ66" s="185"/>
      <c r="BR66" s="185"/>
      <c r="BS66" s="185"/>
      <c r="BT66" s="185">
        <v>55856.340000000011</v>
      </c>
      <c r="BU66" s="185"/>
      <c r="BV66" s="185">
        <v>1001373.4700000002</v>
      </c>
      <c r="BW66" s="185" t="s">
        <v>1278</v>
      </c>
      <c r="BX66" s="185" t="s">
        <v>1278</v>
      </c>
      <c r="BY66" s="185">
        <v>1490684.8800000013</v>
      </c>
      <c r="BZ66" s="185" t="s">
        <v>1278</v>
      </c>
      <c r="CA66" s="185"/>
      <c r="CB66" s="185"/>
      <c r="CC66" s="185">
        <f>28960652.03+127185.32</f>
        <v>29087837.350000001</v>
      </c>
      <c r="CD66" s="249" t="s">
        <v>221</v>
      </c>
      <c r="CE66" s="195">
        <f>SUM(C66:CD66)</f>
        <v>198295399.10999995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1095880</v>
      </c>
      <c r="U67" s="195">
        <f t="shared" si="3"/>
        <v>1366104</v>
      </c>
      <c r="V67" s="195">
        <f t="shared" si="3"/>
        <v>0</v>
      </c>
      <c r="W67" s="195">
        <f t="shared" si="3"/>
        <v>78027</v>
      </c>
      <c r="X67" s="195">
        <f t="shared" si="3"/>
        <v>70824</v>
      </c>
      <c r="Y67" s="195">
        <f t="shared" si="3"/>
        <v>495104</v>
      </c>
      <c r="Z67" s="195">
        <f t="shared" si="3"/>
        <v>2027171</v>
      </c>
      <c r="AA67" s="195">
        <f t="shared" si="3"/>
        <v>58284</v>
      </c>
      <c r="AB67" s="195">
        <f t="shared" si="3"/>
        <v>454495</v>
      </c>
      <c r="AC67" s="195">
        <f t="shared" si="3"/>
        <v>27014</v>
      </c>
      <c r="AD67" s="195">
        <f t="shared" si="3"/>
        <v>0</v>
      </c>
      <c r="AE67" s="195">
        <f t="shared" si="3"/>
        <v>59307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3794928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81072</v>
      </c>
      <c r="AU67" s="195">
        <f t="shared" si="3"/>
        <v>0</v>
      </c>
      <c r="AV67" s="195">
        <f t="shared" si="3"/>
        <v>306774</v>
      </c>
      <c r="AW67" s="195">
        <f t="shared" si="3"/>
        <v>0</v>
      </c>
      <c r="AX67" s="195">
        <f t="shared" si="3"/>
        <v>0</v>
      </c>
      <c r="AY67" s="195">
        <f t="shared" si="3"/>
        <v>6209</v>
      </c>
      <c r="AZ67" s="195">
        <f>ROUND(AZ51+AZ52,0)</f>
        <v>90795</v>
      </c>
      <c r="BA67" s="195">
        <f>ROUND(BA51+BA52,0)</f>
        <v>0</v>
      </c>
      <c r="BB67" s="195">
        <f t="shared" si="3"/>
        <v>50183</v>
      </c>
      <c r="BC67" s="195">
        <f t="shared" si="3"/>
        <v>9847</v>
      </c>
      <c r="BD67" s="195">
        <f t="shared" si="3"/>
        <v>73332</v>
      </c>
      <c r="BE67" s="195">
        <f t="shared" si="3"/>
        <v>5633142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11268</v>
      </c>
      <c r="BJ67" s="195">
        <f t="shared" si="3"/>
        <v>95890</v>
      </c>
      <c r="BK67" s="195">
        <f t="shared" si="3"/>
        <v>246356</v>
      </c>
      <c r="BL67" s="195">
        <f t="shared" si="3"/>
        <v>291030</v>
      </c>
      <c r="BM67" s="195">
        <f t="shared" si="3"/>
        <v>41351</v>
      </c>
      <c r="BN67" s="195">
        <f t="shared" si="3"/>
        <v>529773</v>
      </c>
      <c r="BO67" s="195">
        <f t="shared" si="3"/>
        <v>50085</v>
      </c>
      <c r="BP67" s="195">
        <f t="shared" si="3"/>
        <v>77570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14387</v>
      </c>
      <c r="BT67" s="195">
        <f t="shared" si="4"/>
        <v>24448</v>
      </c>
      <c r="BU67" s="195">
        <f t="shared" si="4"/>
        <v>49226</v>
      </c>
      <c r="BV67" s="195">
        <f t="shared" si="4"/>
        <v>106796</v>
      </c>
      <c r="BW67" s="195">
        <f t="shared" si="4"/>
        <v>0</v>
      </c>
      <c r="BX67" s="195">
        <f t="shared" si="4"/>
        <v>0</v>
      </c>
      <c r="BY67" s="195">
        <f t="shared" si="4"/>
        <v>196271</v>
      </c>
      <c r="BZ67" s="195">
        <f t="shared" si="4"/>
        <v>0</v>
      </c>
      <c r="CA67" s="195">
        <f t="shared" si="4"/>
        <v>27590</v>
      </c>
      <c r="CB67" s="195">
        <f t="shared" si="4"/>
        <v>0</v>
      </c>
      <c r="CC67" s="195">
        <f t="shared" si="4"/>
        <v>7597827</v>
      </c>
      <c r="CD67" s="249" t="s">
        <v>221</v>
      </c>
      <c r="CE67" s="195">
        <f t="shared" si="0"/>
        <v>25138360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189460.19999999992</v>
      </c>
      <c r="V68" s="185" t="s">
        <v>1278</v>
      </c>
      <c r="W68" s="185"/>
      <c r="X68" s="185"/>
      <c r="Y68" s="185">
        <v>138012.67999999996</v>
      </c>
      <c r="Z68" s="185">
        <v>1656260.0000000009</v>
      </c>
      <c r="AA68" s="185"/>
      <c r="AB68" s="185">
        <v>279485.46999999997</v>
      </c>
      <c r="AC68" s="185"/>
      <c r="AD68" s="185" t="s">
        <v>1278</v>
      </c>
      <c r="AE68" s="185">
        <v>13216.5</v>
      </c>
      <c r="AF68" s="185" t="s">
        <v>1278</v>
      </c>
      <c r="AG68" s="185" t="s">
        <v>1278</v>
      </c>
      <c r="AH68" s="185" t="s">
        <v>1278</v>
      </c>
      <c r="AI68" s="185" t="s">
        <v>1278</v>
      </c>
      <c r="AJ68" s="185">
        <v>714661.2699999999</v>
      </c>
      <c r="AK68" s="185" t="s">
        <v>1278</v>
      </c>
      <c r="AL68" s="185" t="s">
        <v>1278</v>
      </c>
      <c r="AM68" s="185" t="s">
        <v>1278</v>
      </c>
      <c r="AN68" s="185" t="s">
        <v>1278</v>
      </c>
      <c r="AO68" s="185" t="s">
        <v>1278</v>
      </c>
      <c r="AP68" s="185" t="s">
        <v>1278</v>
      </c>
      <c r="AQ68" s="185" t="s">
        <v>1278</v>
      </c>
      <c r="AR68" s="185" t="s">
        <v>1278</v>
      </c>
      <c r="AS68" s="185" t="s">
        <v>1278</v>
      </c>
      <c r="AT68" s="185"/>
      <c r="AU68" s="185" t="s">
        <v>1278</v>
      </c>
      <c r="AV68" s="185"/>
      <c r="AW68" s="185" t="s">
        <v>1278</v>
      </c>
      <c r="AX68" s="185" t="s">
        <v>1278</v>
      </c>
      <c r="AY68" s="185"/>
      <c r="AZ68" s="185"/>
      <c r="BA68" s="185"/>
      <c r="BB68" s="185">
        <v>2032.71</v>
      </c>
      <c r="BC68" s="185">
        <v>2139332.0499999998</v>
      </c>
      <c r="BD68" s="185"/>
      <c r="BE68" s="185">
        <v>139688.95000000001</v>
      </c>
      <c r="BF68" s="185" t="s">
        <v>1278</v>
      </c>
      <c r="BG68" s="185" t="s">
        <v>1278</v>
      </c>
      <c r="BH68" s="185" t="s">
        <v>1278</v>
      </c>
      <c r="BI68" s="185"/>
      <c r="BJ68" s="185"/>
      <c r="BK68" s="185"/>
      <c r="BL68" s="185"/>
      <c r="BM68" s="185"/>
      <c r="BN68" s="185"/>
      <c r="BO68" s="185"/>
      <c r="BP68" s="185"/>
      <c r="BQ68" s="185" t="s">
        <v>1278</v>
      </c>
      <c r="BR68" s="185" t="s">
        <v>1278</v>
      </c>
      <c r="BS68" s="185"/>
      <c r="BT68" s="185"/>
      <c r="BU68" s="185"/>
      <c r="BV68" s="185"/>
      <c r="BW68" s="185" t="s">
        <v>1278</v>
      </c>
      <c r="BX68" s="185" t="s">
        <v>1278</v>
      </c>
      <c r="BY68" s="185">
        <v>2566336.0499999993</v>
      </c>
      <c r="BZ68" s="185" t="s">
        <v>1278</v>
      </c>
      <c r="CA68" s="185"/>
      <c r="CB68" s="185"/>
      <c r="CC68" s="185">
        <f>10440915.92+44750</f>
        <v>10485665.92</v>
      </c>
      <c r="CD68" s="249" t="s">
        <v>221</v>
      </c>
      <c r="CE68" s="195">
        <f t="shared" si="0"/>
        <v>18324151.800000001</v>
      </c>
      <c r="CF68" s="252"/>
    </row>
    <row r="69" spans="1:84" ht="12.65" customHeight="1" x14ac:dyDescent="0.35">
      <c r="A69" s="171" t="s">
        <v>241</v>
      </c>
      <c r="B69" s="175"/>
      <c r="C69" s="184">
        <v>2082157.5000000002</v>
      </c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>
        <v>55040.31</v>
      </c>
      <c r="T69" s="184">
        <v>512182.73000000016</v>
      </c>
      <c r="U69" s="185">
        <v>1302419.7300000004</v>
      </c>
      <c r="V69" s="185" t="s">
        <v>1278</v>
      </c>
      <c r="W69" s="184">
        <v>442671.87000000011</v>
      </c>
      <c r="X69" s="185">
        <v>906876.27000000014</v>
      </c>
      <c r="Y69" s="185">
        <v>900602.51000000047</v>
      </c>
      <c r="Z69" s="185">
        <v>5530926.3699999973</v>
      </c>
      <c r="AA69" s="185">
        <v>54496.87</v>
      </c>
      <c r="AB69" s="185">
        <v>1271575.7299999995</v>
      </c>
      <c r="AC69" s="185">
        <v>14660.9</v>
      </c>
      <c r="AD69" s="185" t="s">
        <v>1278</v>
      </c>
      <c r="AE69" s="185">
        <v>13198.369999999999</v>
      </c>
      <c r="AF69" s="185" t="s">
        <v>1278</v>
      </c>
      <c r="AG69" s="185" t="s">
        <v>1278</v>
      </c>
      <c r="AH69" s="185" t="s">
        <v>1278</v>
      </c>
      <c r="AI69" s="185" t="s">
        <v>1278</v>
      </c>
      <c r="AJ69" s="185">
        <v>1151352.2899999996</v>
      </c>
      <c r="AK69" s="185" t="s">
        <v>1278</v>
      </c>
      <c r="AL69" s="185" t="s">
        <v>1278</v>
      </c>
      <c r="AM69" s="185" t="s">
        <v>1278</v>
      </c>
      <c r="AN69" s="185" t="s">
        <v>1278</v>
      </c>
      <c r="AO69" s="184" t="s">
        <v>1278</v>
      </c>
      <c r="AP69" s="185" t="s">
        <v>1278</v>
      </c>
      <c r="AQ69" s="184" t="s">
        <v>1278</v>
      </c>
      <c r="AR69" s="184" t="s">
        <v>1278</v>
      </c>
      <c r="AS69" s="184" t="s">
        <v>1278</v>
      </c>
      <c r="AT69" s="184">
        <v>55857.220000000008</v>
      </c>
      <c r="AU69" s="185" t="s">
        <v>1278</v>
      </c>
      <c r="AV69" s="185">
        <v>233491.18999999994</v>
      </c>
      <c r="AW69" s="185" t="s">
        <v>1278</v>
      </c>
      <c r="AX69" s="185" t="s">
        <v>1278</v>
      </c>
      <c r="AY69" s="185">
        <v>3722.2200000000007</v>
      </c>
      <c r="AZ69" s="185">
        <v>720996.31999999972</v>
      </c>
      <c r="BA69" s="185">
        <v>6076.09</v>
      </c>
      <c r="BB69" s="185">
        <v>241547.67</v>
      </c>
      <c r="BC69" s="185">
        <v>337234.19000000006</v>
      </c>
      <c r="BD69" s="185">
        <v>186291.71999999994</v>
      </c>
      <c r="BE69" s="185">
        <v>1333732.8800000008</v>
      </c>
      <c r="BF69" s="185" t="s">
        <v>1278</v>
      </c>
      <c r="BG69" s="185" t="s">
        <v>1278</v>
      </c>
      <c r="BH69" s="224" t="s">
        <v>1278</v>
      </c>
      <c r="BI69" s="185">
        <v>15583.009999999989</v>
      </c>
      <c r="BJ69" s="185">
        <v>176077.86999999994</v>
      </c>
      <c r="BK69" s="185">
        <v>38643.040000000008</v>
      </c>
      <c r="BL69" s="185">
        <v>102345.26000000001</v>
      </c>
      <c r="BM69" s="185">
        <v>173598.94</v>
      </c>
      <c r="BN69" s="185">
        <v>3998079.5500000054</v>
      </c>
      <c r="BO69" s="185">
        <v>94618.139999999985</v>
      </c>
      <c r="BP69" s="185">
        <v>4946247.8400000017</v>
      </c>
      <c r="BQ69" s="185" t="s">
        <v>1278</v>
      </c>
      <c r="BR69" s="185" t="s">
        <v>1278</v>
      </c>
      <c r="BS69" s="185">
        <v>10333.459999999999</v>
      </c>
      <c r="BT69" s="185">
        <v>2536.5500000000011</v>
      </c>
      <c r="BU69" s="185">
        <v>1083.5899999999999</v>
      </c>
      <c r="BV69" s="185">
        <v>137209.66999999998</v>
      </c>
      <c r="BW69" s="185" t="s">
        <v>1278</v>
      </c>
      <c r="BX69" s="185" t="s">
        <v>1278</v>
      </c>
      <c r="BY69" s="185">
        <v>401737.18000000005</v>
      </c>
      <c r="BZ69" s="185" t="s">
        <v>1278</v>
      </c>
      <c r="CA69" s="185">
        <v>162972.95000000001</v>
      </c>
      <c r="CB69" s="185"/>
      <c r="CC69" s="185">
        <v>8778157.6500000004</v>
      </c>
      <c r="CD69" s="188">
        <v>7044743.120000002</v>
      </c>
      <c r="CE69" s="195">
        <f t="shared" si="0"/>
        <v>43441078.770000018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153575.5</v>
      </c>
      <c r="T70" s="184">
        <v>2577293.7100000004</v>
      </c>
      <c r="U70" s="185">
        <v>10135350.35</v>
      </c>
      <c r="V70" s="184"/>
      <c r="W70" s="184">
        <v>554364.55000000005</v>
      </c>
      <c r="X70" s="185">
        <v>7399182.8300000001</v>
      </c>
      <c r="Y70" s="185">
        <v>430159.33000000019</v>
      </c>
      <c r="Z70" s="185">
        <v>137568.81</v>
      </c>
      <c r="AA70" s="185">
        <v>503361.09</v>
      </c>
      <c r="AB70" s="185">
        <v>72953139.800000012</v>
      </c>
      <c r="AC70" s="185">
        <v>22519.75</v>
      </c>
      <c r="AD70" s="185"/>
      <c r="AE70" s="185">
        <v>10251.06</v>
      </c>
      <c r="AF70" s="185"/>
      <c r="AG70" s="185"/>
      <c r="AH70" s="185"/>
      <c r="AI70" s="185"/>
      <c r="AJ70" s="185">
        <v>2428863.1099999985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>
        <v>7009528.0000000009</v>
      </c>
      <c r="AU70" s="185"/>
      <c r="AV70" s="185">
        <v>1431940.8699999999</v>
      </c>
      <c r="AW70" s="185"/>
      <c r="AX70" s="185"/>
      <c r="AY70" s="185">
        <v>625.51</v>
      </c>
      <c r="AZ70" s="185"/>
      <c r="BA70" s="185"/>
      <c r="BB70" s="185">
        <v>103860.53999999998</v>
      </c>
      <c r="BC70" s="185">
        <v>1494715.9600000002</v>
      </c>
      <c r="BD70" s="185">
        <v>90326.540000000008</v>
      </c>
      <c r="BE70" s="185"/>
      <c r="BF70" s="185"/>
      <c r="BG70" s="185"/>
      <c r="BH70" s="185"/>
      <c r="BI70" s="185">
        <v>137182.27999999997</v>
      </c>
      <c r="BJ70" s="185"/>
      <c r="BK70" s="185">
        <v>314948.70000000007</v>
      </c>
      <c r="BL70" s="185">
        <v>762171.12</v>
      </c>
      <c r="BM70" s="185">
        <v>47092.56</v>
      </c>
      <c r="BN70" s="185">
        <v>1397296.6000000003</v>
      </c>
      <c r="BO70" s="185"/>
      <c r="BP70" s="185">
        <v>967901.76</v>
      </c>
      <c r="BQ70" s="185"/>
      <c r="BR70" s="185"/>
      <c r="BS70" s="185">
        <v>453.17</v>
      </c>
      <c r="BT70" s="185">
        <v>913.94</v>
      </c>
      <c r="BU70" s="185">
        <v>0</v>
      </c>
      <c r="BV70" s="185">
        <v>248195.24000000002</v>
      </c>
      <c r="BW70" s="185"/>
      <c r="BX70" s="185"/>
      <c r="BY70" s="185">
        <v>386999.96000000014</v>
      </c>
      <c r="BZ70" s="185"/>
      <c r="CA70" s="185">
        <v>65275.92000000002</v>
      </c>
      <c r="CB70" s="185"/>
      <c r="CC70" s="185">
        <v>2373946.9799999995</v>
      </c>
      <c r="CD70" s="188">
        <v>-9698590.9299999997</v>
      </c>
      <c r="CE70" s="195">
        <f t="shared" si="0"/>
        <v>104440414.61000004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59979604.57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3945598.7399999993</v>
      </c>
      <c r="T71" s="195">
        <f t="shared" si="5"/>
        <v>23667934.759999998</v>
      </c>
      <c r="U71" s="195">
        <f t="shared" si="5"/>
        <v>28248774.660000019</v>
      </c>
      <c r="V71" s="195">
        <f t="shared" si="5"/>
        <v>0</v>
      </c>
      <c r="W71" s="195">
        <f t="shared" si="5"/>
        <v>1098866.9099999999</v>
      </c>
      <c r="X71" s="195">
        <f t="shared" si="5"/>
        <v>-3619324.2700000005</v>
      </c>
      <c r="Y71" s="195">
        <f t="shared" si="5"/>
        <v>8274206.8899999969</v>
      </c>
      <c r="Z71" s="195">
        <f t="shared" si="5"/>
        <v>23521484.080000002</v>
      </c>
      <c r="AA71" s="195">
        <f t="shared" si="5"/>
        <v>7946970.8699999992</v>
      </c>
      <c r="AB71" s="195">
        <f t="shared" si="5"/>
        <v>251119514.19999999</v>
      </c>
      <c r="AC71" s="195">
        <f t="shared" si="5"/>
        <v>321725.30000000005</v>
      </c>
      <c r="AD71" s="195">
        <f t="shared" si="5"/>
        <v>0</v>
      </c>
      <c r="AE71" s="195">
        <f t="shared" si="5"/>
        <v>1359925.8300000003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109921259.03999998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8222202.8899999978</v>
      </c>
      <c r="AU71" s="195">
        <f t="shared" si="6"/>
        <v>0</v>
      </c>
      <c r="AV71" s="195">
        <f t="shared" si="6"/>
        <v>5248796.9300000006</v>
      </c>
      <c r="AW71" s="195">
        <f t="shared" si="6"/>
        <v>0</v>
      </c>
      <c r="AX71" s="195">
        <f t="shared" si="6"/>
        <v>0</v>
      </c>
      <c r="AY71" s="195">
        <f t="shared" si="6"/>
        <v>1046309.3599999996</v>
      </c>
      <c r="AZ71" s="195">
        <f t="shared" si="6"/>
        <v>1098855.7399999998</v>
      </c>
      <c r="BA71" s="195">
        <f t="shared" si="6"/>
        <v>6076.09</v>
      </c>
      <c r="BB71" s="195">
        <f t="shared" si="6"/>
        <v>5149523.2800000021</v>
      </c>
      <c r="BC71" s="195">
        <f t="shared" si="6"/>
        <v>2884545.66</v>
      </c>
      <c r="BD71" s="195">
        <f t="shared" si="6"/>
        <v>6463703.1999999983</v>
      </c>
      <c r="BE71" s="195">
        <f t="shared" si="6"/>
        <v>15463109.330000002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145465.38</v>
      </c>
      <c r="BJ71" s="195">
        <f t="shared" si="6"/>
        <v>3684245.4299999997</v>
      </c>
      <c r="BK71" s="195">
        <f t="shared" si="6"/>
        <v>9703541.5500000007</v>
      </c>
      <c r="BL71" s="195">
        <f t="shared" si="6"/>
        <v>2758429.37</v>
      </c>
      <c r="BM71" s="195">
        <f t="shared" si="6"/>
        <v>4049102.6</v>
      </c>
      <c r="BN71" s="195">
        <f t="shared" si="6"/>
        <v>29703575.639999993</v>
      </c>
      <c r="BO71" s="195">
        <f t="shared" si="6"/>
        <v>2392224.5300000003</v>
      </c>
      <c r="BP71" s="195">
        <f t="shared" ref="BP71:CC71" si="7">SUM(BP61:BP69)-BP70</f>
        <v>6697608.4300000016</v>
      </c>
      <c r="BQ71" s="195">
        <f t="shared" si="7"/>
        <v>0</v>
      </c>
      <c r="BR71" s="195">
        <f t="shared" si="7"/>
        <v>0</v>
      </c>
      <c r="BS71" s="195">
        <f t="shared" si="7"/>
        <v>406191.78</v>
      </c>
      <c r="BT71" s="195">
        <f t="shared" si="7"/>
        <v>574574.40000000026</v>
      </c>
      <c r="BU71" s="195">
        <f t="shared" si="7"/>
        <v>297079.26000000007</v>
      </c>
      <c r="BV71" s="195">
        <f t="shared" si="7"/>
        <v>7298649.6399999913</v>
      </c>
      <c r="BW71" s="195">
        <f t="shared" si="7"/>
        <v>0</v>
      </c>
      <c r="BX71" s="195">
        <f t="shared" si="7"/>
        <v>0</v>
      </c>
      <c r="BY71" s="195">
        <f t="shared" si="7"/>
        <v>10711717.34</v>
      </c>
      <c r="BZ71" s="195">
        <f t="shared" si="7"/>
        <v>0</v>
      </c>
      <c r="CA71" s="195">
        <f t="shared" si="7"/>
        <v>2395500.56</v>
      </c>
      <c r="CB71" s="195">
        <f t="shared" si="7"/>
        <v>0</v>
      </c>
      <c r="CC71" s="195">
        <f t="shared" si="7"/>
        <v>77476337.079999998</v>
      </c>
      <c r="CD71" s="245">
        <f>CD69-CD70</f>
        <v>16743334.050000001</v>
      </c>
      <c r="CE71" s="195">
        <f>SUM(CE61:CE69)-CE70</f>
        <v>736407241.09999979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88231295.059999987</v>
      </c>
      <c r="D73" s="184"/>
      <c r="E73" s="185"/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88231295.059999987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37196861.789999999</v>
      </c>
      <c r="T74" s="185">
        <v>145732161.49999997</v>
      </c>
      <c r="U74" s="185">
        <v>152799373.62</v>
      </c>
      <c r="V74" s="185"/>
      <c r="W74" s="185">
        <v>36581253.280000001</v>
      </c>
      <c r="X74" s="185">
        <v>142822744.89000002</v>
      </c>
      <c r="Y74" s="185">
        <v>23567824.979999997</v>
      </c>
      <c r="Z74" s="185">
        <v>144321229.43000001</v>
      </c>
      <c r="AA74" s="185">
        <v>17416757.259999998</v>
      </c>
      <c r="AB74" s="185">
        <v>712464497.18999994</v>
      </c>
      <c r="AC74" s="185">
        <v>1873243.5</v>
      </c>
      <c r="AD74" s="185"/>
      <c r="AE74" s="185">
        <v>2616381.5</v>
      </c>
      <c r="AF74" s="185"/>
      <c r="AG74" s="185"/>
      <c r="AH74" s="185"/>
      <c r="AI74" s="185"/>
      <c r="AJ74" s="185">
        <v>89828750.629999995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>
        <v>13383990.210000001</v>
      </c>
      <c r="AU74" s="185"/>
      <c r="AV74" s="185">
        <f>32073256.51+1167.25+416260.55-9891174.71</f>
        <v>22599509.600000001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1543204579.3800001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88231295.059999987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37196861.789999999</v>
      </c>
      <c r="T75" s="195">
        <f t="shared" si="9"/>
        <v>145732161.49999997</v>
      </c>
      <c r="U75" s="195">
        <f t="shared" si="9"/>
        <v>152799373.62</v>
      </c>
      <c r="V75" s="195">
        <f t="shared" si="9"/>
        <v>0</v>
      </c>
      <c r="W75" s="195">
        <f t="shared" si="9"/>
        <v>36581253.280000001</v>
      </c>
      <c r="X75" s="195">
        <f t="shared" si="9"/>
        <v>142822744.89000002</v>
      </c>
      <c r="Y75" s="195">
        <f t="shared" si="9"/>
        <v>23567824.979999997</v>
      </c>
      <c r="Z75" s="195">
        <f t="shared" si="9"/>
        <v>144321229.43000001</v>
      </c>
      <c r="AA75" s="195">
        <f t="shared" si="9"/>
        <v>17416757.259999998</v>
      </c>
      <c r="AB75" s="195">
        <f t="shared" si="9"/>
        <v>712464497.18999994</v>
      </c>
      <c r="AC75" s="195">
        <f t="shared" si="9"/>
        <v>1873243.5</v>
      </c>
      <c r="AD75" s="195">
        <f t="shared" si="9"/>
        <v>0</v>
      </c>
      <c r="AE75" s="195">
        <f t="shared" si="9"/>
        <v>2616381.5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89828750.629999995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13383990.210000001</v>
      </c>
      <c r="AU75" s="195">
        <f t="shared" si="9"/>
        <v>0</v>
      </c>
      <c r="AV75" s="195">
        <f t="shared" si="9"/>
        <v>22599509.600000001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1631435874.4400001</v>
      </c>
      <c r="CF75" s="252"/>
    </row>
    <row r="76" spans="1:84" ht="12.65" customHeight="1" x14ac:dyDescent="0.35">
      <c r="A76" s="171" t="s">
        <v>248</v>
      </c>
      <c r="B76" s="175"/>
      <c r="C76" s="184">
        <v>15445.996695310001</v>
      </c>
      <c r="D76" s="184"/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>
        <v>25682.605326694393</v>
      </c>
      <c r="U76" s="185">
        <v>32015.477056075502</v>
      </c>
      <c r="V76" s="185"/>
      <c r="W76" s="185">
        <v>1828.6065911800001</v>
      </c>
      <c r="X76" s="185">
        <v>1659.8083210699999</v>
      </c>
      <c r="Y76" s="185">
        <v>11603.060556015998</v>
      </c>
      <c r="Z76" s="185">
        <v>47507.967900505006</v>
      </c>
      <c r="AA76" s="185">
        <v>1365.91634107</v>
      </c>
      <c r="AB76" s="185">
        <v>10651.355489198255</v>
      </c>
      <c r="AC76" s="185">
        <v>633.09484128999998</v>
      </c>
      <c r="AD76" s="185"/>
      <c r="AE76" s="185">
        <v>1389.8945845540406</v>
      </c>
      <c r="AF76" s="185"/>
      <c r="AG76" s="185"/>
      <c r="AH76" s="185"/>
      <c r="AI76" s="185"/>
      <c r="AJ76" s="185">
        <v>88936.414261459504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>
        <v>1899.9801458331999</v>
      </c>
      <c r="AU76" s="185"/>
      <c r="AV76" s="185">
        <v>7189.4277485764987</v>
      </c>
      <c r="AW76" s="185"/>
      <c r="AX76" s="185"/>
      <c r="AY76" s="185">
        <v>145.50154470200002</v>
      </c>
      <c r="AZ76" s="185">
        <v>2127.8414095518747</v>
      </c>
      <c r="BA76" s="185"/>
      <c r="BB76" s="185">
        <v>1176.0671627202285</v>
      </c>
      <c r="BC76" s="185">
        <v>230.76526386600003</v>
      </c>
      <c r="BD76" s="185">
        <v>1718.5858616700002</v>
      </c>
      <c r="BE76" s="185">
        <v>132016.06096096407</v>
      </c>
      <c r="BF76" s="185"/>
      <c r="BG76" s="185"/>
      <c r="BH76" s="185"/>
      <c r="BI76" s="185">
        <v>264.07023406000002</v>
      </c>
      <c r="BJ76" s="185">
        <v>2247.243122308133</v>
      </c>
      <c r="BK76" s="185">
        <v>5773.4935310522997</v>
      </c>
      <c r="BL76" s="185">
        <v>6820.4685310704081</v>
      </c>
      <c r="BM76" s="185">
        <v>969.07413184299605</v>
      </c>
      <c r="BN76" s="185">
        <v>12415.543170295727</v>
      </c>
      <c r="BO76" s="185">
        <v>1173.7688015675001</v>
      </c>
      <c r="BP76" s="185">
        <v>1817.9056142750001</v>
      </c>
      <c r="BQ76" s="185"/>
      <c r="BR76" s="185"/>
      <c r="BS76" s="185">
        <v>337.17183087997176</v>
      </c>
      <c r="BT76" s="185">
        <v>572.95325583264059</v>
      </c>
      <c r="BU76" s="185">
        <v>1153.6454489231251</v>
      </c>
      <c r="BV76" s="185">
        <v>2502.8206104839292</v>
      </c>
      <c r="BW76" s="185"/>
      <c r="BX76" s="185"/>
      <c r="BY76" s="185">
        <v>4599.7303867759492</v>
      </c>
      <c r="BZ76" s="185"/>
      <c r="CA76" s="185">
        <v>646.59510102937497</v>
      </c>
      <c r="CB76" s="185"/>
      <c r="CC76" s="185">
        <f>162470.910353355+142.725147648</f>
        <v>162613.63550100298</v>
      </c>
      <c r="CD76" s="249" t="s">
        <v>221</v>
      </c>
      <c r="CE76" s="195">
        <f t="shared" si="8"/>
        <v>589132.54733370664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1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</v>
      </c>
      <c r="CF77" s="195">
        <f>AY59-CE77</f>
        <v>-1</v>
      </c>
    </row>
    <row r="78" spans="1:84" ht="12.65" customHeight="1" x14ac:dyDescent="0.35">
      <c r="A78" s="171" t="s">
        <v>250</v>
      </c>
      <c r="B78" s="175"/>
      <c r="C78" s="184">
        <v>1</v>
      </c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</v>
      </c>
      <c r="CF78" s="195"/>
    </row>
    <row r="79" spans="1:84" ht="12.65" customHeight="1" x14ac:dyDescent="0.35">
      <c r="A79" s="171" t="s">
        <v>251</v>
      </c>
      <c r="B79" s="175"/>
      <c r="C79" s="225">
        <v>1</v>
      </c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0</v>
      </c>
      <c r="Q80" s="187">
        <v>0</v>
      </c>
      <c r="R80" s="187">
        <v>0</v>
      </c>
      <c r="S80" s="187">
        <v>0</v>
      </c>
      <c r="T80" s="187">
        <v>83.94</v>
      </c>
      <c r="U80" s="187">
        <v>5.56</v>
      </c>
      <c r="V80" s="187">
        <v>0</v>
      </c>
      <c r="W80" s="187">
        <v>0.09</v>
      </c>
      <c r="X80" s="187">
        <v>0</v>
      </c>
      <c r="Y80" s="187">
        <v>7.24</v>
      </c>
      <c r="Z80" s="187">
        <v>6.63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0</v>
      </c>
      <c r="AH80" s="187">
        <v>0</v>
      </c>
      <c r="AI80" s="187">
        <v>0</v>
      </c>
      <c r="AJ80" s="187">
        <v>184.27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49.04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336.77000000000004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1277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1267</v>
      </c>
      <c r="D84" s="205"/>
      <c r="E84" s="204"/>
    </row>
    <row r="85" spans="1:5" ht="12.65" customHeight="1" x14ac:dyDescent="0.35">
      <c r="A85" s="173" t="s">
        <v>1248</v>
      </c>
      <c r="B85" s="172"/>
      <c r="C85" s="271" t="s">
        <v>1268</v>
      </c>
      <c r="D85" s="205"/>
      <c r="E85" s="204"/>
    </row>
    <row r="86" spans="1:5" ht="12.65" customHeight="1" x14ac:dyDescent="0.35">
      <c r="A86" s="173" t="s">
        <v>1249</v>
      </c>
      <c r="B86" s="172" t="s">
        <v>256</v>
      </c>
      <c r="C86" s="230" t="s">
        <v>1269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1270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1271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585</v>
      </c>
      <c r="D111" s="174">
        <v>6362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1236</v>
      </c>
      <c r="B118" s="172" t="s">
        <v>256</v>
      </c>
      <c r="C118" s="189">
        <v>20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1237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197</v>
      </c>
      <c r="C138" s="189">
        <v>86</v>
      </c>
      <c r="D138" s="174">
        <v>302</v>
      </c>
      <c r="E138" s="175">
        <f>SUM(B138:D138)</f>
        <v>585</v>
      </c>
    </row>
    <row r="139" spans="1:6" ht="12.65" customHeight="1" x14ac:dyDescent="0.35">
      <c r="A139" s="173" t="s">
        <v>215</v>
      </c>
      <c r="B139" s="174">
        <v>1896</v>
      </c>
      <c r="C139" s="189">
        <v>1175</v>
      </c>
      <c r="D139" s="174">
        <v>3291</v>
      </c>
      <c r="E139" s="175">
        <f>SUM(B139:D139)</f>
        <v>6362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23660027</v>
      </c>
      <c r="C141" s="189">
        <v>15995437</v>
      </c>
      <c r="D141" s="174">
        <v>48575831</v>
      </c>
      <c r="E141" s="175">
        <f>SUM(B141:D141)</f>
        <v>88231295</v>
      </c>
      <c r="F141" s="199"/>
    </row>
    <row r="142" spans="1:6" ht="12.65" customHeight="1" x14ac:dyDescent="0.35">
      <c r="A142" s="173" t="s">
        <v>246</v>
      </c>
      <c r="B142" s="174">
        <v>642021226.71000004</v>
      </c>
      <c r="C142" s="189">
        <v>153076744.40000001</v>
      </c>
      <c r="D142" s="174">
        <v>748106608.26999998</v>
      </c>
      <c r="E142" s="175">
        <f>SUM(B142:D142)</f>
        <v>1543204579.3800001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12272447.49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611951.86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-31865.51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15610015+530368+876145+2255017</f>
        <v>19271545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351707.57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f>9142610+334904</f>
        <v>9477514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216371+597209+324826-436145-2675+1</f>
        <v>699587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42652887.409999996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f>845733+11681605+915520+1449839+184779+1852041</f>
        <v>16929517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445617+949018</f>
        <v>1394635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18324152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1470827.53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1470827.53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409610.52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2594735+1905700</f>
        <v>4500435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4910045.5199999996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267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3804725.95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SUM(C189:C189)</f>
        <v>3804725.95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19961533.68</v>
      </c>
      <c r="C195" s="189"/>
      <c r="D195" s="174"/>
      <c r="E195" s="175">
        <f t="shared" ref="E195:E203" si="10">SUM(B195:C195)-D195</f>
        <v>19961533.68</v>
      </c>
    </row>
    <row r="196" spans="1:8" ht="12.65" customHeight="1" x14ac:dyDescent="0.35">
      <c r="A196" s="173" t="s">
        <v>333</v>
      </c>
      <c r="B196" s="174">
        <v>8292290.5899999999</v>
      </c>
      <c r="C196" s="189">
        <v>1029867.27</v>
      </c>
      <c r="D196" s="174"/>
      <c r="E196" s="175">
        <f t="shared" si="10"/>
        <v>9322157.8599999994</v>
      </c>
    </row>
    <row r="197" spans="1:8" ht="12.65" customHeight="1" x14ac:dyDescent="0.35">
      <c r="A197" s="173" t="s">
        <v>334</v>
      </c>
      <c r="B197" s="174">
        <v>128499089.60000001</v>
      </c>
      <c r="C197" s="189">
        <f>3107672.253006</f>
        <v>3107672.2530060001</v>
      </c>
      <c r="D197" s="174"/>
      <c r="E197" s="175">
        <f t="shared" si="10"/>
        <v>131606761.85300601</v>
      </c>
    </row>
    <row r="198" spans="1:8" ht="12.65" customHeight="1" x14ac:dyDescent="0.35">
      <c r="A198" s="173" t="s">
        <v>335</v>
      </c>
      <c r="B198" s="174">
        <v>45876664.290000007</v>
      </c>
      <c r="C198" s="189">
        <v>263501.13</v>
      </c>
      <c r="D198" s="174"/>
      <c r="E198" s="175">
        <f t="shared" si="10"/>
        <v>46140165.420000009</v>
      </c>
    </row>
    <row r="199" spans="1:8" ht="12.65" customHeight="1" x14ac:dyDescent="0.35">
      <c r="A199" s="173" t="s">
        <v>336</v>
      </c>
      <c r="B199" s="174">
        <v>5010566.82</v>
      </c>
      <c r="C199" s="189">
        <v>879124.33</v>
      </c>
      <c r="D199" s="174"/>
      <c r="E199" s="175">
        <f t="shared" si="10"/>
        <v>5889691.1500000004</v>
      </c>
    </row>
    <row r="200" spans="1:8" ht="12.65" customHeight="1" x14ac:dyDescent="0.35">
      <c r="A200" s="173" t="s">
        <v>337</v>
      </c>
      <c r="B200" s="174">
        <v>8020152.040000001</v>
      </c>
      <c r="C200" s="189">
        <v>832463.63</v>
      </c>
      <c r="D200" s="174"/>
      <c r="E200" s="175">
        <f t="shared" si="10"/>
        <v>8852615.6700000018</v>
      </c>
    </row>
    <row r="201" spans="1:8" ht="12.65" customHeight="1" x14ac:dyDescent="0.35">
      <c r="A201" s="173" t="s">
        <v>338</v>
      </c>
      <c r="B201" s="174">
        <v>111483656.61000001</v>
      </c>
      <c r="C201" s="189">
        <f>29429589.71-90</f>
        <v>29429499.710000001</v>
      </c>
      <c r="D201" s="174">
        <v>1830999.24</v>
      </c>
      <c r="E201" s="175">
        <f t="shared" si="10"/>
        <v>139082157.08000001</v>
      </c>
    </row>
    <row r="202" spans="1:8" ht="12.65" customHeight="1" x14ac:dyDescent="0.35">
      <c r="A202" s="173" t="s">
        <v>339</v>
      </c>
      <c r="B202" s="174">
        <v>28850378.030000001</v>
      </c>
      <c r="C202" s="189">
        <v>13108860.960000001</v>
      </c>
      <c r="D202" s="174"/>
      <c r="E202" s="175">
        <f t="shared" si="10"/>
        <v>41959238.990000002</v>
      </c>
    </row>
    <row r="203" spans="1:8" ht="12.65" customHeight="1" x14ac:dyDescent="0.35">
      <c r="A203" s="173" t="s">
        <v>340</v>
      </c>
      <c r="B203" s="174">
        <v>30613189.729999684</v>
      </c>
      <c r="C203" s="189">
        <f>137218255.38-78711079.28+8210.53</f>
        <v>58515386.629999995</v>
      </c>
      <c r="D203" s="174"/>
      <c r="E203" s="175">
        <f t="shared" si="10"/>
        <v>89128576.359999686</v>
      </c>
    </row>
    <row r="204" spans="1:8" ht="12.65" customHeight="1" x14ac:dyDescent="0.35">
      <c r="A204" s="173" t="s">
        <v>203</v>
      </c>
      <c r="B204" s="175">
        <f>SUM(B195:B203)</f>
        <v>386607521.38999963</v>
      </c>
      <c r="C204" s="191">
        <f>SUM(C195:C203)</f>
        <v>107166375.91300601</v>
      </c>
      <c r="D204" s="175">
        <f>SUM(D195:D203)</f>
        <v>1830999.24</v>
      </c>
      <c r="E204" s="175">
        <f>SUM(E195:E203)</f>
        <v>491942898.06300569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6491228.3700000001</v>
      </c>
      <c r="C209" s="189">
        <v>332129.02</v>
      </c>
      <c r="D209" s="174"/>
      <c r="E209" s="175">
        <f t="shared" ref="E209:E216" si="11">SUM(B209:C209)-D209</f>
        <v>6823357.3900000006</v>
      </c>
      <c r="H209" s="259"/>
    </row>
    <row r="210" spans="1:8" ht="12.65" customHeight="1" x14ac:dyDescent="0.35">
      <c r="A210" s="173" t="s">
        <v>334</v>
      </c>
      <c r="B210" s="174">
        <v>56564378.710000008</v>
      </c>
      <c r="C210" s="189">
        <f>6162860.99</f>
        <v>6162860.9900000002</v>
      </c>
      <c r="D210" s="174"/>
      <c r="E210" s="175">
        <f t="shared" si="11"/>
        <v>62727239.70000001</v>
      </c>
      <c r="H210" s="259"/>
    </row>
    <row r="211" spans="1:8" ht="12.65" customHeight="1" x14ac:dyDescent="0.35">
      <c r="A211" s="173" t="s">
        <v>335</v>
      </c>
      <c r="B211" s="174">
        <v>30530785.620000001</v>
      </c>
      <c r="C211" s="189">
        <v>2168630.52</v>
      </c>
      <c r="D211" s="174"/>
      <c r="E211" s="175">
        <f t="shared" si="11"/>
        <v>32699416.140000001</v>
      </c>
      <c r="H211" s="259"/>
    </row>
    <row r="212" spans="1:8" ht="12.65" customHeight="1" x14ac:dyDescent="0.35">
      <c r="A212" s="173" t="s">
        <v>336</v>
      </c>
      <c r="B212" s="174">
        <v>2238583.66</v>
      </c>
      <c r="C212" s="189">
        <v>476239.57</v>
      </c>
      <c r="D212" s="174"/>
      <c r="E212" s="175">
        <f t="shared" si="11"/>
        <v>2714823.23</v>
      </c>
      <c r="H212" s="259"/>
    </row>
    <row r="213" spans="1:8" ht="12.65" customHeight="1" x14ac:dyDescent="0.35">
      <c r="A213" s="173" t="s">
        <v>337</v>
      </c>
      <c r="B213" s="174">
        <v>6589922.9700000007</v>
      </c>
      <c r="C213" s="189">
        <v>277845.68</v>
      </c>
      <c r="D213" s="174"/>
      <c r="E213" s="175">
        <f t="shared" si="11"/>
        <v>6867768.6500000004</v>
      </c>
      <c r="H213" s="259"/>
    </row>
    <row r="214" spans="1:8" ht="12.65" customHeight="1" x14ac:dyDescent="0.35">
      <c r="A214" s="173" t="s">
        <v>338</v>
      </c>
      <c r="B214" s="174">
        <v>76716986.729999989</v>
      </c>
      <c r="C214" s="189">
        <f>12211420.45-90</f>
        <v>12211330.449999999</v>
      </c>
      <c r="D214" s="174">
        <v>1663820.49</v>
      </c>
      <c r="E214" s="175">
        <f t="shared" si="11"/>
        <v>87264496.689999998</v>
      </c>
      <c r="H214" s="259"/>
    </row>
    <row r="215" spans="1:8" ht="12.65" customHeight="1" x14ac:dyDescent="0.35">
      <c r="A215" s="173" t="s">
        <v>339</v>
      </c>
      <c r="B215" s="174">
        <v>9992949.2400000002</v>
      </c>
      <c r="C215" s="189">
        <v>3509323.71</v>
      </c>
      <c r="D215" s="174"/>
      <c r="E215" s="175">
        <f t="shared" si="11"/>
        <v>13502272.949999999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189124835.30000001</v>
      </c>
      <c r="C217" s="191">
        <f>SUM(C208:C216)</f>
        <v>25138359.939999998</v>
      </c>
      <c r="D217" s="175">
        <f>SUM(D208:D216)</f>
        <v>1663820.49</v>
      </c>
      <c r="E217" s="175">
        <f>SUM(E208:E216)</f>
        <v>212599374.75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1252</v>
      </c>
      <c r="C220" s="340"/>
      <c r="D220" s="208"/>
      <c r="E220" s="208"/>
    </row>
    <row r="221" spans="1:8" ht="12.65" customHeight="1" x14ac:dyDescent="0.35">
      <c r="A221" s="272" t="s">
        <v>1252</v>
      </c>
      <c r="B221" s="208"/>
      <c r="C221" s="189">
        <v>3622233.55</v>
      </c>
      <c r="D221" s="172">
        <f>C221</f>
        <v>3622233.55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424439166.42999995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137373044.47999999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233254005.89000002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795066216.79999995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2182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31026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13203481.04+1</f>
        <v>13203482.039999999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13234508.039999999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811922958.38999987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232456980.14500001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330062461.80000001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316181708.78000003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175402130.93599999</v>
      </c>
      <c r="D253" s="175"/>
      <c r="E253" s="175"/>
    </row>
    <row r="254" spans="1:5" ht="12.65" customHeight="1" x14ac:dyDescent="0.35">
      <c r="A254" s="173" t="s">
        <v>1238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f>2500434.59+12058121.05</f>
        <v>14558555.640000001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8674.2100000000009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18973013.039999999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7539724.0490000006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744378986.72800016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75000000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75000000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f>E195</f>
        <v>19961533.68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f t="shared" ref="C268:C271" si="12">E196</f>
        <v>9322157.8599999994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f t="shared" si="12"/>
        <v>131606761.85300601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f t="shared" si="12"/>
        <v>46140165.420000009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f t="shared" si="12"/>
        <v>5889691.1500000004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E200+E201</f>
        <v>147934772.75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f>E202</f>
        <v>41959238.990000002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f>E203</f>
        <v>89128576.359999686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491942898.06300569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E217</f>
        <v>212599374.75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279343523.31300569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f>11646212.505+197566083</f>
        <v>209212295.505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194098517.11+24423457.62</f>
        <v>218521974.73000002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427734270.23500001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9013888.4699999988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9013888.4699999988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1535470668.7460058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29708019.02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23975892.039999999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f>918467.7+19480802.31+17934473.28</f>
        <v>38333743.289999999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1239</v>
      </c>
      <c r="B309" s="172" t="s">
        <v>256</v>
      </c>
      <c r="C309" s="189">
        <v>41358831.439999998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12050001.41+123189.02+5004116.6</f>
        <v>17177307.030000001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3415000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153968792.81999999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260865.19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260865.19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f>5529177.92+532224.47+736969.99+70938.79</f>
        <v>6869311.1699999999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3415000-3388156.76+67925000+232925000+36925000+54660848.97</f>
        <v>392462692.21000004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f>195030844.49+811463</f>
        <v>195842307.49000001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595174310.87000012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3415000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591759310.87000012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f>626549273.63+11646212.88+151286213.34</f>
        <v>789481699.85000002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1140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1141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1250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1535470668.73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1535470668.7460058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88231294.5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1543204579.4300003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1631435873.9300003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1252</v>
      </c>
      <c r="B363" s="257"/>
      <c r="C363" s="189">
        <v>3622233.55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795066216.79999995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13234508.099999998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811922958.44999993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819512915.48000038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104440416.22999999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104440416.22999999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923953331.7100004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158276305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42652887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10276939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340568588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3873947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7105501+191189898</f>
        <v>198295399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25138359.940000001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18324152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1470828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4910046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3804726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33255480</f>
        <v>33255480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840847656.94000006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83105674.770000339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68180538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151286212.77000034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151286212.77000034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Seattle Cancer Care Alliance   H-0     FYE 06/30/2021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1240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585</v>
      </c>
      <c r="C414" s="194">
        <f>E138</f>
        <v>585</v>
      </c>
      <c r="D414" s="179"/>
    </row>
    <row r="415" spans="1:5" ht="12.65" customHeight="1" x14ac:dyDescent="0.35">
      <c r="A415" s="179" t="s">
        <v>464</v>
      </c>
      <c r="B415" s="179">
        <f>D111</f>
        <v>6362</v>
      </c>
      <c r="C415" s="179">
        <f>E139</f>
        <v>6362</v>
      </c>
      <c r="D415" s="194">
        <f>SUM(C59:H59)+N59</f>
        <v>6362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1241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158276305</v>
      </c>
      <c r="C427" s="179">
        <f t="shared" ref="C427:C434" si="14">CE61</f>
        <v>158276304.88999999</v>
      </c>
      <c r="D427" s="179"/>
    </row>
    <row r="428" spans="1:7" ht="12.65" customHeight="1" x14ac:dyDescent="0.35">
      <c r="A428" s="179" t="s">
        <v>3</v>
      </c>
      <c r="B428" s="179">
        <f t="shared" si="13"/>
        <v>42652887</v>
      </c>
      <c r="C428" s="179">
        <f t="shared" si="14"/>
        <v>42652887</v>
      </c>
      <c r="D428" s="179">
        <f>D173</f>
        <v>42652887.409999996</v>
      </c>
    </row>
    <row r="429" spans="1:7" ht="12.65" customHeight="1" x14ac:dyDescent="0.35">
      <c r="A429" s="179" t="s">
        <v>236</v>
      </c>
      <c r="B429" s="179">
        <f t="shared" si="13"/>
        <v>10276939</v>
      </c>
      <c r="C429" s="179">
        <f t="shared" si="14"/>
        <v>10276938.659999998</v>
      </c>
      <c r="D429" s="179"/>
    </row>
    <row r="430" spans="1:7" ht="12.65" customHeight="1" x14ac:dyDescent="0.35">
      <c r="A430" s="179" t="s">
        <v>237</v>
      </c>
      <c r="B430" s="179">
        <f t="shared" si="13"/>
        <v>340568588</v>
      </c>
      <c r="C430" s="179">
        <f t="shared" si="14"/>
        <v>340568588.33000004</v>
      </c>
      <c r="D430" s="179"/>
    </row>
    <row r="431" spans="1:7" ht="12.65" customHeight="1" x14ac:dyDescent="0.35">
      <c r="A431" s="179" t="s">
        <v>444</v>
      </c>
      <c r="B431" s="179">
        <f t="shared" si="13"/>
        <v>3873947</v>
      </c>
      <c r="C431" s="179">
        <f t="shared" si="14"/>
        <v>3873947.15</v>
      </c>
      <c r="D431" s="179"/>
    </row>
    <row r="432" spans="1:7" ht="12.65" customHeight="1" x14ac:dyDescent="0.35">
      <c r="A432" s="179" t="s">
        <v>445</v>
      </c>
      <c r="B432" s="179">
        <f t="shared" si="13"/>
        <v>198295399</v>
      </c>
      <c r="C432" s="179">
        <f t="shared" si="14"/>
        <v>198295399.10999995</v>
      </c>
      <c r="D432" s="179"/>
    </row>
    <row r="433" spans="1:7" ht="12.65" customHeight="1" x14ac:dyDescent="0.35">
      <c r="A433" s="179" t="s">
        <v>6</v>
      </c>
      <c r="B433" s="179">
        <f t="shared" si="13"/>
        <v>25138359.940000001</v>
      </c>
      <c r="C433" s="179">
        <f t="shared" si="14"/>
        <v>25138360</v>
      </c>
      <c r="D433" s="179">
        <f>C217</f>
        <v>25138359.939999998</v>
      </c>
    </row>
    <row r="434" spans="1:7" ht="12.65" customHeight="1" x14ac:dyDescent="0.35">
      <c r="A434" s="179" t="s">
        <v>474</v>
      </c>
      <c r="B434" s="179">
        <f t="shared" si="13"/>
        <v>18324152</v>
      </c>
      <c r="C434" s="179">
        <f t="shared" si="14"/>
        <v>18324151.800000001</v>
      </c>
      <c r="D434" s="179">
        <f>D177</f>
        <v>18324152</v>
      </c>
    </row>
    <row r="435" spans="1:7" ht="12.65" customHeight="1" x14ac:dyDescent="0.35">
      <c r="A435" s="179" t="s">
        <v>447</v>
      </c>
      <c r="B435" s="179">
        <f t="shared" si="13"/>
        <v>1470828</v>
      </c>
      <c r="C435" s="179"/>
      <c r="D435" s="179">
        <f>D181</f>
        <v>1470827.53</v>
      </c>
    </row>
    <row r="436" spans="1:7" ht="12.65" customHeight="1" x14ac:dyDescent="0.35">
      <c r="A436" s="179" t="s">
        <v>475</v>
      </c>
      <c r="B436" s="179">
        <f t="shared" si="13"/>
        <v>4910046</v>
      </c>
      <c r="C436" s="179"/>
      <c r="D436" s="179">
        <f>D186</f>
        <v>4910045.5199999996</v>
      </c>
    </row>
    <row r="437" spans="1:7" ht="12.65" customHeight="1" x14ac:dyDescent="0.35">
      <c r="A437" s="194" t="s">
        <v>449</v>
      </c>
      <c r="B437" s="194">
        <f t="shared" si="13"/>
        <v>3804726</v>
      </c>
      <c r="C437" s="194"/>
      <c r="D437" s="194">
        <f>D190</f>
        <v>3804725.95</v>
      </c>
    </row>
    <row r="438" spans="1:7" ht="12.65" customHeight="1" x14ac:dyDescent="0.35">
      <c r="A438" s="194" t="s">
        <v>476</v>
      </c>
      <c r="B438" s="194">
        <f>C386+C387+C388</f>
        <v>10185600</v>
      </c>
      <c r="C438" s="194">
        <f>CD69</f>
        <v>7044743.120000002</v>
      </c>
      <c r="D438" s="194">
        <f>D181+D186+D190</f>
        <v>10185599</v>
      </c>
    </row>
    <row r="439" spans="1:7" ht="12.65" customHeight="1" x14ac:dyDescent="0.35">
      <c r="A439" s="179" t="s">
        <v>451</v>
      </c>
      <c r="B439" s="194">
        <f>C389</f>
        <v>33255480</v>
      </c>
      <c r="C439" s="194">
        <f>SUM(C69:CC69)</f>
        <v>36396335.650000013</v>
      </c>
      <c r="D439" s="179"/>
    </row>
    <row r="440" spans="1:7" ht="12.65" customHeight="1" x14ac:dyDescent="0.35">
      <c r="A440" s="179" t="s">
        <v>477</v>
      </c>
      <c r="B440" s="194">
        <f>B438+B439</f>
        <v>43441080</v>
      </c>
      <c r="C440" s="194">
        <f>CE69</f>
        <v>43441078.770000018</v>
      </c>
      <c r="D440" s="179"/>
    </row>
    <row r="441" spans="1:7" ht="12.65" customHeight="1" x14ac:dyDescent="0.35">
      <c r="A441" s="179" t="s">
        <v>478</v>
      </c>
      <c r="B441" s="179">
        <f>D390</f>
        <v>840847656.94000006</v>
      </c>
      <c r="C441" s="179">
        <f>SUM(C427:C437)+C440</f>
        <v>840847655.7099998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1254</v>
      </c>
      <c r="B444" s="179">
        <f>D221</f>
        <v>3622233.55</v>
      </c>
      <c r="C444" s="179">
        <f>C363</f>
        <v>3622233.55</v>
      </c>
      <c r="D444" s="179"/>
    </row>
    <row r="445" spans="1:7" ht="12.65" customHeight="1" x14ac:dyDescent="0.35">
      <c r="A445" s="179" t="s">
        <v>343</v>
      </c>
      <c r="B445" s="179">
        <f>D229</f>
        <v>795066216.79999995</v>
      </c>
      <c r="C445" s="179">
        <f>C364</f>
        <v>795066216.79999995</v>
      </c>
      <c r="D445" s="179"/>
    </row>
    <row r="446" spans="1:7" ht="12.65" customHeight="1" x14ac:dyDescent="0.35">
      <c r="A446" s="179" t="s">
        <v>351</v>
      </c>
      <c r="B446" s="179">
        <f>D236</f>
        <v>13234508.039999999</v>
      </c>
      <c r="C446" s="179">
        <f>C365</f>
        <v>13234508.099999998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811922958.38999987</v>
      </c>
      <c r="C448" s="179">
        <f>D367</f>
        <v>811922958.44999993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2182</v>
      </c>
    </row>
    <row r="454" spans="1:7" ht="12.65" customHeight="1" x14ac:dyDescent="0.35">
      <c r="A454" s="179" t="s">
        <v>168</v>
      </c>
      <c r="B454" s="179">
        <f>C233</f>
        <v>31026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13203482.039999999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104440416.22999999</v>
      </c>
      <c r="C458" s="194">
        <f>CE70</f>
        <v>104440414.61000004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1242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88231294.5</v>
      </c>
      <c r="C463" s="194">
        <f>CE73</f>
        <v>88231295.059999987</v>
      </c>
      <c r="D463" s="194">
        <f>E141+E147+E153</f>
        <v>88231295</v>
      </c>
    </row>
    <row r="464" spans="1:7" ht="12.65" customHeight="1" x14ac:dyDescent="0.35">
      <c r="A464" s="179" t="s">
        <v>246</v>
      </c>
      <c r="B464" s="194">
        <f>C360</f>
        <v>1543204579.4300003</v>
      </c>
      <c r="C464" s="194">
        <f>CE74</f>
        <v>1543204579.3800001</v>
      </c>
      <c r="D464" s="194">
        <f>E142+E148+E154</f>
        <v>1543204579.3800001</v>
      </c>
    </row>
    <row r="465" spans="1:7" ht="12.65" customHeight="1" x14ac:dyDescent="0.35">
      <c r="A465" s="179" t="s">
        <v>247</v>
      </c>
      <c r="B465" s="194">
        <f>D361</f>
        <v>1631435873.9300003</v>
      </c>
      <c r="C465" s="194">
        <f>CE75</f>
        <v>1631435874.4400001</v>
      </c>
      <c r="D465" s="194">
        <f>D463+D464</f>
        <v>1631435874.3800001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19961533.68</v>
      </c>
      <c r="C468" s="179">
        <f>E195</f>
        <v>19961533.68</v>
      </c>
      <c r="D468" s="179"/>
    </row>
    <row r="469" spans="1:7" ht="12.65" customHeight="1" x14ac:dyDescent="0.35">
      <c r="A469" s="179" t="s">
        <v>333</v>
      </c>
      <c r="B469" s="179">
        <f t="shared" si="15"/>
        <v>9322157.8599999994</v>
      </c>
      <c r="C469" s="179">
        <f>E196</f>
        <v>9322157.8599999994</v>
      </c>
      <c r="D469" s="179"/>
    </row>
    <row r="470" spans="1:7" ht="12.65" customHeight="1" x14ac:dyDescent="0.35">
      <c r="A470" s="179" t="s">
        <v>334</v>
      </c>
      <c r="B470" s="179">
        <f t="shared" si="15"/>
        <v>131606761.85300601</v>
      </c>
      <c r="C470" s="179">
        <f>E197</f>
        <v>131606761.85300601</v>
      </c>
      <c r="D470" s="179"/>
    </row>
    <row r="471" spans="1:7" ht="12.65" customHeight="1" x14ac:dyDescent="0.35">
      <c r="A471" s="179" t="s">
        <v>494</v>
      </c>
      <c r="B471" s="179">
        <f t="shared" si="15"/>
        <v>46140165.420000009</v>
      </c>
      <c r="C471" s="179">
        <f>E198</f>
        <v>46140165.420000009</v>
      </c>
      <c r="D471" s="179"/>
    </row>
    <row r="472" spans="1:7" ht="12.65" customHeight="1" x14ac:dyDescent="0.35">
      <c r="A472" s="179" t="s">
        <v>377</v>
      </c>
      <c r="B472" s="179">
        <f t="shared" si="15"/>
        <v>5889691.1500000004</v>
      </c>
      <c r="C472" s="179">
        <f>E199</f>
        <v>5889691.1500000004</v>
      </c>
      <c r="D472" s="179"/>
    </row>
    <row r="473" spans="1:7" ht="12.65" customHeight="1" x14ac:dyDescent="0.35">
      <c r="A473" s="179" t="s">
        <v>495</v>
      </c>
      <c r="B473" s="179">
        <f t="shared" si="15"/>
        <v>147934772.75</v>
      </c>
      <c r="C473" s="179">
        <f>SUM(E200:E201)</f>
        <v>147934772.75</v>
      </c>
      <c r="D473" s="179"/>
    </row>
    <row r="474" spans="1:7" ht="12.65" customHeight="1" x14ac:dyDescent="0.35">
      <c r="A474" s="179" t="s">
        <v>339</v>
      </c>
      <c r="B474" s="179">
        <f t="shared" si="15"/>
        <v>41959238.990000002</v>
      </c>
      <c r="C474" s="179">
        <f>E202</f>
        <v>41959238.990000002</v>
      </c>
      <c r="D474" s="179"/>
    </row>
    <row r="475" spans="1:7" ht="12.65" customHeight="1" x14ac:dyDescent="0.35">
      <c r="A475" s="179" t="s">
        <v>340</v>
      </c>
      <c r="B475" s="179">
        <f t="shared" si="15"/>
        <v>89128576.359999686</v>
      </c>
      <c r="C475" s="179">
        <f>E203</f>
        <v>89128576.359999686</v>
      </c>
      <c r="D475" s="179"/>
    </row>
    <row r="476" spans="1:7" ht="12.65" customHeight="1" x14ac:dyDescent="0.35">
      <c r="A476" s="179" t="s">
        <v>203</v>
      </c>
      <c r="B476" s="179">
        <f>D275</f>
        <v>491942898.06300569</v>
      </c>
      <c r="C476" s="179">
        <f>E204</f>
        <v>491942898.06300569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212599374.75</v>
      </c>
      <c r="C478" s="179">
        <f>E217</f>
        <v>212599374.75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1535470668.7460058</v>
      </c>
    </row>
    <row r="482" spans="1:12" ht="12.65" customHeight="1" x14ac:dyDescent="0.35">
      <c r="A482" s="180" t="s">
        <v>499</v>
      </c>
      <c r="C482" s="180">
        <f>D339</f>
        <v>1535470668.73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204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65954890.460000008</v>
      </c>
      <c r="C496" s="240">
        <f>C71</f>
        <v>59979604.57</v>
      </c>
      <c r="D496" s="240">
        <f>'Prior Year'!C59</f>
        <v>5590</v>
      </c>
      <c r="E496" s="180">
        <f>C59</f>
        <v>6362</v>
      </c>
      <c r="F496" s="263">
        <f t="shared" ref="F496:G511" si="16">IF(B496=0,"",IF(D496=0,"",B496/D496))</f>
        <v>11798.728168157426</v>
      </c>
      <c r="G496" s="264">
        <f t="shared" si="16"/>
        <v>9427.7907214712359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6"/>
        <v/>
      </c>
      <c r="G498" s="263" t="str">
        <f t="shared" si="16"/>
        <v/>
      </c>
      <c r="H498" s="265" t="str">
        <f t="shared" si="17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6"/>
        <v/>
      </c>
      <c r="G509" s="263" t="str">
        <f t="shared" si="16"/>
        <v/>
      </c>
      <c r="H509" s="265" t="str">
        <f t="shared" si="17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6"/>
        <v/>
      </c>
      <c r="G510" s="263" t="str">
        <f t="shared" si="16"/>
        <v/>
      </c>
      <c r="H510" s="265" t="str">
        <f t="shared" si="17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6"/>
        <v/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4813432.01</v>
      </c>
      <c r="C512" s="240">
        <f>S71</f>
        <v>3945598.7399999993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5" customHeight="1" x14ac:dyDescent="0.35">
      <c r="A513" s="180" t="s">
        <v>1243</v>
      </c>
      <c r="B513" s="240">
        <f>'Prior Year'!T71</f>
        <v>21468551.579999994</v>
      </c>
      <c r="C513" s="240">
        <f>T71</f>
        <v>23667934.759999998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29651408.910000004</v>
      </c>
      <c r="C514" s="240">
        <f>U71</f>
        <v>28248774.660000019</v>
      </c>
      <c r="D514" s="240">
        <f>'Prior Year'!U59</f>
        <v>640736</v>
      </c>
      <c r="E514" s="180">
        <f>U59</f>
        <v>682515</v>
      </c>
      <c r="F514" s="263">
        <f t="shared" si="18"/>
        <v>46.277107747964848</v>
      </c>
      <c r="G514" s="263">
        <f t="shared" si="18"/>
        <v>41.38923636843149</v>
      </c>
      <c r="H514" s="265" t="str">
        <f t="shared" si="17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8"/>
        <v/>
      </c>
      <c r="G515" s="263" t="str">
        <f t="shared" si="18"/>
        <v/>
      </c>
      <c r="H515" s="265" t="str">
        <f t="shared" si="17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1246354.8900000001</v>
      </c>
      <c r="C516" s="240">
        <f>W71</f>
        <v>1098866.9099999999</v>
      </c>
      <c r="D516" s="240">
        <f>'Prior Year'!W59</f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2963905.4799999995</v>
      </c>
      <c r="C517" s="240">
        <f>X71</f>
        <v>-3619324.2700000005</v>
      </c>
      <c r="D517" s="240">
        <f>'Prior Year'!X59</f>
        <v>23842</v>
      </c>
      <c r="E517" s="180">
        <f>X59</f>
        <v>27070</v>
      </c>
      <c r="F517" s="263">
        <f t="shared" si="18"/>
        <v>124.31446522942704</v>
      </c>
      <c r="G517" s="263">
        <f t="shared" si="18"/>
        <v>-133.70241115626158</v>
      </c>
      <c r="H517" s="265">
        <f t="shared" si="17"/>
        <v>-2.0755177276394079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7422296.7100000009</v>
      </c>
      <c r="C518" s="240">
        <f>Y71</f>
        <v>8274206.8899999969</v>
      </c>
      <c r="D518" s="240">
        <f>'Prior Year'!Y59</f>
        <v>0</v>
      </c>
      <c r="E518" s="180">
        <f>Y59</f>
        <v>0</v>
      </c>
      <c r="F518" s="263" t="str">
        <f t="shared" si="18"/>
        <v/>
      </c>
      <c r="G518" s="263" t="str">
        <f t="shared" si="18"/>
        <v/>
      </c>
      <c r="H518" s="265" t="str">
        <f t="shared" si="17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13037702.67</v>
      </c>
      <c r="C519" s="240">
        <f>Z71</f>
        <v>23521484.080000002</v>
      </c>
      <c r="D519" s="240">
        <f>'Prior Year'!Z59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6965997.1099999994</v>
      </c>
      <c r="C520" s="240">
        <f>AA71</f>
        <v>7946970.8699999992</v>
      </c>
      <c r="D520" s="240">
        <f>'Prior Year'!AA59</f>
        <v>0</v>
      </c>
      <c r="E520" s="180">
        <f>AA59</f>
        <v>0</v>
      </c>
      <c r="F520" s="263" t="str">
        <f t="shared" si="18"/>
        <v/>
      </c>
      <c r="G520" s="263" t="str">
        <f t="shared" si="18"/>
        <v/>
      </c>
      <c r="H520" s="265" t="str">
        <f t="shared" si="17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190756752.32999998</v>
      </c>
      <c r="C521" s="240">
        <f>AB71</f>
        <v>251119514.19999999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368665.16</v>
      </c>
      <c r="C522" s="240">
        <f>AC71</f>
        <v>321725.30000000005</v>
      </c>
      <c r="D522" s="240">
        <f>'Prior Year'!AC59</f>
        <v>0</v>
      </c>
      <c r="E522" s="180">
        <f>AC59</f>
        <v>0</v>
      </c>
      <c r="F522" s="263" t="str">
        <f t="shared" si="18"/>
        <v/>
      </c>
      <c r="G522" s="263" t="str">
        <f t="shared" si="18"/>
        <v/>
      </c>
      <c r="H522" s="265" t="str">
        <f t="shared" si="17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1444213.46</v>
      </c>
      <c r="C524" s="240">
        <f>AE71</f>
        <v>1359925.8300000003</v>
      </c>
      <c r="D524" s="240">
        <f>'Prior Year'!AE59</f>
        <v>0</v>
      </c>
      <c r="E524" s="180">
        <f>AE59</f>
        <v>0</v>
      </c>
      <c r="F524" s="263" t="str">
        <f t="shared" si="18"/>
        <v/>
      </c>
      <c r="G524" s="263" t="str">
        <f t="shared" si="18"/>
        <v/>
      </c>
      <c r="H524" s="265" t="str">
        <f t="shared" si="17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8"/>
        <v/>
      </c>
      <c r="G526" s="263" t="str">
        <f t="shared" si="18"/>
        <v/>
      </c>
      <c r="H526" s="265" t="str">
        <f t="shared" si="17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98975947.75</v>
      </c>
      <c r="C529" s="240">
        <f>AJ71</f>
        <v>109921259.03999998</v>
      </c>
      <c r="D529" s="240">
        <f>'Prior Year'!AJ59</f>
        <v>80885</v>
      </c>
      <c r="E529" s="180">
        <f>AJ59</f>
        <v>103233</v>
      </c>
      <c r="F529" s="263">
        <f t="shared" si="19"/>
        <v>1223.6625795883044</v>
      </c>
      <c r="G529" s="263">
        <f t="shared" si="19"/>
        <v>1064.7879945366305</v>
      </c>
      <c r="H529" s="265" t="str">
        <f t="shared" si="17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9"/>
        <v/>
      </c>
      <c r="G530" s="263" t="str">
        <f t="shared" si="19"/>
        <v/>
      </c>
      <c r="H530" s="265" t="str">
        <f t="shared" si="17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9"/>
        <v/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5" customHeight="1" x14ac:dyDescent="0.35">
      <c r="A533" s="180" t="s">
        <v>1244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9"/>
        <v/>
      </c>
      <c r="G535" s="263" t="str">
        <f t="shared" si="19"/>
        <v/>
      </c>
      <c r="H535" s="265" t="str">
        <f t="shared" si="17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7011268.8199999984</v>
      </c>
      <c r="C539" s="240">
        <f>AT71</f>
        <v>8222202.8899999978</v>
      </c>
      <c r="D539" s="240">
        <f>'Prior Year'!AT59</f>
        <v>379</v>
      </c>
      <c r="E539" s="180">
        <f>AT59</f>
        <v>442</v>
      </c>
      <c r="F539" s="263">
        <f t="shared" si="19"/>
        <v>18499.390026385219</v>
      </c>
      <c r="G539" s="263">
        <f t="shared" si="19"/>
        <v>18602.268981900448</v>
      </c>
      <c r="H539" s="265" t="str">
        <f t="shared" si="17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5614715.96</v>
      </c>
      <c r="C541" s="240">
        <f>AV71</f>
        <v>5248796.9300000006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1245</v>
      </c>
      <c r="B542" s="240">
        <f>'Prior Year'!AW71</f>
        <v>-13796.56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945079.65</v>
      </c>
      <c r="C544" s="240">
        <f>AY71</f>
        <v>1046309.3599999996</v>
      </c>
      <c r="D544" s="240">
        <f>'Prior Year'!AY59</f>
        <v>0</v>
      </c>
      <c r="E544" s="180">
        <f>AY59</f>
        <v>0</v>
      </c>
      <c r="F544" s="263" t="str">
        <f t="shared" ref="F544:G550" si="20">IF(B544=0,"",IF(D544=0,"",B544/D544))</f>
        <v/>
      </c>
      <c r="G544" s="263" t="str">
        <f t="shared" si="20"/>
        <v/>
      </c>
      <c r="H544" s="265" t="str">
        <f t="shared" si="17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875151.22</v>
      </c>
      <c r="C545" s="240">
        <f>AZ71</f>
        <v>1098855.7399999998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0</v>
      </c>
      <c r="C546" s="240">
        <f>BA71</f>
        <v>6076.09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4268775.2700000005</v>
      </c>
      <c r="C547" s="240">
        <f>BB71</f>
        <v>5149523.2800000021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2107671.94</v>
      </c>
      <c r="C548" s="240">
        <f>BC71</f>
        <v>2884545.66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3770505.73</v>
      </c>
      <c r="C549" s="240">
        <f>BD71</f>
        <v>6463703.1999999983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15274330.6</v>
      </c>
      <c r="C550" s="240">
        <f>BE71</f>
        <v>15463109.330000002</v>
      </c>
      <c r="D550" s="240">
        <f>'Prior Year'!BE59</f>
        <v>542238.98</v>
      </c>
      <c r="E550" s="180">
        <f>BE59</f>
        <v>589132.54733370664</v>
      </c>
      <c r="F550" s="263">
        <f t="shared" si="20"/>
        <v>28.169001424427289</v>
      </c>
      <c r="G550" s="263">
        <f t="shared" si="20"/>
        <v>26.24725013069278</v>
      </c>
      <c r="H550" s="265" t="str">
        <f t="shared" si="17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17869.409999999974</v>
      </c>
      <c r="C554" s="240">
        <f>BI71</f>
        <v>145465.38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3560498.2100000004</v>
      </c>
      <c r="C555" s="240">
        <f>BJ71</f>
        <v>3684245.4299999997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2598593.0499999998</v>
      </c>
      <c r="C556" s="240">
        <f>BK71</f>
        <v>9703541.5500000007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4222219.1799999988</v>
      </c>
      <c r="C557" s="240">
        <f>BL71</f>
        <v>2758429.37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6646812.6099999994</v>
      </c>
      <c r="C558" s="240">
        <f>BM71</f>
        <v>4049102.6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30088499.949999999</v>
      </c>
      <c r="C559" s="240">
        <f>BN71</f>
        <v>29703575.639999993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2046853.22</v>
      </c>
      <c r="C560" s="240">
        <f>BO71</f>
        <v>2392224.5300000003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8139024.6499999994</v>
      </c>
      <c r="C561" s="240">
        <f>BP71</f>
        <v>6697608.4300000016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1246</v>
      </c>
      <c r="B564" s="240">
        <f>'Prior Year'!BS71</f>
        <v>436694.57</v>
      </c>
      <c r="C564" s="240">
        <f>BS71</f>
        <v>406191.78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570916.51</v>
      </c>
      <c r="C565" s="240">
        <f>BT71</f>
        <v>574574.40000000026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340038.77</v>
      </c>
      <c r="C566" s="240">
        <f>BU71</f>
        <v>297079.26000000007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7066715.8200000003</v>
      </c>
      <c r="C567" s="240">
        <f>BV71</f>
        <v>7298649.6399999913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5095903.45</v>
      </c>
      <c r="C570" s="240">
        <f>BY71</f>
        <v>10711717.34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2573889.0999999996</v>
      </c>
      <c r="C572" s="240">
        <f>CA71</f>
        <v>2395500.56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69269441.780000001</v>
      </c>
      <c r="C574" s="240">
        <f>CC71</f>
        <v>77476337.079999998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-8709993.5399999991</v>
      </c>
      <c r="C575" s="240">
        <f>CD71</f>
        <v>16743334.050000001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457116.48637274257</v>
      </c>
      <c r="E612" s="180">
        <f>SUM(C624:D647)+SUM(C668:D713)</f>
        <v>606227265.6229403</v>
      </c>
      <c r="F612" s="180">
        <f>CE64-(AX64+BD64+BE64+BG64+BJ64+BN64+BP64+BQ64+CB64+CC64+CD64)</f>
        <v>337045135.25000006</v>
      </c>
      <c r="G612" s="180">
        <f>CE77-(AX77+AY77+BD77+BE77+BG77+BJ77+BN77+BP77+BQ77+CB77+CC77+CD77)</f>
        <v>1</v>
      </c>
      <c r="H612" s="197">
        <f>CE60-(AX60+AY60+AZ60+BD60+BE60+BG60+BJ60+BN60+BO60+BP60+BQ60+BR60+CB60+CC60+CD60)</f>
        <v>1345.8583079501918</v>
      </c>
      <c r="I612" s="180">
        <f>CE78-(AX78+AY78+AZ78+BD78+BE78+BF78+BG78+BJ78+BN78+BO78+BP78+BQ78+BR78+CB78+CC78+CD78)</f>
        <v>1</v>
      </c>
      <c r="J612" s="180">
        <f>CE79-(AX79+AY79+AZ79+BA79+BD79+BE79+BF79+BG79+BJ79+BN79+BO79+BP79+BQ79+BR79+CB79+CC79+CD79)</f>
        <v>1</v>
      </c>
      <c r="K612" s="180">
        <f>CE75-(AW75+AX75+AY75+AZ75+BA75+BB75+BC75+BD75+BE75+BF75+BG75+BH75+BI75+BJ75+BK75+BL75+BM75+BN75+BO75+BP75+BQ75+BR75+BS75+BT75+BU75+BV75+BW75+BX75+CB75+CC75+CD75)</f>
        <v>1631435874.4400001</v>
      </c>
      <c r="L612" s="197">
        <f>CE80-(AW80+AX80+AY80+AZ80+BA80+BB80+BC80+BD80+BE80+BF80+BG80+BH80+BI80+BJ80+BK80+BL80+BM80+BN80+BO80+BP80+BQ80+BR80+BS80+BT80+BU80+BV80+BW80+BX80+BY80+BZ80+CA80+CB80+CC80+CD80)</f>
        <v>336.77000000000004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15463109.330000002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16743334.050000001</v>
      </c>
      <c r="D615" s="266">
        <f>SUM(C614:C615)</f>
        <v>32206443.380000003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3684245.4299999997</v>
      </c>
      <c r="D617" s="180">
        <f>(D615/D612)*BJ76</f>
        <v>158330.99557186963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29703575.639999993</v>
      </c>
      <c r="D619" s="180">
        <f>(D615/D612)*BN76</f>
        <v>874745.27842782775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77476337.079999998</v>
      </c>
      <c r="D620" s="180">
        <f>(D615/D612)*CC76</f>
        <v>11457050.88463705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6697608.4300000016</v>
      </c>
      <c r="D621" s="180">
        <f>(D615/D612)*BP76</f>
        <v>128081.73842277567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130179975.47705954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6463703.1999999983</v>
      </c>
      <c r="D624" s="180">
        <f>(D615/D612)*BD76</f>
        <v>121084.09978110083</v>
      </c>
      <c r="E624" s="180">
        <f>(E623/E612)*SUM(C624:D624)</f>
        <v>1414003.4568163424</v>
      </c>
      <c r="F624" s="180">
        <f>SUM(C624:E624)</f>
        <v>7998790.7565974416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1046309.3599999996</v>
      </c>
      <c r="D625" s="180">
        <f>(D615/D612)*AY76</f>
        <v>10251.407247049863</v>
      </c>
      <c r="E625" s="180">
        <f>(E623/E612)*SUM(C625:D625)</f>
        <v>226883.65002670931</v>
      </c>
      <c r="F625" s="180">
        <f>(F624/F612)*AY64</f>
        <v>21.710130243261943</v>
      </c>
      <c r="G625" s="180">
        <f>SUM(C625:F625)</f>
        <v>1283466.1274040022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2392224.5300000003</v>
      </c>
      <c r="D627" s="180">
        <f>(D615/D612)*BO76</f>
        <v>82698.654666479997</v>
      </c>
      <c r="E627" s="180">
        <f>(E623/E612)*SUM(C627:D627)</f>
        <v>531459.82993097603</v>
      </c>
      <c r="F627" s="180">
        <f>(F624/F612)*BO64</f>
        <v>5803.4882721930226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1098855.7399999998</v>
      </c>
      <c r="D628" s="180">
        <f>(D615/D612)*AZ76</f>
        <v>149918.46918964732</v>
      </c>
      <c r="E628" s="180">
        <f>(E623/E612)*SUM(C628:D628)</f>
        <v>268159.16265601403</v>
      </c>
      <c r="F628" s="180">
        <f>(F624/F612)*AZ64</f>
        <v>6780.4284699500868</v>
      </c>
      <c r="G628" s="180">
        <f>(G625/G612)*AZ77</f>
        <v>0</v>
      </c>
      <c r="H628" s="180">
        <f>SUM(C626:G628)</f>
        <v>4535900.3031852609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6076.09</v>
      </c>
      <c r="D630" s="180">
        <f>(D615/D612)*BA76</f>
        <v>0</v>
      </c>
      <c r="E630" s="180">
        <f>(E623/E612)*SUM(C630:D630)</f>
        <v>1304.7668622816145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7380.8568622816147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5149523.2800000021</v>
      </c>
      <c r="D632" s="180">
        <f>(D615/D612)*BB76</f>
        <v>82860.587216582295</v>
      </c>
      <c r="E632" s="180">
        <f>(E623/E612)*SUM(C632:D632)</f>
        <v>1123591.1714081131</v>
      </c>
      <c r="F632" s="180">
        <f>(F624/F612)*BB64</f>
        <v>75.401408731514465</v>
      </c>
      <c r="G632" s="180">
        <f>(G625/G612)*BB77</f>
        <v>0</v>
      </c>
      <c r="H632" s="180">
        <f>(H628/H612)*BB60</f>
        <v>90878.153510887234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2884545.66</v>
      </c>
      <c r="D633" s="180">
        <f>(D615/D612)*BC76</f>
        <v>16258.718786858135</v>
      </c>
      <c r="E633" s="180">
        <f>(E623/E612)*SUM(C633:D633)</f>
        <v>622912.66709388723</v>
      </c>
      <c r="F633" s="180">
        <f>(F624/F612)*BC64</f>
        <v>97.75088190082964</v>
      </c>
      <c r="G633" s="180">
        <f>(G625/G612)*BC77</f>
        <v>0</v>
      </c>
      <c r="H633" s="180">
        <f>(H628/H612)*BC60</f>
        <v>3370.2658566589075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145465.38</v>
      </c>
      <c r="D634" s="180">
        <f>(D615/D612)*BI76</f>
        <v>18605.24241661626</v>
      </c>
      <c r="E634" s="180">
        <f>(E623/E612)*SUM(C634:D634)</f>
        <v>35232.182407291519</v>
      </c>
      <c r="F634" s="180">
        <f>(F624/F612)*BI64</f>
        <v>1434.1261603333717</v>
      </c>
      <c r="G634" s="180">
        <f>(G625/G612)*BI77</f>
        <v>0</v>
      </c>
      <c r="H634" s="180">
        <f>(H628/H612)*BI60</f>
        <v>3739.8006580111537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9703541.5500000007</v>
      </c>
      <c r="D635" s="180">
        <f>(D615/D612)*BK76</f>
        <v>406775.29263516807</v>
      </c>
      <c r="E635" s="180">
        <f>(E623/E612)*SUM(C635:D635)</f>
        <v>2171068.2994224988</v>
      </c>
      <c r="F635" s="180">
        <f>(F624/F612)*BK64</f>
        <v>222.78917619235128</v>
      </c>
      <c r="G635" s="180">
        <f>(G625/G612)*BK77</f>
        <v>0</v>
      </c>
      <c r="H635" s="180">
        <f>(H628/H612)*BK60</f>
        <v>229046.14073789993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2758429.37</v>
      </c>
      <c r="D637" s="180">
        <f>(D615/D612)*BL76</f>
        <v>480540.60643061763</v>
      </c>
      <c r="E637" s="180">
        <f>(E623/E612)*SUM(C637:D637)</f>
        <v>695529.64047137753</v>
      </c>
      <c r="F637" s="180">
        <f>(F624/F612)*BL64</f>
        <v>479.73122561718833</v>
      </c>
      <c r="G637" s="180">
        <f>(G625/G612)*BL77</f>
        <v>0</v>
      </c>
      <c r="H637" s="180">
        <f>(H628/H612)*BL60</f>
        <v>104804.66342624996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4049102.6</v>
      </c>
      <c r="D638" s="180">
        <f>(D615/D612)*BM76</f>
        <v>68276.756775677641</v>
      </c>
      <c r="E638" s="180">
        <f>(E623/E612)*SUM(C638:D638)</f>
        <v>884157.43416626367</v>
      </c>
      <c r="F638" s="180">
        <f>(F624/F612)*BM64</f>
        <v>0.52186900311470286</v>
      </c>
      <c r="G638" s="180">
        <f>(G625/G612)*BM77</f>
        <v>0</v>
      </c>
      <c r="H638" s="180">
        <f>(H628/H612)*BM60</f>
        <v>46543.371480459515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406191.78</v>
      </c>
      <c r="D639" s="180">
        <f>(D615/D612)*BS76</f>
        <v>23755.663609367173</v>
      </c>
      <c r="E639" s="180">
        <f>(E623/E612)*SUM(C639:D639)</f>
        <v>92326.015076174881</v>
      </c>
      <c r="F639" s="180">
        <f>(F624/F612)*BS64</f>
        <v>18.115902843456499</v>
      </c>
      <c r="G639" s="180">
        <f>(G625/G612)*BS77</f>
        <v>0</v>
      </c>
      <c r="H639" s="180">
        <f>(H628/H612)*BS60</f>
        <v>12101.385053245895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574574.40000000026</v>
      </c>
      <c r="D640" s="180">
        <f>(D615/D612)*BT76</f>
        <v>40367.799332255534</v>
      </c>
      <c r="E640" s="180">
        <f>(E623/E612)*SUM(C640:D640)</f>
        <v>132051.40211999862</v>
      </c>
      <c r="F640" s="180">
        <f>(F624/F612)*BT64</f>
        <v>65.259730705546417</v>
      </c>
      <c r="G640" s="180">
        <f>(G625/G612)*BT77</f>
        <v>0</v>
      </c>
      <c r="H640" s="180">
        <f>(H628/H612)*BT60</f>
        <v>15290.208579949327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297079.26000000007</v>
      </c>
      <c r="D641" s="180">
        <f>(D615/D612)*BU76</f>
        <v>81280.850590543952</v>
      </c>
      <c r="E641" s="180">
        <f>(E623/E612)*SUM(C641:D641)</f>
        <v>81248.259046154475</v>
      </c>
      <c r="F641" s="180">
        <f>(F624/F612)*BU64</f>
        <v>36.845755259926982</v>
      </c>
      <c r="G641" s="180">
        <f>(G625/G612)*BU77</f>
        <v>0</v>
      </c>
      <c r="H641" s="180">
        <f>(H628/H612)*BU60</f>
        <v>7241.7296305358022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7298649.6399999913</v>
      </c>
      <c r="D642" s="180">
        <f>(D615/D612)*BV76</f>
        <v>176337.87597876982</v>
      </c>
      <c r="E642" s="180">
        <f>(E623/E612)*SUM(C642:D642)</f>
        <v>1605163.1899491034</v>
      </c>
      <c r="F642" s="180">
        <f>(F624/F612)*BV64</f>
        <v>727.97261047077029</v>
      </c>
      <c r="G642" s="180">
        <f>(G625/G612)*BV77</f>
        <v>0</v>
      </c>
      <c r="H642" s="180">
        <f>(H628/H612)*BV60</f>
        <v>230913.60375778502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42852530.412346065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10711717.34</v>
      </c>
      <c r="D645" s="180">
        <f>(D615/D612)*BY76</f>
        <v>324077.03655686532</v>
      </c>
      <c r="E645" s="180">
        <f>(E623/E612)*SUM(C645:D645)</f>
        <v>2369803.4100030097</v>
      </c>
      <c r="F645" s="180">
        <f>(F624/F612)*BY64</f>
        <v>3662.6176325665097</v>
      </c>
      <c r="G645" s="180">
        <f>(G625/G612)*BY77</f>
        <v>0</v>
      </c>
      <c r="H645" s="180">
        <f>(H628/H612)*BY60</f>
        <v>143935.91961342038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2395500.56</v>
      </c>
      <c r="D647" s="180">
        <f>(D615/D612)*CA76</f>
        <v>45556.284080524674</v>
      </c>
      <c r="E647" s="180">
        <f>(E623/E612)*SUM(C647:D647)</f>
        <v>524187.44276368624</v>
      </c>
      <c r="F647" s="180">
        <f>(F624/F612)*CA64</f>
        <v>49.04548148735509</v>
      </c>
      <c r="G647" s="180">
        <f>(G625/G612)*CA77</f>
        <v>0</v>
      </c>
      <c r="H647" s="180">
        <f>(H628/H612)*CA60</f>
        <v>72117.410436819395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16590607.066568382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207149699.70000002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59979604.57</v>
      </c>
      <c r="D668" s="180">
        <f>(D615/D612)*C76</f>
        <v>1088257.8792170901</v>
      </c>
      <c r="E668" s="180">
        <f>(E623/E612)*SUM(C668:D668)</f>
        <v>13113585.09734224</v>
      </c>
      <c r="F668" s="180">
        <f>(F624/F612)*C64</f>
        <v>186778.79105109806</v>
      </c>
      <c r="G668" s="180">
        <f>(G625/G612)*C77</f>
        <v>1283466.1274040022</v>
      </c>
      <c r="H668" s="180">
        <f>(H628/H612)*C60</f>
        <v>0</v>
      </c>
      <c r="I668" s="180">
        <f>(I629/I612)*C78</f>
        <v>0</v>
      </c>
      <c r="J668" s="180">
        <f>(J630/J612)*C79</f>
        <v>7380.8568622816147</v>
      </c>
      <c r="K668" s="180">
        <f>(K644/K612)*C75</f>
        <v>2317550.0270135696</v>
      </c>
      <c r="L668" s="180">
        <f>(L647/L612)*C80</f>
        <v>0</v>
      </c>
      <c r="M668" s="180">
        <f t="shared" ref="M668:M713" si="21">ROUND(SUM(D668:L668),0)</f>
        <v>17997019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1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1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3945598.7399999993</v>
      </c>
      <c r="D684" s="180">
        <f>(D615/D612)*S76</f>
        <v>0</v>
      </c>
      <c r="E684" s="180">
        <f>(E623/E612)*SUM(C684:D684)</f>
        <v>847269.62369090831</v>
      </c>
      <c r="F684" s="180">
        <f>(F624/F612)*S64</f>
        <v>95975.813665822876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977040.9466121071</v>
      </c>
      <c r="L684" s="180">
        <f>(L647/L612)*S80</f>
        <v>0</v>
      </c>
      <c r="M684" s="180">
        <f t="shared" si="21"/>
        <v>1920286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23667934.759999998</v>
      </c>
      <c r="D685" s="180">
        <f>(D615/D612)*T76</f>
        <v>1809484.8883455</v>
      </c>
      <c r="E685" s="180">
        <f>(E623/E612)*SUM(C685:D685)</f>
        <v>5470967.8252961542</v>
      </c>
      <c r="F685" s="180">
        <f>(F624/F612)*T64</f>
        <v>67854.887244439524</v>
      </c>
      <c r="G685" s="180">
        <f>(G625/G612)*T77</f>
        <v>0</v>
      </c>
      <c r="H685" s="180">
        <f>(H628/H612)*T60</f>
        <v>441336.31392948388</v>
      </c>
      <c r="I685" s="180">
        <f>(I629/I612)*T78</f>
        <v>0</v>
      </c>
      <c r="J685" s="180">
        <f>(J630/J612)*T79</f>
        <v>0</v>
      </c>
      <c r="K685" s="180">
        <f>(K644/K612)*T75</f>
        <v>3827911.3390707481</v>
      </c>
      <c r="L685" s="180">
        <f>(L647/L612)*T80</f>
        <v>4135212.6292952159</v>
      </c>
      <c r="M685" s="180">
        <f t="shared" si="21"/>
        <v>15752768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28248774.660000019</v>
      </c>
      <c r="D686" s="180">
        <f>(D615/D612)*U76</f>
        <v>2255671.540687771</v>
      </c>
      <c r="E686" s="180">
        <f>(E623/E612)*SUM(C686:D686)</f>
        <v>6550460.9962837491</v>
      </c>
      <c r="F686" s="180">
        <f>(F624/F612)*U64</f>
        <v>111756.1353342534</v>
      </c>
      <c r="G686" s="180">
        <f>(G625/G612)*U77</f>
        <v>0</v>
      </c>
      <c r="H686" s="180">
        <f>(H628/H612)*U60</f>
        <v>589830.22757387534</v>
      </c>
      <c r="I686" s="180">
        <f>(I629/I612)*U78</f>
        <v>0</v>
      </c>
      <c r="J686" s="180">
        <f>(J630/J612)*U79</f>
        <v>0</v>
      </c>
      <c r="K686" s="180">
        <f>(K644/K612)*U75</f>
        <v>4013544.0856883596</v>
      </c>
      <c r="L686" s="180">
        <f>(L647/L612)*U80</f>
        <v>273907.34118276625</v>
      </c>
      <c r="M686" s="180">
        <f t="shared" si="21"/>
        <v>13795170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1098866.9099999999</v>
      </c>
      <c r="D688" s="180">
        <f>(D615/D612)*W76</f>
        <v>128835.68280473468</v>
      </c>
      <c r="E688" s="180">
        <f>(E623/E612)*SUM(C688:D688)</f>
        <v>263634.28781154263</v>
      </c>
      <c r="F688" s="180">
        <f>(F624/F612)*W64</f>
        <v>5926.2129235052998</v>
      </c>
      <c r="G688" s="180">
        <f>(G625/G612)*W77</f>
        <v>0</v>
      </c>
      <c r="H688" s="180">
        <f>(H628/H612)*W60</f>
        <v>22603.281960899079</v>
      </c>
      <c r="I688" s="180">
        <f>(I629/I612)*W78</f>
        <v>0</v>
      </c>
      <c r="J688" s="180">
        <f>(J630/J612)*W79</f>
        <v>0</v>
      </c>
      <c r="K688" s="180">
        <f>(K644/K612)*W75</f>
        <v>960870.90719457297</v>
      </c>
      <c r="L688" s="180">
        <f>(L647/L612)*W80</f>
        <v>4433.7519256203168</v>
      </c>
      <c r="M688" s="180">
        <f t="shared" si="21"/>
        <v>1386304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-3619324.2700000005</v>
      </c>
      <c r="D689" s="180">
        <f>(D615/D612)*X76</f>
        <v>116942.88941179037</v>
      </c>
      <c r="E689" s="180">
        <f>(E623/E612)*SUM(C689:D689)</f>
        <v>-752094.05464099906</v>
      </c>
      <c r="F689" s="180">
        <f>(F624/F612)*X64</f>
        <v>18559.204100304636</v>
      </c>
      <c r="G689" s="180">
        <f>(G625/G612)*X77</f>
        <v>0</v>
      </c>
      <c r="H689" s="180">
        <f>(H628/H612)*X60</f>
        <v>45302.248481176859</v>
      </c>
      <c r="I689" s="180">
        <f>(I629/I612)*X78</f>
        <v>0</v>
      </c>
      <c r="J689" s="180">
        <f>(J630/J612)*X79</f>
        <v>0</v>
      </c>
      <c r="K689" s="180">
        <f>(K644/K612)*X75</f>
        <v>3751490.3986491677</v>
      </c>
      <c r="L689" s="180">
        <f>(L647/L612)*X80</f>
        <v>0</v>
      </c>
      <c r="M689" s="180">
        <f t="shared" si="21"/>
        <v>3180201</v>
      </c>
      <c r="N689" s="198" t="s">
        <v>699</v>
      </c>
    </row>
    <row r="690" spans="1:14" ht="12.65" customHeight="1" x14ac:dyDescent="0.35">
      <c r="A690" s="196">
        <v>7140</v>
      </c>
      <c r="B690" s="198" t="s">
        <v>1247</v>
      </c>
      <c r="C690" s="180">
        <f>Y71</f>
        <v>8274206.8899999969</v>
      </c>
      <c r="D690" s="180">
        <f>(D615/D612)*Y76</f>
        <v>817501.28024768515</v>
      </c>
      <c r="E690" s="180">
        <f>(E623/E612)*SUM(C690:D690)</f>
        <v>1952334.4028930094</v>
      </c>
      <c r="F690" s="180">
        <f>(F624/F612)*Y64</f>
        <v>8847.2414126666536</v>
      </c>
      <c r="G690" s="180">
        <f>(G625/G612)*Y77</f>
        <v>0</v>
      </c>
      <c r="H690" s="180">
        <f>(H628/H612)*Y60</f>
        <v>197594.926294951</v>
      </c>
      <c r="I690" s="180">
        <f>(I629/I612)*Y78</f>
        <v>0</v>
      </c>
      <c r="J690" s="180">
        <f>(J630/J612)*Y79</f>
        <v>0</v>
      </c>
      <c r="K690" s="180">
        <f>(K644/K612)*Y75</f>
        <v>619050.34241996636</v>
      </c>
      <c r="L690" s="180">
        <f>(L647/L612)*Y80</f>
        <v>356670.7104610122</v>
      </c>
      <c r="M690" s="180">
        <f t="shared" si="21"/>
        <v>3951999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23521484.080000002</v>
      </c>
      <c r="D691" s="180">
        <f>(D615/D612)*Z76</f>
        <v>3347205.1958301635</v>
      </c>
      <c r="E691" s="180">
        <f>(E623/E612)*SUM(C691:D691)</f>
        <v>5769726.15613735</v>
      </c>
      <c r="F691" s="180">
        <f>(F624/F612)*Z64</f>
        <v>23571.479633511684</v>
      </c>
      <c r="G691" s="180">
        <f>(G625/G612)*Z77</f>
        <v>0</v>
      </c>
      <c r="H691" s="180">
        <f>(H628/H612)*Z60</f>
        <v>148901.84817023121</v>
      </c>
      <c r="I691" s="180">
        <f>(I629/I612)*Z78</f>
        <v>0</v>
      </c>
      <c r="J691" s="180">
        <f>(J630/J612)*Z79</f>
        <v>0</v>
      </c>
      <c r="K691" s="180">
        <f>(K644/K612)*Z75</f>
        <v>3790850.7286068634</v>
      </c>
      <c r="L691" s="180">
        <f>(L647/L612)*Z80</f>
        <v>326619.72518736339</v>
      </c>
      <c r="M691" s="180">
        <f t="shared" si="21"/>
        <v>13406875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7946970.8699999992</v>
      </c>
      <c r="D692" s="180">
        <f>(D615/D612)*AA76</f>
        <v>96236.536226383818</v>
      </c>
      <c r="E692" s="180">
        <f>(E623/E612)*SUM(C692:D692)</f>
        <v>1727181.5411065735</v>
      </c>
      <c r="F692" s="180">
        <f>(F624/F612)*AA64</f>
        <v>188920.81958015892</v>
      </c>
      <c r="G692" s="180">
        <f>(G625/G612)*AA77</f>
        <v>0</v>
      </c>
      <c r="H692" s="180">
        <f>(H628/H612)*AA60</f>
        <v>7829.4278098507002</v>
      </c>
      <c r="I692" s="180">
        <f>(I629/I612)*AA78</f>
        <v>0</v>
      </c>
      <c r="J692" s="180">
        <f>(J630/J612)*AA79</f>
        <v>0</v>
      </c>
      <c r="K692" s="180">
        <f>(K644/K612)*AA75</f>
        <v>457481.73854812945</v>
      </c>
      <c r="L692" s="180">
        <f>(L647/L612)*AA80</f>
        <v>0</v>
      </c>
      <c r="M692" s="180">
        <f t="shared" si="21"/>
        <v>2477650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251119514.19999999</v>
      </c>
      <c r="D693" s="180">
        <f>(D615/D612)*AB76</f>
        <v>750448.27239810338</v>
      </c>
      <c r="E693" s="180">
        <f>(E623/E612)*SUM(C693:D693)</f>
        <v>54086029.113804907</v>
      </c>
      <c r="F693" s="180">
        <f>(F624/F612)*AB64</f>
        <v>7215059.9182360936</v>
      </c>
      <c r="G693" s="180">
        <f>(G625/G612)*AB77</f>
        <v>0</v>
      </c>
      <c r="H693" s="180">
        <f>(H628/H612)*AB60</f>
        <v>210939.41970523994</v>
      </c>
      <c r="I693" s="180">
        <f>(I629/I612)*AB78</f>
        <v>0</v>
      </c>
      <c r="J693" s="180">
        <f>(J630/J612)*AB79</f>
        <v>0</v>
      </c>
      <c r="K693" s="180">
        <f>(K644/K612)*AB75</f>
        <v>18714132.140824251</v>
      </c>
      <c r="L693" s="180">
        <f>(L647/L612)*AB80</f>
        <v>0</v>
      </c>
      <c r="M693" s="180">
        <f t="shared" si="21"/>
        <v>80976609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321725.30000000005</v>
      </c>
      <c r="D694" s="180">
        <f>(D615/D612)*AC76</f>
        <v>44605.114381173829</v>
      </c>
      <c r="E694" s="180">
        <f>(E623/E612)*SUM(C694:D694)</f>
        <v>78665.027234693349</v>
      </c>
      <c r="F694" s="180">
        <f>(F624/F612)*AC64</f>
        <v>1675.1071821072403</v>
      </c>
      <c r="G694" s="180">
        <f>(G625/G612)*AC77</f>
        <v>0</v>
      </c>
      <c r="H694" s="180">
        <f>(H628/H612)*AC60</f>
        <v>8083.8764255804472</v>
      </c>
      <c r="I694" s="180">
        <f>(I629/I612)*AC78</f>
        <v>0</v>
      </c>
      <c r="J694" s="180">
        <f>(J630/J612)*AC79</f>
        <v>0</v>
      </c>
      <c r="K694" s="180">
        <f>(K644/K612)*AC75</f>
        <v>49204.03266296559</v>
      </c>
      <c r="L694" s="180">
        <f>(L647/L612)*AC80</f>
        <v>0</v>
      </c>
      <c r="M694" s="180">
        <f t="shared" si="21"/>
        <v>182233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1359925.8300000003</v>
      </c>
      <c r="D696" s="180">
        <f>(D615/D612)*AE76</f>
        <v>97925.939177584529</v>
      </c>
      <c r="E696" s="180">
        <f>(E623/E612)*SUM(C696:D696)</f>
        <v>313056.04073368531</v>
      </c>
      <c r="F696" s="180">
        <f>(F624/F612)*AE64</f>
        <v>222.37789880153821</v>
      </c>
      <c r="G696" s="180">
        <f>(G625/G612)*AE77</f>
        <v>0</v>
      </c>
      <c r="H696" s="180">
        <f>(H628/H612)*AE60</f>
        <v>30467.203344196521</v>
      </c>
      <c r="I696" s="180">
        <f>(I629/I612)*AE78</f>
        <v>0</v>
      </c>
      <c r="J696" s="180">
        <f>(J630/J612)*AE79</f>
        <v>0</v>
      </c>
      <c r="K696" s="180">
        <f>(K644/K612)*AE75</f>
        <v>68723.858262302208</v>
      </c>
      <c r="L696" s="180">
        <f>(L647/L612)*AE80</f>
        <v>0</v>
      </c>
      <c r="M696" s="180">
        <f t="shared" si="21"/>
        <v>510395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1"/>
        <v>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109921259.03999998</v>
      </c>
      <c r="D701" s="180">
        <f>(D615/D612)*AJ76</f>
        <v>6266073.6939518033</v>
      </c>
      <c r="E701" s="180">
        <f>(E623/E612)*SUM(C701:D701)</f>
        <v>24949824.898602255</v>
      </c>
      <c r="F701" s="180">
        <f>(F624/F612)*AJ64</f>
        <v>35829.061649326468</v>
      </c>
      <c r="G701" s="180">
        <f>(G625/G612)*AJ77</f>
        <v>0</v>
      </c>
      <c r="H701" s="180">
        <f>(H628/H612)*AJ60</f>
        <v>1634067.6818022542</v>
      </c>
      <c r="I701" s="180">
        <f>(I629/I612)*AJ78</f>
        <v>0</v>
      </c>
      <c r="J701" s="180">
        <f>(J630/J612)*AJ79</f>
        <v>0</v>
      </c>
      <c r="K701" s="180">
        <f>(K644/K612)*AJ75</f>
        <v>2359510.0050110468</v>
      </c>
      <c r="L701" s="180">
        <f>(L647/L612)*AJ80</f>
        <v>9077860.7481561769</v>
      </c>
      <c r="M701" s="180">
        <f t="shared" si="21"/>
        <v>44323166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8222202.8899999978</v>
      </c>
      <c r="D711" s="180">
        <f>(D615/D612)*AT76</f>
        <v>133864.35364749492</v>
      </c>
      <c r="E711" s="180">
        <f>(E623/E612)*SUM(C711:D711)</f>
        <v>1794364.408444924</v>
      </c>
      <c r="F711" s="180">
        <f>(F624/F612)*AT64</f>
        <v>85.33044709091098</v>
      </c>
      <c r="G711" s="180">
        <f>(G625/G612)*AT77</f>
        <v>0</v>
      </c>
      <c r="H711" s="180">
        <f>(H628/H612)*AT60</f>
        <v>98748.789600106</v>
      </c>
      <c r="I711" s="180">
        <f>(I629/I612)*AT78</f>
        <v>0</v>
      </c>
      <c r="J711" s="180">
        <f>(J630/J612)*AT79</f>
        <v>0</v>
      </c>
      <c r="K711" s="180">
        <f>(K644/K612)*AT75</f>
        <v>351554.02458551264</v>
      </c>
      <c r="L711" s="180">
        <f>(L647/L612)*AT80</f>
        <v>0</v>
      </c>
      <c r="M711" s="180">
        <f t="shared" si="21"/>
        <v>2378617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5248796.9300000006</v>
      </c>
      <c r="D713" s="180">
        <f>(D615/D612)*AV76</f>
        <v>506535.87131907209</v>
      </c>
      <c r="E713" s="180">
        <f>(E623/E612)*SUM(C713:D713)</f>
        <v>1235888.132098692</v>
      </c>
      <c r="F713" s="180">
        <f>(F624/F612)*AV64</f>
        <v>18252.571530761052</v>
      </c>
      <c r="G713" s="180">
        <f>(G625/G612)*AV77</f>
        <v>0</v>
      </c>
      <c r="H713" s="180">
        <f>(H628/H612)*AV60</f>
        <v>140212.40534549239</v>
      </c>
      <c r="I713" s="180">
        <f>(I629/I612)*AV78</f>
        <v>0</v>
      </c>
      <c r="J713" s="180">
        <f>(J630/J612)*AV79</f>
        <v>0</v>
      </c>
      <c r="K713" s="180">
        <f>(K644/K612)*AV75</f>
        <v>593615.83719650144</v>
      </c>
      <c r="L713" s="180">
        <f>(L647/L612)*AV80</f>
        <v>2415902.1603602264</v>
      </c>
      <c r="M713" s="180">
        <f t="shared" si="21"/>
        <v>4910407</v>
      </c>
      <c r="N713" s="199" t="s">
        <v>741</v>
      </c>
    </row>
    <row r="715" spans="1:83" ht="12.65" customHeight="1" x14ac:dyDescent="0.35">
      <c r="C715" s="180">
        <f>SUM(C614:C647)+SUM(C668:C713)</f>
        <v>736407241.10000002</v>
      </c>
      <c r="D715" s="180">
        <f>SUM(D616:D647)+SUM(D668:D713)</f>
        <v>32206443.379999999</v>
      </c>
      <c r="E715" s="180">
        <f>SUM(E624:E647)+SUM(E668:E713)</f>
        <v>130179975.47705956</v>
      </c>
      <c r="F715" s="180">
        <f>SUM(F625:F648)+SUM(F668:F713)</f>
        <v>7998790.7565974388</v>
      </c>
      <c r="G715" s="180">
        <f>SUM(G626:G647)+SUM(G668:G713)</f>
        <v>1283466.1274040022</v>
      </c>
      <c r="H715" s="180">
        <f>SUM(H629:H647)+SUM(H668:H713)</f>
        <v>4535900.3031852599</v>
      </c>
      <c r="I715" s="180">
        <f>SUM(I630:I647)+SUM(I668:I713)</f>
        <v>0</v>
      </c>
      <c r="J715" s="180">
        <f>SUM(J631:J647)+SUM(J668:J713)</f>
        <v>7380.8568622816147</v>
      </c>
      <c r="K715" s="180">
        <f>SUM(K668:K713)</f>
        <v>42852530.412346065</v>
      </c>
      <c r="L715" s="180">
        <f>SUM(L668:L713)</f>
        <v>16590607.06656838</v>
      </c>
      <c r="M715" s="180">
        <f>SUM(M668:M713)</f>
        <v>207149699</v>
      </c>
      <c r="N715" s="198" t="s">
        <v>742</v>
      </c>
    </row>
    <row r="716" spans="1:83" ht="12.65" customHeight="1" x14ac:dyDescent="0.35">
      <c r="C716" s="180">
        <f>CE71</f>
        <v>736407241.09999979</v>
      </c>
      <c r="D716" s="180">
        <f>D615</f>
        <v>32206443.380000003</v>
      </c>
      <c r="E716" s="180">
        <f>E623</f>
        <v>130179975.47705954</v>
      </c>
      <c r="F716" s="180">
        <f>F624</f>
        <v>7998790.7565974416</v>
      </c>
      <c r="G716" s="180">
        <f>G625</f>
        <v>1283466.1274040022</v>
      </c>
      <c r="H716" s="180">
        <f>H628</f>
        <v>4535900.3031852609</v>
      </c>
      <c r="I716" s="180">
        <f>I629</f>
        <v>0</v>
      </c>
      <c r="J716" s="180">
        <f>J630</f>
        <v>7380.8568622816147</v>
      </c>
      <c r="K716" s="180">
        <f>K644</f>
        <v>42852530.412346065</v>
      </c>
      <c r="L716" s="180">
        <f>L647</f>
        <v>16590607.066568382</v>
      </c>
      <c r="M716" s="180">
        <f>C648</f>
        <v>207149699.70000002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1253</v>
      </c>
    </row>
    <row r="722" spans="1:84" s="201" customFormat="1" ht="12.65" customHeight="1" x14ac:dyDescent="0.35">
      <c r="A722" s="202" t="str">
        <f>RIGHT(C83,3)&amp;"*"&amp;RIGHT(C82,4)&amp;"*"&amp;"A"</f>
        <v>204*2021*A</v>
      </c>
      <c r="B722" s="276">
        <f>ROUND(C165,0)</f>
        <v>12272447</v>
      </c>
      <c r="C722" s="276">
        <f>ROUND(C166,0)</f>
        <v>611952</v>
      </c>
      <c r="D722" s="276">
        <f>ROUND(C167,0)</f>
        <v>-31866</v>
      </c>
      <c r="E722" s="276">
        <f>ROUND(C168,0)</f>
        <v>19271545</v>
      </c>
      <c r="F722" s="276">
        <f>ROUND(C169,0)</f>
        <v>351708</v>
      </c>
      <c r="G722" s="276">
        <f>ROUND(C170,0)</f>
        <v>9477514</v>
      </c>
      <c r="H722" s="276">
        <f>ROUND(C171+C172,0)</f>
        <v>699587</v>
      </c>
      <c r="I722" s="276">
        <f>ROUND(C175,0)</f>
        <v>16929517</v>
      </c>
      <c r="J722" s="276">
        <f>ROUND(C176,0)</f>
        <v>1394635</v>
      </c>
      <c r="K722" s="276">
        <f>ROUND(C179,0)</f>
        <v>1470828</v>
      </c>
      <c r="L722" s="276">
        <f>ROUND(C180,0)</f>
        <v>0</v>
      </c>
      <c r="M722" s="276">
        <f>ROUND(C183,0)</f>
        <v>409611</v>
      </c>
      <c r="N722" s="276">
        <f>ROUND(C184,0)</f>
        <v>4500435</v>
      </c>
      <c r="O722" s="276">
        <f>ROUND(C185,0)</f>
        <v>0</v>
      </c>
      <c r="P722" s="276">
        <f>ROUND(C189,0)</f>
        <v>3804726</v>
      </c>
      <c r="Q722" s="276" t="e">
        <f>ROUND(#REF!,0)</f>
        <v>#REF!</v>
      </c>
      <c r="R722" s="276">
        <f>ROUND(B195,0)</f>
        <v>19961534</v>
      </c>
      <c r="S722" s="276">
        <f>ROUND(C195,0)</f>
        <v>0</v>
      </c>
      <c r="T722" s="276">
        <f>ROUND(D195,0)</f>
        <v>0</v>
      </c>
      <c r="U722" s="276">
        <f>ROUND(B196,0)</f>
        <v>8292291</v>
      </c>
      <c r="V722" s="276">
        <f>ROUND(C196,0)</f>
        <v>1029867</v>
      </c>
      <c r="W722" s="276">
        <f>ROUND(D196,0)</f>
        <v>0</v>
      </c>
      <c r="X722" s="276">
        <f>ROUND(B197,0)</f>
        <v>128499090</v>
      </c>
      <c r="Y722" s="276">
        <f>ROUND(C197,0)</f>
        <v>3107672</v>
      </c>
      <c r="Z722" s="276">
        <f>ROUND(D197,0)</f>
        <v>0</v>
      </c>
      <c r="AA722" s="276">
        <f>ROUND(B198,0)</f>
        <v>45876664</v>
      </c>
      <c r="AB722" s="276">
        <f>ROUND(C198,0)</f>
        <v>263501</v>
      </c>
      <c r="AC722" s="276">
        <f>ROUND(D198,0)</f>
        <v>0</v>
      </c>
      <c r="AD722" s="276">
        <f>ROUND(B199,0)</f>
        <v>5010567</v>
      </c>
      <c r="AE722" s="276">
        <f>ROUND(C199,0)</f>
        <v>879124</v>
      </c>
      <c r="AF722" s="276">
        <f>ROUND(D199,0)</f>
        <v>0</v>
      </c>
      <c r="AG722" s="276">
        <f>ROUND(B200,0)</f>
        <v>8020152</v>
      </c>
      <c r="AH722" s="276">
        <f>ROUND(C200,0)</f>
        <v>832464</v>
      </c>
      <c r="AI722" s="276">
        <f>ROUND(D200,0)</f>
        <v>0</v>
      </c>
      <c r="AJ722" s="276">
        <f>ROUND(B201,0)</f>
        <v>111483657</v>
      </c>
      <c r="AK722" s="276">
        <f>ROUND(C201,0)</f>
        <v>29429500</v>
      </c>
      <c r="AL722" s="276">
        <f>ROUND(D201,0)</f>
        <v>1830999</v>
      </c>
      <c r="AM722" s="276">
        <f>ROUND(B202,0)</f>
        <v>28850378</v>
      </c>
      <c r="AN722" s="276">
        <f>ROUND(C202,0)</f>
        <v>13108861</v>
      </c>
      <c r="AO722" s="276">
        <f>ROUND(D202,0)</f>
        <v>0</v>
      </c>
      <c r="AP722" s="276">
        <f>ROUND(B203,0)</f>
        <v>30613190</v>
      </c>
      <c r="AQ722" s="276">
        <f>ROUND(C203,0)</f>
        <v>58515387</v>
      </c>
      <c r="AR722" s="276">
        <f>ROUND(D203,0)</f>
        <v>0</v>
      </c>
      <c r="AS722" s="276"/>
      <c r="AT722" s="276"/>
      <c r="AU722" s="276"/>
      <c r="AV722" s="276">
        <f>ROUND(B209,0)</f>
        <v>6491228</v>
      </c>
      <c r="AW722" s="276">
        <f>ROUND(C209,0)</f>
        <v>332129</v>
      </c>
      <c r="AX722" s="276">
        <f>ROUND(D209,0)</f>
        <v>0</v>
      </c>
      <c r="AY722" s="276">
        <f>ROUND(B210,0)</f>
        <v>56564379</v>
      </c>
      <c r="AZ722" s="276">
        <f>ROUND(C210,0)</f>
        <v>6162861</v>
      </c>
      <c r="BA722" s="276">
        <f>ROUND(D210,0)</f>
        <v>0</v>
      </c>
      <c r="BB722" s="276">
        <f>ROUND(B211,0)</f>
        <v>30530786</v>
      </c>
      <c r="BC722" s="276">
        <f>ROUND(C211,0)</f>
        <v>2168631</v>
      </c>
      <c r="BD722" s="276">
        <f>ROUND(D211,0)</f>
        <v>0</v>
      </c>
      <c r="BE722" s="276">
        <f>ROUND(B212,0)</f>
        <v>2238584</v>
      </c>
      <c r="BF722" s="276">
        <f>ROUND(C212,0)</f>
        <v>476240</v>
      </c>
      <c r="BG722" s="276">
        <f>ROUND(D212,0)</f>
        <v>0</v>
      </c>
      <c r="BH722" s="276">
        <f>ROUND(B213,0)</f>
        <v>6589923</v>
      </c>
      <c r="BI722" s="276">
        <f>ROUND(C213,0)</f>
        <v>277846</v>
      </c>
      <c r="BJ722" s="276">
        <f>ROUND(D213,0)</f>
        <v>0</v>
      </c>
      <c r="BK722" s="276">
        <f>ROUND(B214,0)</f>
        <v>76716987</v>
      </c>
      <c r="BL722" s="276">
        <f>ROUND(C214,0)</f>
        <v>12211330</v>
      </c>
      <c r="BM722" s="276">
        <f>ROUND(D214,0)</f>
        <v>1663820</v>
      </c>
      <c r="BN722" s="276">
        <f>ROUND(B215,0)</f>
        <v>9992949</v>
      </c>
      <c r="BO722" s="276">
        <f>ROUND(C215,0)</f>
        <v>3509324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424439166</v>
      </c>
      <c r="BU722" s="276">
        <f>ROUND(C224,0)</f>
        <v>137373044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233254006</v>
      </c>
      <c r="BZ722" s="276">
        <f>ROUND(C231,0)</f>
        <v>2182</v>
      </c>
      <c r="CA722" s="276">
        <f>ROUND(C233,0)</f>
        <v>31026</v>
      </c>
      <c r="CB722" s="276">
        <f>ROUND(C234,0)</f>
        <v>13203482</v>
      </c>
      <c r="CC722" s="276">
        <f>ROUND(C238+C239,0)</f>
        <v>0</v>
      </c>
      <c r="CD722" s="276">
        <f>D221</f>
        <v>3622233.55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204*2021*A</v>
      </c>
      <c r="B726" s="276">
        <f>ROUND(C111,0)</f>
        <v>585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6362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197</v>
      </c>
      <c r="Y726" s="276">
        <f>ROUND(B139,0)</f>
        <v>1896</v>
      </c>
      <c r="Z726" s="276">
        <f>ROUND(B140,0)</f>
        <v>0</v>
      </c>
      <c r="AA726" s="276">
        <f>ROUND(B141,0)</f>
        <v>23660027</v>
      </c>
      <c r="AB726" s="276">
        <f>ROUND(B142,0)</f>
        <v>642021227</v>
      </c>
      <c r="AC726" s="276">
        <f>ROUND(C138,0)</f>
        <v>86</v>
      </c>
      <c r="AD726" s="276">
        <f>ROUND(C139,0)</f>
        <v>1175</v>
      </c>
      <c r="AE726" s="276">
        <f>ROUND(C140,0)</f>
        <v>0</v>
      </c>
      <c r="AF726" s="276">
        <f>ROUND(C141,0)</f>
        <v>15995437</v>
      </c>
      <c r="AG726" s="276">
        <f>ROUND(C142,0)</f>
        <v>153076744</v>
      </c>
      <c r="AH726" s="276">
        <f>ROUND(D138,0)</f>
        <v>302</v>
      </c>
      <c r="AI726" s="276">
        <f>ROUND(D139,0)</f>
        <v>3291</v>
      </c>
      <c r="AJ726" s="276">
        <f>ROUND(D140,0)</f>
        <v>0</v>
      </c>
      <c r="AK726" s="276">
        <f>ROUND(D141,0)</f>
        <v>48575831</v>
      </c>
      <c r="AL726" s="276">
        <f>ROUND(D142,0)</f>
        <v>748106608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204*2021*A</v>
      </c>
      <c r="B730" s="276">
        <f>ROUND(C250,0)</f>
        <v>232456980</v>
      </c>
      <c r="C730" s="276">
        <f>ROUND(C251,0)</f>
        <v>330062462</v>
      </c>
      <c r="D730" s="276">
        <f>ROUND(C252,0)</f>
        <v>316181709</v>
      </c>
      <c r="E730" s="276">
        <f>ROUND(C253,0)</f>
        <v>175402131</v>
      </c>
      <c r="F730" s="276">
        <f>ROUND(C254,0)</f>
        <v>0</v>
      </c>
      <c r="G730" s="276">
        <f>ROUND(C255,0)</f>
        <v>14558556</v>
      </c>
      <c r="H730" s="276">
        <f>ROUND(C256,0)</f>
        <v>8674</v>
      </c>
      <c r="I730" s="276">
        <f>ROUND(C257,0)</f>
        <v>18973013</v>
      </c>
      <c r="J730" s="276">
        <f>ROUND(C258,0)</f>
        <v>7539724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75000000</v>
      </c>
      <c r="O730" s="276">
        <f>ROUND(C267,0)</f>
        <v>19961534</v>
      </c>
      <c r="P730" s="276">
        <f>ROUND(C268,0)</f>
        <v>9322158</v>
      </c>
      <c r="Q730" s="276">
        <f>ROUND(C269,0)</f>
        <v>131606762</v>
      </c>
      <c r="R730" s="276">
        <f>ROUND(C270,0)</f>
        <v>46140165</v>
      </c>
      <c r="S730" s="276">
        <f>ROUND(C271,0)</f>
        <v>5889691</v>
      </c>
      <c r="T730" s="276">
        <f>ROUND(C272,0)</f>
        <v>147934773</v>
      </c>
      <c r="U730" s="276">
        <f>ROUND(C273,0)</f>
        <v>41959239</v>
      </c>
      <c r="V730" s="276">
        <f>ROUND(C274,0)</f>
        <v>89128576</v>
      </c>
      <c r="W730" s="276">
        <f>ROUND(C275,0)</f>
        <v>0</v>
      </c>
      <c r="X730" s="276">
        <f>ROUND(C276,0)</f>
        <v>212599375</v>
      </c>
      <c r="Y730" s="276">
        <f>ROUND(C279,0)</f>
        <v>0</v>
      </c>
      <c r="Z730" s="276">
        <f>ROUND(C280,0)</f>
        <v>0</v>
      </c>
      <c r="AA730" s="276">
        <f>ROUND(C281,0)</f>
        <v>209212296</v>
      </c>
      <c r="AB730" s="276">
        <f>ROUND(C282,0)</f>
        <v>218521975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9013888</v>
      </c>
      <c r="AG730" s="276">
        <f>ROUND(C304,0)</f>
        <v>0</v>
      </c>
      <c r="AH730" s="276">
        <f>ROUND(C305,0)</f>
        <v>29708019</v>
      </c>
      <c r="AI730" s="276">
        <f>ROUND(C306,0)</f>
        <v>23975892</v>
      </c>
      <c r="AJ730" s="276">
        <f>ROUND(C307,0)</f>
        <v>38333743</v>
      </c>
      <c r="AK730" s="276">
        <f>ROUND(C308,0)</f>
        <v>0</v>
      </c>
      <c r="AL730" s="276">
        <f>ROUND(C309,0)</f>
        <v>41358831</v>
      </c>
      <c r="AM730" s="276">
        <f>ROUND(C310,0)</f>
        <v>0</v>
      </c>
      <c r="AN730" s="276">
        <f>ROUND(C311,0)</f>
        <v>0</v>
      </c>
      <c r="AO730" s="276">
        <f>ROUND(C312,0)</f>
        <v>17177307</v>
      </c>
      <c r="AP730" s="276">
        <f>ROUND(C313,0)</f>
        <v>3415000</v>
      </c>
      <c r="AQ730" s="276">
        <f>ROUND(C316,0)</f>
        <v>0</v>
      </c>
      <c r="AR730" s="276">
        <f>ROUND(C317,0)</f>
        <v>260865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6869311</v>
      </c>
      <c r="AW730" s="276">
        <f>ROUND(C324,0)</f>
        <v>0</v>
      </c>
      <c r="AX730" s="276">
        <f>ROUND(C325,0)</f>
        <v>392462692</v>
      </c>
      <c r="AY730" s="276">
        <f>ROUND(C326,0)</f>
        <v>0</v>
      </c>
      <c r="AZ730" s="276">
        <f>ROUND(C327,0)</f>
        <v>195842307</v>
      </c>
      <c r="BA730" s="276">
        <f>ROUND(C328,0)</f>
        <v>0</v>
      </c>
      <c r="BB730" s="276">
        <f>ROUND(C332,0)</f>
        <v>789481700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1744.15</v>
      </c>
      <c r="BJ730" s="276">
        <f>ROUND(C359,0)</f>
        <v>88231295</v>
      </c>
      <c r="BK730" s="276">
        <f>ROUND(C360,0)</f>
        <v>1543204579</v>
      </c>
      <c r="BL730" s="276">
        <f>ROUND(C364,0)</f>
        <v>795066217</v>
      </c>
      <c r="BM730" s="276">
        <f>ROUND(C365,0)</f>
        <v>13234508</v>
      </c>
      <c r="BN730" s="276">
        <f>ROUND(C366,0)</f>
        <v>0</v>
      </c>
      <c r="BO730" s="276">
        <f>ROUND(C370,0)</f>
        <v>104440416</v>
      </c>
      <c r="BP730" s="276">
        <f>ROUND(C371,0)</f>
        <v>0</v>
      </c>
      <c r="BQ730" s="276">
        <f>ROUND(C378,0)</f>
        <v>158276305</v>
      </c>
      <c r="BR730" s="276">
        <f>ROUND(C379,0)</f>
        <v>42652887</v>
      </c>
      <c r="BS730" s="276">
        <f>ROUND(C380,0)</f>
        <v>10276939</v>
      </c>
      <c r="BT730" s="276">
        <f>ROUND(C381,0)</f>
        <v>340568588</v>
      </c>
      <c r="BU730" s="276">
        <f>ROUND(C382,0)</f>
        <v>3873947</v>
      </c>
      <c r="BV730" s="276">
        <f>ROUND(C383,0)</f>
        <v>198295399</v>
      </c>
      <c r="BW730" s="276">
        <f>ROUND(C384,0)</f>
        <v>25138360</v>
      </c>
      <c r="BX730" s="276">
        <f>ROUND(C385,0)</f>
        <v>18324152</v>
      </c>
      <c r="BY730" s="276">
        <f>ROUND(C386,0)</f>
        <v>1470828</v>
      </c>
      <c r="BZ730" s="276">
        <f>ROUND(C387,0)</f>
        <v>4910046</v>
      </c>
      <c r="CA730" s="276">
        <f>ROUND(C388,0)</f>
        <v>3804726</v>
      </c>
      <c r="CB730" s="276">
        <f>C363</f>
        <v>3622233.55</v>
      </c>
      <c r="CC730" s="276">
        <f>ROUND(C389,0)</f>
        <v>33255480</v>
      </c>
      <c r="CD730" s="276">
        <f>ROUND(C392,0)</f>
        <v>68180538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204*2021*6010*A</v>
      </c>
      <c r="B734" s="276">
        <f>ROUND(C59,0)</f>
        <v>6362</v>
      </c>
      <c r="C734" s="276">
        <f>ROUND(C60,2)</f>
        <v>0</v>
      </c>
      <c r="D734" s="276">
        <f>ROUND(C61,0)</f>
        <v>275892</v>
      </c>
      <c r="E734" s="276">
        <f>ROUND(C62,0)</f>
        <v>72625</v>
      </c>
      <c r="F734" s="276">
        <f>ROUND(C63,0)</f>
        <v>0</v>
      </c>
      <c r="G734" s="276">
        <f>ROUND(C64,0)</f>
        <v>7870300</v>
      </c>
      <c r="H734" s="276">
        <f>ROUND(C66,0)</f>
        <v>49678630</v>
      </c>
      <c r="I734" s="276" t="e">
        <f>ROUND(#REF!,0)</f>
        <v>#REF!</v>
      </c>
      <c r="J734" s="276">
        <f>ROUND(C67,0)</f>
        <v>0</v>
      </c>
      <c r="K734" s="276">
        <f>ROUND(C68,0)</f>
        <v>0</v>
      </c>
      <c r="L734" s="276">
        <f>ROUND(C69,0)</f>
        <v>2082158</v>
      </c>
      <c r="M734" s="276">
        <f>ROUND(C70,0)</f>
        <v>0</v>
      </c>
      <c r="N734" s="276">
        <f>ROUND(C75,0)</f>
        <v>88231295</v>
      </c>
      <c r="O734" s="276">
        <f>ROUND(C73,0)</f>
        <v>88231295</v>
      </c>
      <c r="P734" s="276">
        <f>IF(C76&gt;0,ROUND(C76,0),0)</f>
        <v>15446</v>
      </c>
      <c r="Q734" s="276">
        <f>IF(C77&gt;0,ROUND(C77,0),0)</f>
        <v>1</v>
      </c>
      <c r="R734" s="276">
        <f>IF(C78&gt;0,ROUND(C78,0),0)</f>
        <v>1</v>
      </c>
      <c r="S734" s="276">
        <f>IF(C79&gt;0,ROUND(C79,0),0)</f>
        <v>1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17997019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204*2021*6030*A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204*2021*6070*A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2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204*2021*6100*A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204*2021*6120*A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204*2021*6140*A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204*2021*6150*A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204*2021*6170*A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204*2021*6200*A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204*2021*6210*A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204*2021*6330*A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204*2021*6400*A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204*2021*7010*A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2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204*2021*7020*A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2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204*2021*7030*A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2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204*2021*7040*A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204*2021*7050*A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4044134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55040</v>
      </c>
      <c r="M750" s="276">
        <f>ROUND(S70,0)</f>
        <v>153576</v>
      </c>
      <c r="N750" s="276">
        <f>ROUND(S75,0)</f>
        <v>37196862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1920286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204*2021*7060*A</v>
      </c>
      <c r="B751" s="276"/>
      <c r="C751" s="278">
        <f>ROUND(T60,2)</f>
        <v>130.94999999999999</v>
      </c>
      <c r="D751" s="276">
        <f>ROUND(T61,0)</f>
        <v>11937663</v>
      </c>
      <c r="E751" s="276">
        <f>ROUND(T62,0)</f>
        <v>3217463</v>
      </c>
      <c r="F751" s="276">
        <f>ROUND(T63,0)</f>
        <v>0</v>
      </c>
      <c r="G751" s="276">
        <f>ROUND(T64,0)</f>
        <v>2859202</v>
      </c>
      <c r="H751" s="276">
        <f>ROUND(T65,0)</f>
        <v>7757</v>
      </c>
      <c r="I751" s="276">
        <f>ROUND(T66,0)</f>
        <v>6615081</v>
      </c>
      <c r="J751" s="276">
        <f>ROUND(T67,0)</f>
        <v>1095880</v>
      </c>
      <c r="K751" s="276">
        <f>ROUND(T68,0)</f>
        <v>0</v>
      </c>
      <c r="L751" s="276">
        <f>ROUND(T69,0)</f>
        <v>512183</v>
      </c>
      <c r="M751" s="276">
        <f>ROUND(T70,0)</f>
        <v>2577294</v>
      </c>
      <c r="N751" s="276">
        <f>ROUND(T75,0)</f>
        <v>145732162</v>
      </c>
      <c r="O751" s="276">
        <f>ROUND(T73,0)</f>
        <v>0</v>
      </c>
      <c r="P751" s="276">
        <f>IF(T76&gt;0,ROUND(T76,0),0)</f>
        <v>25683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83.94</v>
      </c>
      <c r="U751" s="276"/>
      <c r="V751" s="277"/>
      <c r="W751" s="276"/>
      <c r="X751" s="276"/>
      <c r="Y751" s="276">
        <f t="shared" si="22"/>
        <v>15752768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204*2021*7070*A</v>
      </c>
      <c r="B752" s="276">
        <f>ROUND(U59,0)</f>
        <v>682515</v>
      </c>
      <c r="C752" s="278">
        <f>ROUND(U60,2)</f>
        <v>175.01</v>
      </c>
      <c r="D752" s="276">
        <f>ROUND(U61,0)</f>
        <v>14034727</v>
      </c>
      <c r="E752" s="276">
        <f>ROUND(U62,0)</f>
        <v>3775158</v>
      </c>
      <c r="F752" s="276">
        <f>ROUND(U63,0)</f>
        <v>13905</v>
      </c>
      <c r="G752" s="276">
        <f>ROUND(U64,0)</f>
        <v>4709070</v>
      </c>
      <c r="H752" s="276">
        <f>ROUND(U65,0)</f>
        <v>13794</v>
      </c>
      <c r="I752" s="276">
        <f>ROUND(U66,0)</f>
        <v>12979488</v>
      </c>
      <c r="J752" s="276">
        <f>ROUND(U67,0)</f>
        <v>1366104</v>
      </c>
      <c r="K752" s="276">
        <f>ROUND(U68,0)</f>
        <v>189460</v>
      </c>
      <c r="L752" s="276">
        <f>ROUND(U69,0)</f>
        <v>1302420</v>
      </c>
      <c r="M752" s="276">
        <f>ROUND(U70,0)</f>
        <v>10135350</v>
      </c>
      <c r="N752" s="276">
        <f>ROUND(U75,0)</f>
        <v>152799374</v>
      </c>
      <c r="O752" s="276">
        <f>ROUND(U73,0)</f>
        <v>0</v>
      </c>
      <c r="P752" s="276">
        <f>IF(U76&gt;0,ROUND(U76,0),0)</f>
        <v>32015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5.56</v>
      </c>
      <c r="U752" s="276"/>
      <c r="V752" s="277"/>
      <c r="W752" s="276"/>
      <c r="X752" s="276"/>
      <c r="Y752" s="276">
        <f t="shared" si="22"/>
        <v>13795170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204*2021*7110*A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204*2021*7120*A</v>
      </c>
      <c r="B754" s="276">
        <f>ROUND(W59,0)</f>
        <v>0</v>
      </c>
      <c r="C754" s="278">
        <f>ROUND(W60,2)</f>
        <v>6.71</v>
      </c>
      <c r="D754" s="276">
        <f>ROUND(W61,0)</f>
        <v>696938</v>
      </c>
      <c r="E754" s="276">
        <f>ROUND(W62,0)</f>
        <v>185642</v>
      </c>
      <c r="F754" s="276">
        <f>ROUND(W63,0)</f>
        <v>0</v>
      </c>
      <c r="G754" s="276">
        <f>ROUND(W64,0)</f>
        <v>249713</v>
      </c>
      <c r="H754" s="276">
        <f>ROUND(W65,0)</f>
        <v>240</v>
      </c>
      <c r="I754" s="276">
        <f>ROUND(W66,0)</f>
        <v>0</v>
      </c>
      <c r="J754" s="276">
        <f>ROUND(W67,0)</f>
        <v>78027</v>
      </c>
      <c r="K754" s="276">
        <f>ROUND(W68,0)</f>
        <v>0</v>
      </c>
      <c r="L754" s="276">
        <f>ROUND(W69,0)</f>
        <v>442672</v>
      </c>
      <c r="M754" s="276">
        <f>ROUND(W70,0)</f>
        <v>554365</v>
      </c>
      <c r="N754" s="276">
        <f>ROUND(W75,0)</f>
        <v>36581253</v>
      </c>
      <c r="O754" s="276">
        <f>ROUND(W73,0)</f>
        <v>0</v>
      </c>
      <c r="P754" s="276">
        <f>IF(W76&gt;0,ROUND(W76,0),0)</f>
        <v>1829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0.09</v>
      </c>
      <c r="U754" s="276"/>
      <c r="V754" s="277"/>
      <c r="W754" s="276"/>
      <c r="X754" s="276"/>
      <c r="Y754" s="276">
        <f t="shared" si="22"/>
        <v>1386304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204*2021*7130*A</v>
      </c>
      <c r="B755" s="276">
        <f>ROUND(X59,0)</f>
        <v>27070</v>
      </c>
      <c r="C755" s="278">
        <f>ROUND(X60,2)</f>
        <v>13.44</v>
      </c>
      <c r="D755" s="276">
        <f>ROUND(X61,0)</f>
        <v>1504683</v>
      </c>
      <c r="E755" s="276">
        <f>ROUND(X62,0)</f>
        <v>400996</v>
      </c>
      <c r="F755" s="276">
        <f>ROUND(X63,0)</f>
        <v>0</v>
      </c>
      <c r="G755" s="276">
        <f>ROUND(X64,0)</f>
        <v>782029</v>
      </c>
      <c r="H755" s="276">
        <f>ROUND(X65,0)</f>
        <v>674</v>
      </c>
      <c r="I755" s="276">
        <f>ROUND(X66,0)</f>
        <v>113775</v>
      </c>
      <c r="J755" s="276">
        <f>ROUND(X67,0)</f>
        <v>70824</v>
      </c>
      <c r="K755" s="276">
        <f>ROUND(X68,0)</f>
        <v>0</v>
      </c>
      <c r="L755" s="276">
        <f>ROUND(X69,0)</f>
        <v>906876</v>
      </c>
      <c r="M755" s="276">
        <f>ROUND(X70,0)</f>
        <v>7399183</v>
      </c>
      <c r="N755" s="276">
        <f>ROUND(X75,0)</f>
        <v>142822745</v>
      </c>
      <c r="O755" s="276">
        <f>ROUND(X73,0)</f>
        <v>0</v>
      </c>
      <c r="P755" s="276">
        <f>IF(X76&gt;0,ROUND(X76,0),0)</f>
        <v>1660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3180201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204*2021*7140*A</v>
      </c>
      <c r="B756" s="276">
        <f>ROUND(Y59,0)</f>
        <v>0</v>
      </c>
      <c r="C756" s="278">
        <f>ROUND(Y60,2)</f>
        <v>58.63</v>
      </c>
      <c r="D756" s="276">
        <f>ROUND(Y61,0)</f>
        <v>4916071</v>
      </c>
      <c r="E756" s="276">
        <f>ROUND(Y62,0)</f>
        <v>1321701</v>
      </c>
      <c r="F756" s="276">
        <f>ROUND(Y63,0)</f>
        <v>0</v>
      </c>
      <c r="G756" s="276">
        <f>ROUND(Y64,0)</f>
        <v>372796</v>
      </c>
      <c r="H756" s="276">
        <f>ROUND(Y65,0)</f>
        <v>25463</v>
      </c>
      <c r="I756" s="276">
        <f>ROUND(Y66,0)</f>
        <v>534616</v>
      </c>
      <c r="J756" s="276">
        <f>ROUND(Y67,0)</f>
        <v>495104</v>
      </c>
      <c r="K756" s="276">
        <f>ROUND(Y68,0)</f>
        <v>138013</v>
      </c>
      <c r="L756" s="276">
        <f>ROUND(Y69,0)</f>
        <v>900603</v>
      </c>
      <c r="M756" s="276">
        <f>ROUND(Y70,0)</f>
        <v>430159</v>
      </c>
      <c r="N756" s="276">
        <f>ROUND(Y75,0)</f>
        <v>23567825</v>
      </c>
      <c r="O756" s="276">
        <f>ROUND(Y73,0)</f>
        <v>0</v>
      </c>
      <c r="P756" s="276">
        <f>IF(Y76&gt;0,ROUND(Y76,0),0)</f>
        <v>11603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7.24</v>
      </c>
      <c r="U756" s="276"/>
      <c r="V756" s="277"/>
      <c r="W756" s="276"/>
      <c r="X756" s="276"/>
      <c r="Y756" s="276">
        <f t="shared" si="22"/>
        <v>3951999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204*2021*7150*A</v>
      </c>
      <c r="B757" s="276">
        <f>ROUND(Z59,0)</f>
        <v>0</v>
      </c>
      <c r="C757" s="278">
        <f>ROUND(Z60,2)</f>
        <v>44.18</v>
      </c>
      <c r="D757" s="276">
        <f>ROUND(Z61,0)</f>
        <v>8231417</v>
      </c>
      <c r="E757" s="276">
        <f>ROUND(Z62,0)</f>
        <v>2073738</v>
      </c>
      <c r="F757" s="276">
        <f>ROUND(Z63,0)</f>
        <v>410680</v>
      </c>
      <c r="G757" s="276">
        <f>ROUND(Z64,0)</f>
        <v>993232</v>
      </c>
      <c r="H757" s="276">
        <f>ROUND(Z65,0)</f>
        <v>286483</v>
      </c>
      <c r="I757" s="276">
        <f>ROUND(Z66,0)</f>
        <v>2449146</v>
      </c>
      <c r="J757" s="276">
        <f>ROUND(Z67,0)</f>
        <v>2027171</v>
      </c>
      <c r="K757" s="276">
        <f>ROUND(Z68,0)</f>
        <v>1656260</v>
      </c>
      <c r="L757" s="276">
        <f>ROUND(Z69,0)</f>
        <v>5530926</v>
      </c>
      <c r="M757" s="276">
        <f>ROUND(Z70,0)</f>
        <v>137569</v>
      </c>
      <c r="N757" s="276">
        <f>ROUND(Z75,0)</f>
        <v>144321229</v>
      </c>
      <c r="O757" s="276">
        <f>ROUND(Z73,0)</f>
        <v>0</v>
      </c>
      <c r="P757" s="276">
        <f>IF(Z76&gt;0,ROUND(Z76,0),0)</f>
        <v>47508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6.63</v>
      </c>
      <c r="U757" s="276"/>
      <c r="V757" s="277"/>
      <c r="W757" s="276"/>
      <c r="X757" s="276"/>
      <c r="Y757" s="276">
        <f t="shared" si="22"/>
        <v>13406875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204*2021*7160*A</v>
      </c>
      <c r="B758" s="276">
        <f>ROUND(AA59,0)</f>
        <v>0</v>
      </c>
      <c r="C758" s="278">
        <f>ROUND(AA60,2)</f>
        <v>2.3199999999999998</v>
      </c>
      <c r="D758" s="276">
        <f>ROUND(AA61,0)</f>
        <v>269301</v>
      </c>
      <c r="E758" s="276">
        <f>ROUND(AA62,0)</f>
        <v>71856</v>
      </c>
      <c r="F758" s="276">
        <f>ROUND(AA63,0)</f>
        <v>0</v>
      </c>
      <c r="G758" s="276">
        <f>ROUND(AA64,0)</f>
        <v>7960559</v>
      </c>
      <c r="H758" s="276">
        <f>ROUND(AA65,0)</f>
        <v>1337</v>
      </c>
      <c r="I758" s="276">
        <f>ROUND(AA66,0)</f>
        <v>34499</v>
      </c>
      <c r="J758" s="276">
        <f>ROUND(AA67,0)</f>
        <v>58284</v>
      </c>
      <c r="K758" s="276">
        <f>ROUND(AA68,0)</f>
        <v>0</v>
      </c>
      <c r="L758" s="276">
        <f>ROUND(AA69,0)</f>
        <v>54497</v>
      </c>
      <c r="M758" s="276">
        <f>ROUND(AA70,0)</f>
        <v>503361</v>
      </c>
      <c r="N758" s="276">
        <f>ROUND(AA75,0)</f>
        <v>17416757</v>
      </c>
      <c r="O758" s="276">
        <f>ROUND(AA73,0)</f>
        <v>0</v>
      </c>
      <c r="P758" s="276">
        <f>IF(AA76&gt;0,ROUND(AA76,0),0)</f>
        <v>1366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2477650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204*2021*7170*A</v>
      </c>
      <c r="B759" s="276"/>
      <c r="C759" s="278">
        <f>ROUND(AB60,2)</f>
        <v>62.59</v>
      </c>
      <c r="D759" s="276">
        <f>ROUND(AB61,0)</f>
        <v>4594835</v>
      </c>
      <c r="E759" s="276">
        <f>ROUND(AB62,0)</f>
        <v>1235099</v>
      </c>
      <c r="F759" s="276">
        <f>ROUND(AB63,0)</f>
        <v>12250</v>
      </c>
      <c r="G759" s="276">
        <f>ROUND(AB64,0)</f>
        <v>304021060</v>
      </c>
      <c r="H759" s="276">
        <f>ROUND(AB65,0)</f>
        <v>5212</v>
      </c>
      <c r="I759" s="276">
        <f>ROUND(AB66,0)</f>
        <v>12198642</v>
      </c>
      <c r="J759" s="276">
        <f>ROUND(AB67,0)</f>
        <v>454495</v>
      </c>
      <c r="K759" s="276">
        <f>ROUND(AB68,0)</f>
        <v>279485</v>
      </c>
      <c r="L759" s="276">
        <f>ROUND(AB69,0)</f>
        <v>1271576</v>
      </c>
      <c r="M759" s="276">
        <f>ROUND(AB70,0)</f>
        <v>72953140</v>
      </c>
      <c r="N759" s="276">
        <f>ROUND(AB75,0)</f>
        <v>712464497</v>
      </c>
      <c r="O759" s="276">
        <f>ROUND(AB73,0)</f>
        <v>0</v>
      </c>
      <c r="P759" s="276">
        <f>IF(AB76&gt;0,ROUND(AB76,0),0)</f>
        <v>10651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80976609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204*2021*7180*A</v>
      </c>
      <c r="B760" s="276">
        <f>ROUND(AC59,0)</f>
        <v>0</v>
      </c>
      <c r="C760" s="278">
        <f>ROUND(AC60,2)</f>
        <v>2.4</v>
      </c>
      <c r="D760" s="276">
        <f>ROUND(AC61,0)</f>
        <v>182808</v>
      </c>
      <c r="E760" s="276">
        <f>ROUND(AC62,0)</f>
        <v>49178</v>
      </c>
      <c r="F760" s="276">
        <f>ROUND(AC63,0)</f>
        <v>0</v>
      </c>
      <c r="G760" s="276">
        <f>ROUND(AC64,0)</f>
        <v>70584</v>
      </c>
      <c r="H760" s="276">
        <f>ROUND(AC65,0)</f>
        <v>0</v>
      </c>
      <c r="I760" s="276">
        <f>ROUND(AC66,0)</f>
        <v>0</v>
      </c>
      <c r="J760" s="276">
        <f>ROUND(AC67,0)</f>
        <v>27014</v>
      </c>
      <c r="K760" s="276">
        <f>ROUND(AC68,0)</f>
        <v>0</v>
      </c>
      <c r="L760" s="276">
        <f>ROUND(AC69,0)</f>
        <v>14661</v>
      </c>
      <c r="M760" s="276">
        <f>ROUND(AC70,0)</f>
        <v>22520</v>
      </c>
      <c r="N760" s="276">
        <f>ROUND(AC75,0)</f>
        <v>1873244</v>
      </c>
      <c r="O760" s="276">
        <f>ROUND(AC73,0)</f>
        <v>0</v>
      </c>
      <c r="P760" s="276">
        <f>IF(AC76&gt;0,ROUND(AC76,0),0)</f>
        <v>633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182233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204*2021*7190*A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204*2021*7200*A</v>
      </c>
      <c r="B762" s="276">
        <f>ROUND(AE59,0)</f>
        <v>0</v>
      </c>
      <c r="C762" s="278">
        <f>ROUND(AE60,2)</f>
        <v>9.0399999999999991</v>
      </c>
      <c r="D762" s="276">
        <f>ROUND(AE61,0)</f>
        <v>1006300</v>
      </c>
      <c r="E762" s="276">
        <f>ROUND(AE62,0)</f>
        <v>268436</v>
      </c>
      <c r="F762" s="276">
        <f>ROUND(AE63,0)</f>
        <v>0</v>
      </c>
      <c r="G762" s="276">
        <f>ROUND(AE64,0)</f>
        <v>9370</v>
      </c>
      <c r="H762" s="276">
        <f>ROUND(AE65,0)</f>
        <v>0</v>
      </c>
      <c r="I762" s="276">
        <f>ROUND(AE66,0)</f>
        <v>349</v>
      </c>
      <c r="J762" s="276">
        <f>ROUND(AE67,0)</f>
        <v>59307</v>
      </c>
      <c r="K762" s="276">
        <f>ROUND(AE68,0)</f>
        <v>13217</v>
      </c>
      <c r="L762" s="276">
        <f>ROUND(AE69,0)</f>
        <v>13198</v>
      </c>
      <c r="M762" s="276">
        <f>ROUND(AE70,0)</f>
        <v>10251</v>
      </c>
      <c r="N762" s="276">
        <f>ROUND(AE75,0)</f>
        <v>2616382</v>
      </c>
      <c r="O762" s="276">
        <f>ROUND(AE73,0)</f>
        <v>0</v>
      </c>
      <c r="P762" s="276">
        <f>IF(AE76&gt;0,ROUND(AE76,0),0)</f>
        <v>1390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510395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204*2021*7220*A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204*2021*7230*A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2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204*2021*7240*A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204*2021*7250*A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204*2021*7260*A</v>
      </c>
      <c r="B767" s="276">
        <f>ROUND(AJ59,0)</f>
        <v>103233</v>
      </c>
      <c r="C767" s="278">
        <f>ROUND(AJ60,2)</f>
        <v>484.85</v>
      </c>
      <c r="D767" s="276">
        <f>ROUND(AJ61,0)</f>
        <v>39737063</v>
      </c>
      <c r="E767" s="276">
        <f>ROUND(AJ62,0)</f>
        <v>10695093</v>
      </c>
      <c r="F767" s="276">
        <f>ROUND(AJ63,0)</f>
        <v>23188</v>
      </c>
      <c r="G767" s="276">
        <f>ROUND(AJ64,0)</f>
        <v>1509730</v>
      </c>
      <c r="H767" s="276">
        <f>ROUND(AJ65,0)</f>
        <v>59547</v>
      </c>
      <c r="I767" s="276">
        <f>ROUND(AJ66,0)</f>
        <v>54664560</v>
      </c>
      <c r="J767" s="276">
        <f>ROUND(AJ67,0)</f>
        <v>3794928</v>
      </c>
      <c r="K767" s="276">
        <f>ROUND(AJ68,0)</f>
        <v>714661</v>
      </c>
      <c r="L767" s="276">
        <f>ROUND(AJ69,0)</f>
        <v>1151352</v>
      </c>
      <c r="M767" s="276">
        <f>ROUND(AJ70,0)</f>
        <v>2428863</v>
      </c>
      <c r="N767" s="276">
        <f>ROUND(AJ75,0)</f>
        <v>89828751</v>
      </c>
      <c r="O767" s="276">
        <f>ROUND(AJ73,0)</f>
        <v>0</v>
      </c>
      <c r="P767" s="276">
        <f>IF(AJ76&gt;0,ROUND(AJ76,0),0)</f>
        <v>88936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184.27</v>
      </c>
      <c r="U767" s="276"/>
      <c r="V767" s="277"/>
      <c r="W767" s="276"/>
      <c r="X767" s="276"/>
      <c r="Y767" s="276">
        <f t="shared" si="22"/>
        <v>44323166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204*2021*7310*A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204*2021*7320*A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204*2021*7330*A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204*2021*7340*A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204*2021*7350*A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204*2021*7380*A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2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204*2021*7390*A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204*2021*7400*A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204*2021*7410*A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204*2021*7420*A</v>
      </c>
      <c r="B777" s="276">
        <f>ROUND(AT59,0)</f>
        <v>442</v>
      </c>
      <c r="C777" s="278">
        <f>ROUND(AT60,2)</f>
        <v>29.3</v>
      </c>
      <c r="D777" s="276">
        <f>ROUND(AT61,0)</f>
        <v>2058672</v>
      </c>
      <c r="E777" s="276">
        <f>ROUND(AT62,0)</f>
        <v>554931</v>
      </c>
      <c r="F777" s="276">
        <f>ROUND(AT63,0)</f>
        <v>0</v>
      </c>
      <c r="G777" s="276">
        <f>ROUND(AT64,0)</f>
        <v>3596</v>
      </c>
      <c r="H777" s="276">
        <f>ROUND(AT65,0)</f>
        <v>729</v>
      </c>
      <c r="I777" s="276">
        <f>ROUND(AT66,0)</f>
        <v>12476873</v>
      </c>
      <c r="J777" s="276">
        <f>ROUND(AT67,0)</f>
        <v>81072</v>
      </c>
      <c r="K777" s="276">
        <f>ROUND(AT68,0)</f>
        <v>0</v>
      </c>
      <c r="L777" s="276">
        <f>ROUND(AT69,0)</f>
        <v>55857</v>
      </c>
      <c r="M777" s="276">
        <f>ROUND(AT70,0)</f>
        <v>7009528</v>
      </c>
      <c r="N777" s="276">
        <f>ROUND(AT75,0)</f>
        <v>13383990</v>
      </c>
      <c r="O777" s="276">
        <f>ROUND(AT73,0)</f>
        <v>0</v>
      </c>
      <c r="P777" s="276">
        <f>IF(AT76&gt;0,ROUND(AT76,0),0)</f>
        <v>1900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2378617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204*2021*7430*A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204*2021*7490*A</v>
      </c>
      <c r="B779" s="276"/>
      <c r="C779" s="278">
        <f>ROUND(AV60,2)</f>
        <v>41.6</v>
      </c>
      <c r="D779" s="276">
        <f>ROUND(AV61,0)</f>
        <v>4103564</v>
      </c>
      <c r="E779" s="276">
        <f>ROUND(AV62,0)</f>
        <v>1099971</v>
      </c>
      <c r="F779" s="276">
        <f>ROUND(AV63,0)</f>
        <v>0</v>
      </c>
      <c r="G779" s="276">
        <f>ROUND(AV64,0)</f>
        <v>769109</v>
      </c>
      <c r="H779" s="276">
        <f>ROUND(AV65,0)</f>
        <v>3536</v>
      </c>
      <c r="I779" s="276">
        <f>ROUND(AV66,0)</f>
        <v>164292</v>
      </c>
      <c r="J779" s="276">
        <f>ROUND(AV67,0)</f>
        <v>306774</v>
      </c>
      <c r="K779" s="276">
        <f>ROUND(AV68,0)</f>
        <v>0</v>
      </c>
      <c r="L779" s="276">
        <f>ROUND(AV69,0)</f>
        <v>233491</v>
      </c>
      <c r="M779" s="276">
        <f>ROUND(AV70,0)</f>
        <v>1431941</v>
      </c>
      <c r="N779" s="276">
        <f>ROUND(AV75,0)</f>
        <v>22599510</v>
      </c>
      <c r="O779" s="276">
        <f>ROUND(AV73,0)</f>
        <v>0</v>
      </c>
      <c r="P779" s="276">
        <f>IF(AV76&gt;0,ROUND(AV76,0),0)</f>
        <v>7189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49.04</v>
      </c>
      <c r="U779" s="276"/>
      <c r="V779" s="277"/>
      <c r="W779" s="276"/>
      <c r="X779" s="276"/>
      <c r="Y779" s="276">
        <f t="shared" si="22"/>
        <v>4910407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204*2021*8200*A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204*2021*8310*A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204*2021*8320*A</v>
      </c>
      <c r="B782" s="276">
        <f>ROUND(AY59,0)</f>
        <v>0</v>
      </c>
      <c r="C782" s="278">
        <f>ROUND(AY60,2)</f>
        <v>9.4499999999999993</v>
      </c>
      <c r="D782" s="276">
        <f>ROUND(AY61,0)</f>
        <v>813986</v>
      </c>
      <c r="E782" s="276">
        <f>ROUND(AY62,0)</f>
        <v>219200</v>
      </c>
      <c r="F782" s="276">
        <f>ROUND(AY63,0)</f>
        <v>0</v>
      </c>
      <c r="G782" s="276">
        <f>ROUND(AY64,0)</f>
        <v>915</v>
      </c>
      <c r="H782" s="276">
        <f>ROUND(AY65,0)</f>
        <v>2752</v>
      </c>
      <c r="I782" s="276">
        <f>ROUND(AY66,0)</f>
        <v>150</v>
      </c>
      <c r="J782" s="276">
        <f>ROUND(AY67,0)</f>
        <v>6209</v>
      </c>
      <c r="K782" s="276">
        <f>ROUND(AY68,0)</f>
        <v>0</v>
      </c>
      <c r="L782" s="276">
        <f>ROUND(AY69,0)</f>
        <v>3722</v>
      </c>
      <c r="M782" s="276">
        <f>ROUND(AY70,0)</f>
        <v>626</v>
      </c>
      <c r="N782" s="276"/>
      <c r="O782" s="276"/>
      <c r="P782" s="276">
        <f>IF(AY76&gt;0,ROUND(AY76,0),0)</f>
        <v>146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204*2021*8330*A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83</v>
      </c>
      <c r="G783" s="276">
        <f>ROUND(AZ64,0)</f>
        <v>285707</v>
      </c>
      <c r="H783" s="276">
        <f>ROUND(AZ65,0)</f>
        <v>0</v>
      </c>
      <c r="I783" s="276">
        <f>ROUND(AZ66,0)</f>
        <v>1275</v>
      </c>
      <c r="J783" s="276">
        <f>ROUND(AZ67,0)</f>
        <v>90795</v>
      </c>
      <c r="K783" s="276">
        <f>ROUND(AZ68,0)</f>
        <v>0</v>
      </c>
      <c r="L783" s="276">
        <f>ROUND(AZ69,0)</f>
        <v>720996</v>
      </c>
      <c r="M783" s="276">
        <f>ROUND(AZ70,0)</f>
        <v>0</v>
      </c>
      <c r="N783" s="276"/>
      <c r="O783" s="276"/>
      <c r="P783" s="276">
        <f>IF(AZ76&gt;0,ROUND(AZ76,0),0)</f>
        <v>2128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204*2021*8350*A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6076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204*2021*8360*A</v>
      </c>
      <c r="B785" s="276"/>
      <c r="C785" s="278">
        <f>ROUND(BB60,2)</f>
        <v>26.96</v>
      </c>
      <c r="D785" s="276">
        <f>ROUND(BB61,0)</f>
        <v>2353793</v>
      </c>
      <c r="E785" s="276">
        <f>ROUND(BB62,0)</f>
        <v>611646</v>
      </c>
      <c r="F785" s="276">
        <f>ROUND(BB63,0)</f>
        <v>3020</v>
      </c>
      <c r="G785" s="276">
        <f>ROUND(BB64,0)</f>
        <v>3177</v>
      </c>
      <c r="H785" s="276">
        <f>ROUND(BB65,0)</f>
        <v>3852</v>
      </c>
      <c r="I785" s="276">
        <f>ROUND(BB66,0)</f>
        <v>1984132</v>
      </c>
      <c r="J785" s="276">
        <f>ROUND(BB67,0)</f>
        <v>50183</v>
      </c>
      <c r="K785" s="276">
        <f>ROUND(BB68,0)</f>
        <v>2033</v>
      </c>
      <c r="L785" s="276">
        <f>ROUND(BB69,0)</f>
        <v>241548</v>
      </c>
      <c r="M785" s="276">
        <f>ROUND(BB70,0)</f>
        <v>103861</v>
      </c>
      <c r="N785" s="276"/>
      <c r="O785" s="276"/>
      <c r="P785" s="276">
        <f>IF(BB76&gt;0,ROUND(BB76,0),0)</f>
        <v>1176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204*2021*8370*A</v>
      </c>
      <c r="B786" s="276"/>
      <c r="C786" s="278">
        <f>ROUND(BC60,2)</f>
        <v>1</v>
      </c>
      <c r="D786" s="276">
        <f>ROUND(BC61,0)</f>
        <v>72265</v>
      </c>
      <c r="E786" s="276">
        <f>ROUND(BC62,0)</f>
        <v>19477</v>
      </c>
      <c r="F786" s="276">
        <f>ROUND(BC63,0)</f>
        <v>0</v>
      </c>
      <c r="G786" s="276">
        <f>ROUND(BC64,0)</f>
        <v>4119</v>
      </c>
      <c r="H786" s="276">
        <f>ROUND(BC65,0)</f>
        <v>331</v>
      </c>
      <c r="I786" s="276">
        <f>ROUND(BC66,0)</f>
        <v>1796656</v>
      </c>
      <c r="J786" s="276">
        <f>ROUND(BC67,0)</f>
        <v>9847</v>
      </c>
      <c r="K786" s="276">
        <f>ROUND(BC68,0)</f>
        <v>2139332</v>
      </c>
      <c r="L786" s="276">
        <f>ROUND(BC69,0)</f>
        <v>337234</v>
      </c>
      <c r="M786" s="276">
        <f>ROUND(BC70,0)</f>
        <v>1494716</v>
      </c>
      <c r="N786" s="276"/>
      <c r="O786" s="276"/>
      <c r="P786" s="276">
        <f>IF(BC76&gt;0,ROUND(BC76,0),0)</f>
        <v>231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204*2021*8420*A</v>
      </c>
      <c r="B787" s="276"/>
      <c r="C787" s="278">
        <f>ROUND(BD60,2)</f>
        <v>46.8</v>
      </c>
      <c r="D787" s="276">
        <f>ROUND(BD61,0)</f>
        <v>2476816</v>
      </c>
      <c r="E787" s="276">
        <f>ROUND(BD62,0)</f>
        <v>672346</v>
      </c>
      <c r="F787" s="276">
        <f>ROUND(BD63,0)</f>
        <v>332</v>
      </c>
      <c r="G787" s="276">
        <f>ROUND(BD64,0)</f>
        <v>2577172</v>
      </c>
      <c r="H787" s="276">
        <f>ROUND(BD65,0)</f>
        <v>14108</v>
      </c>
      <c r="I787" s="276">
        <f>ROUND(BD66,0)</f>
        <v>553631</v>
      </c>
      <c r="J787" s="276">
        <f>ROUND(BD67,0)</f>
        <v>73332</v>
      </c>
      <c r="K787" s="276">
        <f>ROUND(BD68,0)</f>
        <v>0</v>
      </c>
      <c r="L787" s="276">
        <f>ROUND(BD69,0)</f>
        <v>186292</v>
      </c>
      <c r="M787" s="276">
        <f>ROUND(BD70,0)</f>
        <v>90327</v>
      </c>
      <c r="N787" s="276"/>
      <c r="O787" s="276"/>
      <c r="P787" s="276">
        <f>IF(BD76&gt;0,ROUND(BD76,0),0)</f>
        <v>1719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204*2021*8430*A</v>
      </c>
      <c r="B788" s="276">
        <f>ROUND(BE59,0)</f>
        <v>589133</v>
      </c>
      <c r="C788" s="278">
        <f>ROUND(BE60,2)</f>
        <v>9.9600000000000009</v>
      </c>
      <c r="D788" s="276">
        <f>ROUND(BE61,0)</f>
        <v>975015</v>
      </c>
      <c r="E788" s="276">
        <f>ROUND(BE62,0)</f>
        <v>260458</v>
      </c>
      <c r="F788" s="276">
        <f>ROUND(BE63,0)</f>
        <v>-698</v>
      </c>
      <c r="G788" s="276">
        <f>ROUND(BE64,0)</f>
        <v>726243</v>
      </c>
      <c r="H788" s="276">
        <f>ROUND(BE65,0)</f>
        <v>1363396</v>
      </c>
      <c r="I788" s="276">
        <f>ROUND(BE66,0)</f>
        <v>5032131</v>
      </c>
      <c r="J788" s="276">
        <f>ROUND(BE67,0)</f>
        <v>5633142</v>
      </c>
      <c r="K788" s="276">
        <f>ROUND(BE68,0)</f>
        <v>139689</v>
      </c>
      <c r="L788" s="276">
        <f>ROUND(BE69,0)</f>
        <v>1333733</v>
      </c>
      <c r="M788" s="276">
        <f>ROUND(BE70,0)</f>
        <v>0</v>
      </c>
      <c r="N788" s="276"/>
      <c r="O788" s="276"/>
      <c r="P788" s="276">
        <f>IF(BE76&gt;0,ROUND(BE76,0),0)</f>
        <v>132016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204*2021*8460*A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204*2021*8470*A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204*2021*8480*A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204*2021*8490*A</v>
      </c>
      <c r="B792" s="276"/>
      <c r="C792" s="278">
        <f>ROUND(BI60,2)</f>
        <v>1.1100000000000001</v>
      </c>
      <c r="D792" s="276">
        <f>ROUND(BI61,0)</f>
        <v>56096</v>
      </c>
      <c r="E792" s="276">
        <f>ROUND(BI62,0)</f>
        <v>15175</v>
      </c>
      <c r="F792" s="276">
        <f>ROUND(BI63,0)</f>
        <v>735</v>
      </c>
      <c r="G792" s="276">
        <f>ROUND(BI64,0)</f>
        <v>60430</v>
      </c>
      <c r="H792" s="276">
        <f>ROUND(BI65,0)</f>
        <v>3023</v>
      </c>
      <c r="I792" s="276">
        <f>ROUND(BI66,0)</f>
        <v>120338</v>
      </c>
      <c r="J792" s="276">
        <f>ROUND(BI67,0)</f>
        <v>11268</v>
      </c>
      <c r="K792" s="276">
        <f>ROUND(BI68,0)</f>
        <v>0</v>
      </c>
      <c r="L792" s="276">
        <f>ROUND(BI69,0)</f>
        <v>15583</v>
      </c>
      <c r="M792" s="276">
        <f>ROUND(BI70,0)</f>
        <v>137182</v>
      </c>
      <c r="N792" s="276"/>
      <c r="O792" s="276"/>
      <c r="P792" s="276">
        <f>IF(BI76&gt;0,ROUND(BI76,0),0)</f>
        <v>264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204*2021*8510*A</v>
      </c>
      <c r="B793" s="276"/>
      <c r="C793" s="278">
        <f>ROUND(BJ60,2)</f>
        <v>23.69</v>
      </c>
      <c r="D793" s="276">
        <f>ROUND(BJ61,0)</f>
        <v>1982486</v>
      </c>
      <c r="E793" s="276">
        <f>ROUND(BJ62,0)</f>
        <v>534004</v>
      </c>
      <c r="F793" s="276">
        <f>ROUND(BJ63,0)</f>
        <v>352083</v>
      </c>
      <c r="G793" s="276">
        <f>ROUND(BJ64,0)</f>
        <v>3592</v>
      </c>
      <c r="H793" s="276">
        <f>ROUND(BJ65,0)</f>
        <v>749</v>
      </c>
      <c r="I793" s="276">
        <f>ROUND(BJ66,0)</f>
        <v>539364</v>
      </c>
      <c r="J793" s="276">
        <f>ROUND(BJ67,0)</f>
        <v>95890</v>
      </c>
      <c r="K793" s="276">
        <f>ROUND(BJ68,0)</f>
        <v>0</v>
      </c>
      <c r="L793" s="276">
        <f>ROUND(BJ69,0)</f>
        <v>176078</v>
      </c>
      <c r="M793" s="276">
        <f>ROUND(BJ70,0)</f>
        <v>0</v>
      </c>
      <c r="N793" s="276"/>
      <c r="O793" s="276"/>
      <c r="P793" s="276">
        <f>IF(BJ76&gt;0,ROUND(BJ76,0),0)</f>
        <v>2247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204*2021*8530*A</v>
      </c>
      <c r="B794" s="276"/>
      <c r="C794" s="278">
        <f>ROUND(BK60,2)</f>
        <v>67.959999999999994</v>
      </c>
      <c r="D794" s="276">
        <f>ROUND(BK61,0)</f>
        <v>3571817</v>
      </c>
      <c r="E794" s="276">
        <f>ROUND(BK62,0)</f>
        <v>963027</v>
      </c>
      <c r="F794" s="276">
        <f>ROUND(BK63,0)</f>
        <v>4287104</v>
      </c>
      <c r="G794" s="276">
        <f>ROUND(BK64,0)</f>
        <v>9388</v>
      </c>
      <c r="H794" s="276">
        <f>ROUND(BK65,0)</f>
        <v>1832</v>
      </c>
      <c r="I794" s="276">
        <f>ROUND(BK66,0)</f>
        <v>900323</v>
      </c>
      <c r="J794" s="276">
        <f>ROUND(BK67,0)</f>
        <v>246356</v>
      </c>
      <c r="K794" s="276">
        <f>ROUND(BK68,0)</f>
        <v>0</v>
      </c>
      <c r="L794" s="276">
        <f>ROUND(BK69,0)</f>
        <v>38643</v>
      </c>
      <c r="M794" s="276">
        <f>ROUND(BK70,0)</f>
        <v>314949</v>
      </c>
      <c r="N794" s="276"/>
      <c r="O794" s="276"/>
      <c r="P794" s="276">
        <f>IF(BK76&gt;0,ROUND(BK76,0),0)</f>
        <v>5773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204*2021*8560*A</v>
      </c>
      <c r="B795" s="276"/>
      <c r="C795" s="278">
        <f>ROUND(BL60,2)</f>
        <v>31.1</v>
      </c>
      <c r="D795" s="276">
        <f>ROUND(BL61,0)</f>
        <v>2259127</v>
      </c>
      <c r="E795" s="276">
        <f>ROUND(BL62,0)</f>
        <v>607703</v>
      </c>
      <c r="F795" s="276">
        <f>ROUND(BL63,0)</f>
        <v>0</v>
      </c>
      <c r="G795" s="276">
        <f>ROUND(BL64,0)</f>
        <v>20214</v>
      </c>
      <c r="H795" s="276">
        <f>ROUND(BL65,0)</f>
        <v>2078</v>
      </c>
      <c r="I795" s="276">
        <f>ROUND(BL66,0)</f>
        <v>238103</v>
      </c>
      <c r="J795" s="276">
        <f>ROUND(BL67,0)</f>
        <v>291030</v>
      </c>
      <c r="K795" s="276">
        <f>ROUND(BL68,0)</f>
        <v>0</v>
      </c>
      <c r="L795" s="276">
        <f>ROUND(BL69,0)</f>
        <v>102345</v>
      </c>
      <c r="M795" s="276">
        <f>ROUND(BL70,0)</f>
        <v>762171</v>
      </c>
      <c r="N795" s="276"/>
      <c r="O795" s="276"/>
      <c r="P795" s="276">
        <f>IF(BL76&gt;0,ROUND(BL76,0),0)</f>
        <v>6820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204*2021*8590*A</v>
      </c>
      <c r="B796" s="276"/>
      <c r="C796" s="278">
        <f>ROUND(BM60,2)</f>
        <v>13.81</v>
      </c>
      <c r="D796" s="276">
        <f>ROUND(BM61,0)</f>
        <v>1525391</v>
      </c>
      <c r="E796" s="276">
        <f>ROUND(BM62,0)</f>
        <v>406228</v>
      </c>
      <c r="F796" s="276">
        <f>ROUND(BM63,0)</f>
        <v>422509</v>
      </c>
      <c r="G796" s="276">
        <f>ROUND(BM64,0)</f>
        <v>22</v>
      </c>
      <c r="H796" s="276">
        <f>ROUND(BM65,0)</f>
        <v>3095</v>
      </c>
      <c r="I796" s="276">
        <f>ROUND(BM66,0)</f>
        <v>1524000</v>
      </c>
      <c r="J796" s="276">
        <f>ROUND(BM67,0)</f>
        <v>41351</v>
      </c>
      <c r="K796" s="276">
        <f>ROUND(BM68,0)</f>
        <v>0</v>
      </c>
      <c r="L796" s="276">
        <f>ROUND(BM69,0)</f>
        <v>173599</v>
      </c>
      <c r="M796" s="276">
        <f>ROUND(BM70,0)</f>
        <v>47093</v>
      </c>
      <c r="N796" s="276"/>
      <c r="O796" s="276"/>
      <c r="P796" s="276">
        <f>IF(BM76&gt;0,ROUND(BM76,0),0)</f>
        <v>969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204*2021*8610*A</v>
      </c>
      <c r="B797" s="276"/>
      <c r="C797" s="278">
        <f>ROUND(BN60,2)</f>
        <v>104.32</v>
      </c>
      <c r="D797" s="276">
        <f>ROUND(BN61,0)</f>
        <v>16688710</v>
      </c>
      <c r="E797" s="276">
        <f>ROUND(BN62,0)</f>
        <v>4766544</v>
      </c>
      <c r="F797" s="276">
        <f>ROUND(BN63,0)</f>
        <v>3192828</v>
      </c>
      <c r="G797" s="276">
        <f>ROUND(BN64,0)</f>
        <v>74066</v>
      </c>
      <c r="H797" s="276">
        <f>ROUND(BN65,0)</f>
        <v>43868</v>
      </c>
      <c r="I797" s="276">
        <f>ROUND(BN66,0)</f>
        <v>1807004</v>
      </c>
      <c r="J797" s="276">
        <f>ROUND(BN67,0)</f>
        <v>529773</v>
      </c>
      <c r="K797" s="276">
        <f>ROUND(BN68,0)</f>
        <v>0</v>
      </c>
      <c r="L797" s="276">
        <f>ROUND(BN69,0)</f>
        <v>3998080</v>
      </c>
      <c r="M797" s="276">
        <f>ROUND(BN70,0)</f>
        <v>1397297</v>
      </c>
      <c r="N797" s="276"/>
      <c r="O797" s="276"/>
      <c r="P797" s="276">
        <f>IF(BN76&gt;0,ROUND(BN76,0),0)</f>
        <v>12416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204*2021*8620*A</v>
      </c>
      <c r="B798" s="276"/>
      <c r="C798" s="278">
        <f>ROUND(BO60,2)</f>
        <v>10.48</v>
      </c>
      <c r="D798" s="276">
        <f>ROUND(BO61,0)</f>
        <v>967092</v>
      </c>
      <c r="E798" s="276">
        <f>ROUND(BO62,0)</f>
        <v>258001</v>
      </c>
      <c r="F798" s="276">
        <f>ROUND(BO63,0)</f>
        <v>294</v>
      </c>
      <c r="G798" s="276">
        <f>ROUND(BO64,0)</f>
        <v>244542</v>
      </c>
      <c r="H798" s="276">
        <f>ROUND(BO65,0)</f>
        <v>714163</v>
      </c>
      <c r="I798" s="276">
        <f>ROUND(BO66,0)</f>
        <v>63429</v>
      </c>
      <c r="J798" s="276">
        <f>ROUND(BO67,0)</f>
        <v>50085</v>
      </c>
      <c r="K798" s="276">
        <f>ROUND(BO68,0)</f>
        <v>0</v>
      </c>
      <c r="L798" s="276">
        <f>ROUND(BO69,0)</f>
        <v>94618</v>
      </c>
      <c r="M798" s="276">
        <f>ROUND(BO70,0)</f>
        <v>0</v>
      </c>
      <c r="N798" s="276"/>
      <c r="O798" s="276"/>
      <c r="P798" s="276">
        <f>IF(BO76&gt;0,ROUND(BO76,0),0)</f>
        <v>1174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204*2021*8630*A</v>
      </c>
      <c r="B799" s="276"/>
      <c r="C799" s="278">
        <f>ROUND(BP60,2)</f>
        <v>15.61</v>
      </c>
      <c r="D799" s="276">
        <f>ROUND(BP61,0)</f>
        <v>1514780</v>
      </c>
      <c r="E799" s="276">
        <f>ROUND(BP62,0)</f>
        <v>406047</v>
      </c>
      <c r="F799" s="276">
        <f>ROUND(BP63,0)</f>
        <v>526579</v>
      </c>
      <c r="G799" s="276">
        <f>ROUND(BP64,0)</f>
        <v>2139</v>
      </c>
      <c r="H799" s="276">
        <f>ROUND(BP65,0)</f>
        <v>2989</v>
      </c>
      <c r="I799" s="276">
        <f>ROUND(BP66,0)</f>
        <v>189159</v>
      </c>
      <c r="J799" s="276">
        <f>ROUND(BP67,0)</f>
        <v>77570</v>
      </c>
      <c r="K799" s="276">
        <f>ROUND(BP68,0)</f>
        <v>0</v>
      </c>
      <c r="L799" s="276">
        <f>ROUND(BP69,0)</f>
        <v>4946248</v>
      </c>
      <c r="M799" s="276">
        <f>ROUND(BP70,0)</f>
        <v>967902</v>
      </c>
      <c r="N799" s="276"/>
      <c r="O799" s="276"/>
      <c r="P799" s="276">
        <f>IF(BP76&gt;0,ROUND(BP76,0),0)</f>
        <v>1818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204*2021*8640*A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204*2021*8650*A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204*2021*8660*A</v>
      </c>
      <c r="B802" s="276"/>
      <c r="C802" s="278">
        <f>ROUND(BS60,2)</f>
        <v>3.59</v>
      </c>
      <c r="D802" s="276">
        <f>ROUND(BS61,0)</f>
        <v>300686</v>
      </c>
      <c r="E802" s="276">
        <f>ROUND(BS62,0)</f>
        <v>80475</v>
      </c>
      <c r="F802" s="276">
        <f>ROUND(BS63,0)</f>
        <v>0</v>
      </c>
      <c r="G802" s="276">
        <f>ROUND(BS64,0)</f>
        <v>763</v>
      </c>
      <c r="H802" s="276">
        <f>ROUND(BS65,0)</f>
        <v>0</v>
      </c>
      <c r="I802" s="276">
        <f>ROUND(BS66,0)</f>
        <v>0</v>
      </c>
      <c r="J802" s="276">
        <f>ROUND(BS67,0)</f>
        <v>14387</v>
      </c>
      <c r="K802" s="276">
        <f>ROUND(BS68,0)</f>
        <v>0</v>
      </c>
      <c r="L802" s="276">
        <f>ROUND(BS69,0)</f>
        <v>10333</v>
      </c>
      <c r="M802" s="276">
        <f>ROUND(BS70,0)</f>
        <v>453</v>
      </c>
      <c r="N802" s="276"/>
      <c r="O802" s="276"/>
      <c r="P802" s="276">
        <f>IF(BS76&gt;0,ROUND(BS76,0),0)</f>
        <v>337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204*2021*8670*A</v>
      </c>
      <c r="B803" s="276"/>
      <c r="C803" s="278">
        <f>ROUND(BT60,2)</f>
        <v>4.54</v>
      </c>
      <c r="D803" s="276">
        <f>ROUND(BT61,0)</f>
        <v>386011</v>
      </c>
      <c r="E803" s="276">
        <f>ROUND(BT62,0)</f>
        <v>103887</v>
      </c>
      <c r="F803" s="276">
        <f>ROUND(BT63,0)</f>
        <v>0</v>
      </c>
      <c r="G803" s="276">
        <f>ROUND(BT64,0)</f>
        <v>2750</v>
      </c>
      <c r="H803" s="276">
        <f>ROUND(BT65,0)</f>
        <v>0</v>
      </c>
      <c r="I803" s="276">
        <f>ROUND(BT66,0)</f>
        <v>55856</v>
      </c>
      <c r="J803" s="276">
        <f>ROUND(BT67,0)</f>
        <v>24448</v>
      </c>
      <c r="K803" s="276">
        <f>ROUND(BT68,0)</f>
        <v>0</v>
      </c>
      <c r="L803" s="276">
        <f>ROUND(BT69,0)</f>
        <v>2537</v>
      </c>
      <c r="M803" s="276">
        <f>ROUND(BT70,0)</f>
        <v>914</v>
      </c>
      <c r="N803" s="276"/>
      <c r="O803" s="276"/>
      <c r="P803" s="276">
        <f>IF(BT76&gt;0,ROUND(BT76,0),0)</f>
        <v>573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204*2021*8680*A</v>
      </c>
      <c r="B804" s="276"/>
      <c r="C804" s="278">
        <f>ROUND(BU60,2)</f>
        <v>2.15</v>
      </c>
      <c r="D804" s="276">
        <f>ROUND(BU61,0)</f>
        <v>192594</v>
      </c>
      <c r="E804" s="276">
        <f>ROUND(BU62,0)</f>
        <v>52230</v>
      </c>
      <c r="F804" s="276">
        <f>ROUND(BU63,0)</f>
        <v>0</v>
      </c>
      <c r="G804" s="276">
        <f>ROUND(BU64,0)</f>
        <v>1553</v>
      </c>
      <c r="H804" s="276">
        <f>ROUND(BU65,0)</f>
        <v>394</v>
      </c>
      <c r="I804" s="276">
        <f>ROUND(BU66,0)</f>
        <v>0</v>
      </c>
      <c r="J804" s="276">
        <f>ROUND(BU67,0)</f>
        <v>49226</v>
      </c>
      <c r="K804" s="276">
        <f>ROUND(BU68,0)</f>
        <v>0</v>
      </c>
      <c r="L804" s="276">
        <f>ROUND(BU69,0)</f>
        <v>1084</v>
      </c>
      <c r="M804" s="276">
        <f>ROUND(BU70,0)</f>
        <v>0</v>
      </c>
      <c r="N804" s="276"/>
      <c r="O804" s="276"/>
      <c r="P804" s="276">
        <f>IF(BU76&gt;0,ROUND(BU76,0),0)</f>
        <v>1154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204*2021*8690*A</v>
      </c>
      <c r="B805" s="276"/>
      <c r="C805" s="278">
        <f>ROUND(BV60,2)</f>
        <v>68.510000000000005</v>
      </c>
      <c r="D805" s="276">
        <f>ROUND(BV61,0)</f>
        <v>4933856</v>
      </c>
      <c r="E805" s="276">
        <f>ROUND(BV62,0)</f>
        <v>1329166</v>
      </c>
      <c r="F805" s="276">
        <f>ROUND(BV63,0)</f>
        <v>0</v>
      </c>
      <c r="G805" s="276">
        <f>ROUND(BV64,0)</f>
        <v>30675</v>
      </c>
      <c r="H805" s="276">
        <f>ROUND(BV65,0)</f>
        <v>7769</v>
      </c>
      <c r="I805" s="276">
        <f>ROUND(BV66,0)</f>
        <v>1001373</v>
      </c>
      <c r="J805" s="276">
        <f>ROUND(BV67,0)</f>
        <v>106796</v>
      </c>
      <c r="K805" s="276">
        <f>ROUND(BV68,0)</f>
        <v>0</v>
      </c>
      <c r="L805" s="276">
        <f>ROUND(BV69,0)</f>
        <v>137210</v>
      </c>
      <c r="M805" s="276">
        <f>ROUND(BV70,0)</f>
        <v>248195</v>
      </c>
      <c r="N805" s="276"/>
      <c r="O805" s="276"/>
      <c r="P805" s="276">
        <f>IF(BV76&gt;0,ROUND(BV76,0),0)</f>
        <v>2503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204*2021*8700*A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204*2021*8710*A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204*2021*8720*A</v>
      </c>
      <c r="B808" s="276"/>
      <c r="C808" s="278">
        <f>ROUND(BY60,2)</f>
        <v>42.71</v>
      </c>
      <c r="D808" s="276">
        <f>ROUND(BY61,0)</f>
        <v>4946638</v>
      </c>
      <c r="E808" s="276">
        <f>ROUND(BY62,0)</f>
        <v>1318729</v>
      </c>
      <c r="F808" s="276">
        <f>ROUND(BY63,0)</f>
        <v>1163</v>
      </c>
      <c r="G808" s="276">
        <f>ROUND(BY64,0)</f>
        <v>154332</v>
      </c>
      <c r="H808" s="276">
        <f>ROUND(BY65,0)</f>
        <v>22827</v>
      </c>
      <c r="I808" s="276">
        <f>ROUND(BY66,0)</f>
        <v>1490685</v>
      </c>
      <c r="J808" s="276">
        <f>ROUND(BY67,0)</f>
        <v>196271</v>
      </c>
      <c r="K808" s="276">
        <f>ROUND(BY68,0)</f>
        <v>2566336</v>
      </c>
      <c r="L808" s="276">
        <f>ROUND(BY69,0)</f>
        <v>401737</v>
      </c>
      <c r="M808" s="276">
        <f>ROUND(BY70,0)</f>
        <v>387000</v>
      </c>
      <c r="N808" s="276"/>
      <c r="O808" s="276"/>
      <c r="P808" s="276">
        <f>IF(BY76&gt;0,ROUND(BY76,0),0)</f>
        <v>4600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204*2021*8730*A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204*2021*8740*A</v>
      </c>
      <c r="B810" s="276"/>
      <c r="C810" s="278">
        <f>ROUND(CA60,2)</f>
        <v>21.4</v>
      </c>
      <c r="D810" s="276">
        <f>ROUND(CA61,0)</f>
        <v>1782255</v>
      </c>
      <c r="E810" s="276">
        <f>ROUND(CA62,0)</f>
        <v>479017</v>
      </c>
      <c r="F810" s="276">
        <f>ROUND(CA63,0)</f>
        <v>0</v>
      </c>
      <c r="G810" s="276">
        <f>ROUND(CA64,0)</f>
        <v>2067</v>
      </c>
      <c r="H810" s="276">
        <f>ROUND(CA65,0)</f>
        <v>6875</v>
      </c>
      <c r="I810" s="276">
        <f>ROUND(CA66,0)</f>
        <v>0</v>
      </c>
      <c r="J810" s="276">
        <f>ROUND(CA67,0)</f>
        <v>27590</v>
      </c>
      <c r="K810" s="276">
        <f>ROUND(CA68,0)</f>
        <v>0</v>
      </c>
      <c r="L810" s="276">
        <f>ROUND(CA69,0)</f>
        <v>162973</v>
      </c>
      <c r="M810" s="276">
        <f>ROUND(CA70,0)</f>
        <v>65276</v>
      </c>
      <c r="N810" s="276"/>
      <c r="O810" s="276"/>
      <c r="P810" s="276">
        <f>IF(CA76&gt;0,ROUND(CA76,0),0)</f>
        <v>647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204*2021*8770*A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204*2021*8790*A</v>
      </c>
      <c r="B812" s="276"/>
      <c r="C812" s="278">
        <f>ROUND(CC60,2)</f>
        <v>177.99</v>
      </c>
      <c r="D812" s="276">
        <f>ROUND(CC61,0)</f>
        <v>16926955</v>
      </c>
      <c r="E812" s="276">
        <f>ROUND(CC62,0)</f>
        <v>4527640</v>
      </c>
      <c r="F812" s="276">
        <f>ROUND(CC63,0)</f>
        <v>1030884</v>
      </c>
      <c r="G812" s="276">
        <f>ROUND(CC64,0)</f>
        <v>140242</v>
      </c>
      <c r="H812" s="276">
        <f>ROUND(CC65,0)</f>
        <v>1275075</v>
      </c>
      <c r="I812" s="276">
        <f>ROUND(CC66,0)</f>
        <v>29087837</v>
      </c>
      <c r="J812" s="276">
        <f>ROUND(CC67,0)</f>
        <v>7597827</v>
      </c>
      <c r="K812" s="276">
        <f>ROUND(CC68,0)</f>
        <v>10485666</v>
      </c>
      <c r="L812" s="276">
        <f>ROUND(CC69,0)</f>
        <v>8778158</v>
      </c>
      <c r="M812" s="276">
        <f>ROUND(CC70,0)</f>
        <v>2373947</v>
      </c>
      <c r="N812" s="276"/>
      <c r="O812" s="276"/>
      <c r="P812" s="276">
        <f>IF(CC76&gt;0,ROUND(CC76,0),0)</f>
        <v>162614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204*2021*9000*A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7044743</v>
      </c>
      <c r="V813" s="277">
        <f>ROUND(CD70,0)</f>
        <v>-9698591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3">SUM(C734:C813)</f>
        <v>1744.1599999999996</v>
      </c>
      <c r="D815" s="277">
        <f t="shared" si="23"/>
        <v>158276303</v>
      </c>
      <c r="E815" s="277">
        <f t="shared" si="23"/>
        <v>42652887</v>
      </c>
      <c r="F815" s="277">
        <f t="shared" si="23"/>
        <v>10276939</v>
      </c>
      <c r="G815" s="277">
        <f t="shared" si="23"/>
        <v>340568592</v>
      </c>
      <c r="H815" s="277">
        <f t="shared" si="23"/>
        <v>53552578</v>
      </c>
      <c r="I815" s="277" t="e">
        <f t="shared" si="23"/>
        <v>#REF!</v>
      </c>
      <c r="J815" s="277">
        <f t="shared" si="23"/>
        <v>25138360</v>
      </c>
      <c r="K815" s="277">
        <f t="shared" si="23"/>
        <v>18324152</v>
      </c>
      <c r="L815" s="277">
        <f>SUM(L734:L813)+SUM(U734:U813)</f>
        <v>43441080</v>
      </c>
      <c r="M815" s="277">
        <f>SUM(M734:M813)+SUM(V734:V813)</f>
        <v>104440418</v>
      </c>
      <c r="N815" s="277">
        <f t="shared" ref="N815:Y815" si="24">SUM(N734:N813)</f>
        <v>1631435876</v>
      </c>
      <c r="O815" s="277">
        <f t="shared" si="24"/>
        <v>88231295</v>
      </c>
      <c r="P815" s="277">
        <f t="shared" si="24"/>
        <v>589134</v>
      </c>
      <c r="Q815" s="277">
        <f t="shared" si="24"/>
        <v>1</v>
      </c>
      <c r="R815" s="277">
        <f t="shared" si="24"/>
        <v>1</v>
      </c>
      <c r="S815" s="277">
        <f t="shared" si="24"/>
        <v>1</v>
      </c>
      <c r="T815" s="281">
        <f t="shared" si="24"/>
        <v>336.77000000000004</v>
      </c>
      <c r="U815" s="277">
        <f t="shared" si="24"/>
        <v>7044743</v>
      </c>
      <c r="V815" s="277">
        <f t="shared" si="24"/>
        <v>-9698591</v>
      </c>
      <c r="W815" s="277">
        <f t="shared" si="24"/>
        <v>0</v>
      </c>
      <c r="X815" s="277">
        <f t="shared" si="24"/>
        <v>0</v>
      </c>
      <c r="Y815" s="277">
        <f t="shared" si="24"/>
        <v>207149699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1744.1499746168586</v>
      </c>
      <c r="D816" s="277">
        <f>CE61</f>
        <v>158276304.88999999</v>
      </c>
      <c r="E816" s="277">
        <f>CE62</f>
        <v>42652887</v>
      </c>
      <c r="F816" s="277">
        <f>CE63</f>
        <v>10276938.659999998</v>
      </c>
      <c r="G816" s="277">
        <f>CE64</f>
        <v>340568588.33000004</v>
      </c>
      <c r="H816" s="280">
        <f>CE65</f>
        <v>3873947.15</v>
      </c>
      <c r="I816" s="280">
        <f>CE66</f>
        <v>198295399.10999995</v>
      </c>
      <c r="J816" s="280">
        <f>CE67</f>
        <v>25138360</v>
      </c>
      <c r="K816" s="280">
        <f>CE68</f>
        <v>18324151.800000001</v>
      </c>
      <c r="L816" s="280">
        <f>CE69</f>
        <v>43441078.770000018</v>
      </c>
      <c r="M816" s="280">
        <f>CE70</f>
        <v>104440414.61000004</v>
      </c>
      <c r="N816" s="277">
        <f>CE75</f>
        <v>1631435874.4400001</v>
      </c>
      <c r="O816" s="277">
        <f>CE73</f>
        <v>88231295.059999987</v>
      </c>
      <c r="P816" s="277">
        <f>CE76</f>
        <v>589132.54733370664</v>
      </c>
      <c r="Q816" s="277">
        <f>CE77</f>
        <v>1</v>
      </c>
      <c r="R816" s="277">
        <f>CE78</f>
        <v>1</v>
      </c>
      <c r="S816" s="277">
        <f>CE79</f>
        <v>1</v>
      </c>
      <c r="T816" s="281">
        <f>CE80</f>
        <v>336.77000000000004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207149699.70000002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158276305</v>
      </c>
      <c r="E817" s="180">
        <f>C379</f>
        <v>42652887</v>
      </c>
      <c r="F817" s="180">
        <f>C380</f>
        <v>10276939</v>
      </c>
      <c r="G817" s="240">
        <f>C381</f>
        <v>340568588</v>
      </c>
      <c r="H817" s="240">
        <f>C382</f>
        <v>3873947</v>
      </c>
      <c r="I817" s="240">
        <f>C383</f>
        <v>198295399</v>
      </c>
      <c r="J817" s="240">
        <f>C384</f>
        <v>25138359.940000001</v>
      </c>
      <c r="K817" s="240">
        <f>C385</f>
        <v>18324152</v>
      </c>
      <c r="L817" s="240">
        <f>C386+C387+C388+C389</f>
        <v>43441080</v>
      </c>
      <c r="M817" s="240">
        <f>C370</f>
        <v>104440416.22999999</v>
      </c>
      <c r="N817" s="180">
        <f>D361</f>
        <v>1631435873.9300003</v>
      </c>
      <c r="O817" s="180">
        <f>C359</f>
        <v>88231294.5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3" transitionEvaluation="1" transitionEntry="1" codeName="Sheet10">
    <pageSetUpPr autoPageBreaks="0" fitToPage="1"/>
  </sheetPr>
  <dimension ref="A1:CF816"/>
  <sheetViews>
    <sheetView showGridLines="0" topLeftCell="A73" zoomScale="75" workbookViewId="0">
      <selection activeCell="B34" sqref="B3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1229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1230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1256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1226</v>
      </c>
      <c r="C10" s="235"/>
    </row>
    <row r="11" spans="1:6" ht="12.75" customHeight="1" x14ac:dyDescent="0.35">
      <c r="A11" s="198" t="s">
        <v>1228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1263</v>
      </c>
      <c r="C16" s="235"/>
    </row>
    <row r="17" spans="1:7" ht="12.75" customHeight="1" x14ac:dyDescent="0.35">
      <c r="A17" s="292" t="s">
        <v>1262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1231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1251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1232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1233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1234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1235</v>
      </c>
      <c r="C36" s="235"/>
    </row>
    <row r="37" spans="1:84" ht="12.65" customHeight="1" x14ac:dyDescent="0.35">
      <c r="A37" s="199" t="s">
        <v>1227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1192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>
        <v>38692700.020000003</v>
      </c>
      <c r="C47" s="300">
        <v>101536.58</v>
      </c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>
        <v>3198903.72</v>
      </c>
      <c r="U47" s="300">
        <v>3549703.31</v>
      </c>
      <c r="V47" s="300"/>
      <c r="W47" s="300">
        <v>154514.10999999999</v>
      </c>
      <c r="X47" s="300">
        <v>383822.42</v>
      </c>
      <c r="Y47" s="300">
        <v>1171470.76</v>
      </c>
      <c r="Z47" s="300">
        <v>1288387.48</v>
      </c>
      <c r="AA47" s="300">
        <v>48459.7</v>
      </c>
      <c r="AB47" s="300">
        <v>921062.14</v>
      </c>
      <c r="AC47" s="300">
        <v>60700.959999999999</v>
      </c>
      <c r="AD47" s="300"/>
      <c r="AE47" s="300">
        <v>290270.76</v>
      </c>
      <c r="AF47" s="300"/>
      <c r="AG47" s="300"/>
      <c r="AH47" s="300"/>
      <c r="AI47" s="300"/>
      <c r="AJ47" s="300">
        <v>9363124.1099999994</v>
      </c>
      <c r="AK47" s="300"/>
      <c r="AL47" s="300"/>
      <c r="AM47" s="300"/>
      <c r="AN47" s="300"/>
      <c r="AO47" s="300"/>
      <c r="AP47" s="300"/>
      <c r="AQ47" s="300"/>
      <c r="AR47" s="300"/>
      <c r="AS47" s="300"/>
      <c r="AT47" s="300">
        <v>524775.81000000006</v>
      </c>
      <c r="AU47" s="300"/>
      <c r="AV47" s="300">
        <v>1033243.74</v>
      </c>
      <c r="AW47" s="300"/>
      <c r="AX47" s="300"/>
      <c r="AY47" s="300">
        <v>201619.78</v>
      </c>
      <c r="AZ47" s="300"/>
      <c r="BA47" s="300"/>
      <c r="BB47" s="300">
        <v>602343.87</v>
      </c>
      <c r="BC47" s="300">
        <v>62308.6</v>
      </c>
      <c r="BD47" s="300">
        <v>508442.16</v>
      </c>
      <c r="BE47" s="300">
        <v>172588.2</v>
      </c>
      <c r="BF47" s="300"/>
      <c r="BG47" s="300"/>
      <c r="BH47" s="300"/>
      <c r="BI47" s="300">
        <v>15062.38</v>
      </c>
      <c r="BJ47" s="300">
        <v>541216.80000000005</v>
      </c>
      <c r="BK47" s="300">
        <v>432697.93</v>
      </c>
      <c r="BL47" s="300">
        <v>969358.04</v>
      </c>
      <c r="BM47" s="300">
        <v>1136638.8600000001</v>
      </c>
      <c r="BN47" s="300">
        <v>4420863.41</v>
      </c>
      <c r="BO47" s="300">
        <v>164949.44</v>
      </c>
      <c r="BP47" s="300">
        <v>386703.81</v>
      </c>
      <c r="BQ47" s="300"/>
      <c r="BR47" s="300"/>
      <c r="BS47" s="300">
        <v>83694.210000000006</v>
      </c>
      <c r="BT47" s="300">
        <v>104387.31</v>
      </c>
      <c r="BU47" s="300">
        <v>62517.38</v>
      </c>
      <c r="BV47" s="300">
        <v>1292863.75</v>
      </c>
      <c r="BW47" s="300"/>
      <c r="BX47" s="300"/>
      <c r="BY47" s="300">
        <v>614118.06000000006</v>
      </c>
      <c r="BZ47" s="300"/>
      <c r="CA47" s="300">
        <v>493785.57</v>
      </c>
      <c r="CB47" s="300"/>
      <c r="CC47" s="300">
        <f>4020059.72+316505.14</f>
        <v>4336564.8600000003</v>
      </c>
      <c r="CD47" s="295"/>
      <c r="CE47" s="295">
        <f>SUM(C47:CC47)</f>
        <v>38692700.019999996</v>
      </c>
      <c r="CF47" s="2"/>
    </row>
    <row r="48" spans="1:84" ht="12.65" customHeight="1" x14ac:dyDescent="0.35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5">
      <c r="A49" s="295" t="s">
        <v>206</v>
      </c>
      <c r="B49" s="295">
        <f>B47+B48</f>
        <v>38692700.020000003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>
        <v>21609943.530000001</v>
      </c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>
        <v>917785</v>
      </c>
      <c r="U51" s="300">
        <v>1285312</v>
      </c>
      <c r="V51" s="300"/>
      <c r="W51" s="300">
        <v>72876</v>
      </c>
      <c r="X51" s="300">
        <v>66149</v>
      </c>
      <c r="Y51" s="300">
        <v>484996</v>
      </c>
      <c r="Z51" s="300">
        <v>654924</v>
      </c>
      <c r="AA51" s="300">
        <v>54436</v>
      </c>
      <c r="AB51" s="300">
        <v>427108</v>
      </c>
      <c r="AC51" s="300">
        <v>25231</v>
      </c>
      <c r="AD51" s="300"/>
      <c r="AE51" s="300">
        <v>55392</v>
      </c>
      <c r="AF51" s="300"/>
      <c r="AG51" s="300"/>
      <c r="AH51" s="300"/>
      <c r="AI51" s="300"/>
      <c r="AJ51" s="300">
        <v>3568874</v>
      </c>
      <c r="AK51" s="300"/>
      <c r="AL51" s="300"/>
      <c r="AM51" s="300"/>
      <c r="AN51" s="300"/>
      <c r="AO51" s="300"/>
      <c r="AP51" s="300"/>
      <c r="AQ51" s="300"/>
      <c r="AR51" s="300"/>
      <c r="AS51" s="300"/>
      <c r="AT51" s="300">
        <v>75720</v>
      </c>
      <c r="AU51" s="300"/>
      <c r="AV51" s="300">
        <v>288044</v>
      </c>
      <c r="AW51" s="300"/>
      <c r="AX51" s="300"/>
      <c r="AY51" s="300">
        <v>5799</v>
      </c>
      <c r="AZ51" s="300">
        <v>84801</v>
      </c>
      <c r="BA51" s="300"/>
      <c r="BB51" s="300">
        <v>46870</v>
      </c>
      <c r="BC51" s="300">
        <v>8161</v>
      </c>
      <c r="BD51" s="300">
        <v>68491</v>
      </c>
      <c r="BE51" s="300">
        <v>4640289</v>
      </c>
      <c r="BF51" s="300"/>
      <c r="BG51" s="300"/>
      <c r="BH51" s="300"/>
      <c r="BI51" s="300">
        <v>10524</v>
      </c>
      <c r="BJ51" s="300">
        <v>117025</v>
      </c>
      <c r="BK51" s="300">
        <v>174020</v>
      </c>
      <c r="BL51" s="300">
        <v>247056</v>
      </c>
      <c r="BM51" s="300">
        <v>88230</v>
      </c>
      <c r="BN51" s="300">
        <v>449675</v>
      </c>
      <c r="BO51" s="300">
        <v>46778</v>
      </c>
      <c r="BP51" s="300">
        <v>126826</v>
      </c>
      <c r="BQ51" s="300"/>
      <c r="BR51" s="300"/>
      <c r="BS51" s="300">
        <v>13437</v>
      </c>
      <c r="BT51" s="300">
        <v>22834</v>
      </c>
      <c r="BU51" s="300">
        <v>48832</v>
      </c>
      <c r="BV51" s="300">
        <v>187099</v>
      </c>
      <c r="BW51" s="300"/>
      <c r="BX51" s="300"/>
      <c r="BY51" s="300">
        <v>91181</v>
      </c>
      <c r="BZ51" s="300"/>
      <c r="CA51" s="300">
        <v>54952</v>
      </c>
      <c r="CB51" s="300"/>
      <c r="CC51" s="300">
        <v>7100217</v>
      </c>
      <c r="CD51" s="295"/>
      <c r="CE51" s="295">
        <f>SUM(C51:CD51)</f>
        <v>21609944</v>
      </c>
      <c r="CF51" s="2"/>
    </row>
    <row r="52" spans="1:84" ht="12.65" customHeight="1" x14ac:dyDescent="0.35">
      <c r="A52" s="302" t="s">
        <v>208</v>
      </c>
      <c r="B52" s="300"/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0</v>
      </c>
      <c r="AC52" s="295">
        <f>ROUND((B52/(CE76+CF76)*AC76),0)</f>
        <v>0</v>
      </c>
      <c r="AD52" s="295">
        <f>ROUND((B52/(CE76+CF76)*AD76),0)</f>
        <v>0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0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0</v>
      </c>
      <c r="BF52" s="295">
        <f>ROUND((B52/(CE76+CF76)*BF76),0)</f>
        <v>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0</v>
      </c>
      <c r="CF52" s="2"/>
    </row>
    <row r="53" spans="1:84" ht="12.65" customHeight="1" x14ac:dyDescent="0.35">
      <c r="A53" s="295" t="s">
        <v>206</v>
      </c>
      <c r="B53" s="295">
        <f>B51+B52</f>
        <v>21609943.530000001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1192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1210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5590</v>
      </c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185"/>
      <c r="Q59" s="185"/>
      <c r="R59" s="185"/>
      <c r="S59" s="248"/>
      <c r="T59" s="248"/>
      <c r="U59" s="224">
        <v>640736</v>
      </c>
      <c r="V59" s="185"/>
      <c r="W59" s="185"/>
      <c r="X59" s="185">
        <f>19998+3844</f>
        <v>23842</v>
      </c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v>80885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>
        <v>379</v>
      </c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542238.98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0</v>
      </c>
      <c r="D60" s="187">
        <v>0</v>
      </c>
      <c r="E60" s="187">
        <v>0</v>
      </c>
      <c r="F60" s="223">
        <v>0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0</v>
      </c>
      <c r="Q60" s="187">
        <v>0</v>
      </c>
      <c r="R60" s="187">
        <v>0</v>
      </c>
      <c r="S60" s="221">
        <v>0</v>
      </c>
      <c r="T60" s="221">
        <v>129.6</v>
      </c>
      <c r="U60" s="221">
        <v>164.24</v>
      </c>
      <c r="V60" s="221">
        <v>0</v>
      </c>
      <c r="W60" s="221">
        <v>5.74</v>
      </c>
      <c r="X60" s="221">
        <v>12.91</v>
      </c>
      <c r="Y60" s="221">
        <v>52.93</v>
      </c>
      <c r="Z60" s="221">
        <v>46.96</v>
      </c>
      <c r="AA60" s="221">
        <v>1.54</v>
      </c>
      <c r="AB60" s="221">
        <v>49.28</v>
      </c>
      <c r="AC60" s="221">
        <v>2.67</v>
      </c>
      <c r="AD60" s="221">
        <v>0</v>
      </c>
      <c r="AE60" s="221">
        <v>9.91</v>
      </c>
      <c r="AF60" s="221">
        <v>0</v>
      </c>
      <c r="AG60" s="221">
        <v>0</v>
      </c>
      <c r="AH60" s="221">
        <v>0</v>
      </c>
      <c r="AI60" s="221">
        <v>0</v>
      </c>
      <c r="AJ60" s="221">
        <v>422.73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28.24</v>
      </c>
      <c r="AU60" s="221">
        <v>0</v>
      </c>
      <c r="AV60" s="221">
        <v>40.75</v>
      </c>
      <c r="AW60" s="221">
        <v>0</v>
      </c>
      <c r="AX60" s="221">
        <v>0</v>
      </c>
      <c r="AY60" s="221">
        <v>8.49</v>
      </c>
      <c r="AZ60" s="221">
        <v>0</v>
      </c>
      <c r="BA60" s="221">
        <v>0</v>
      </c>
      <c r="BB60" s="221">
        <v>25.46</v>
      </c>
      <c r="BC60" s="221">
        <v>3.29</v>
      </c>
      <c r="BD60" s="221">
        <v>35.880000000000003</v>
      </c>
      <c r="BE60" s="221">
        <v>9.18</v>
      </c>
      <c r="BF60" s="221">
        <v>0</v>
      </c>
      <c r="BG60" s="221">
        <v>0</v>
      </c>
      <c r="BH60" s="221">
        <v>0</v>
      </c>
      <c r="BI60" s="221">
        <v>1.18</v>
      </c>
      <c r="BJ60" s="221">
        <v>25.18</v>
      </c>
      <c r="BK60" s="221">
        <v>58.92</v>
      </c>
      <c r="BL60" s="221">
        <v>28.58</v>
      </c>
      <c r="BM60" s="221">
        <v>35.64</v>
      </c>
      <c r="BN60" s="221">
        <v>98.26</v>
      </c>
      <c r="BO60" s="221">
        <v>7.29</v>
      </c>
      <c r="BP60" s="221">
        <v>15.13</v>
      </c>
      <c r="BQ60" s="221">
        <v>0</v>
      </c>
      <c r="BR60" s="221">
        <v>0</v>
      </c>
      <c r="BS60" s="221">
        <v>3.78</v>
      </c>
      <c r="BT60" s="221">
        <v>4.54</v>
      </c>
      <c r="BU60" s="221">
        <v>2.69</v>
      </c>
      <c r="BV60" s="221">
        <v>66.83</v>
      </c>
      <c r="BW60" s="221">
        <v>0</v>
      </c>
      <c r="BX60" s="221">
        <v>0</v>
      </c>
      <c r="BY60" s="221">
        <v>18.18</v>
      </c>
      <c r="BZ60" s="221">
        <v>0</v>
      </c>
      <c r="CA60" s="221">
        <v>20.85</v>
      </c>
      <c r="CB60" s="221">
        <v>0</v>
      </c>
      <c r="CC60" s="221">
        <f>148.79+1.91</f>
        <v>150.69999999999999</v>
      </c>
      <c r="CD60" s="305" t="s">
        <v>221</v>
      </c>
      <c r="CE60" s="307">
        <f t="shared" ref="CE60:CE70" si="0">SUM(C60:CD60)</f>
        <v>1587.5500000000004</v>
      </c>
      <c r="CF60" s="2"/>
    </row>
    <row r="61" spans="1:84" ht="12.65" customHeight="1" x14ac:dyDescent="0.35">
      <c r="A61" s="302" t="s">
        <v>235</v>
      </c>
      <c r="B61" s="295"/>
      <c r="C61" s="300">
        <v>375904.56</v>
      </c>
      <c r="D61" s="300"/>
      <c r="E61" s="300"/>
      <c r="F61" s="185"/>
      <c r="G61" s="300"/>
      <c r="H61" s="300"/>
      <c r="I61" s="185"/>
      <c r="J61" s="185"/>
      <c r="K61" s="185"/>
      <c r="L61" s="185"/>
      <c r="M61" s="300"/>
      <c r="N61" s="300"/>
      <c r="O61" s="300"/>
      <c r="P61" s="185"/>
      <c r="Q61" s="185"/>
      <c r="R61" s="185"/>
      <c r="S61" s="185"/>
      <c r="T61" s="185">
        <v>11550646.449999999</v>
      </c>
      <c r="U61" s="185">
        <v>12822029.210000001</v>
      </c>
      <c r="V61" s="185"/>
      <c r="W61" s="185">
        <v>559348.34</v>
      </c>
      <c r="X61" s="185">
        <v>1390291.04</v>
      </c>
      <c r="Y61" s="185">
        <v>4240824.07</v>
      </c>
      <c r="Z61" s="185">
        <v>4963351.74</v>
      </c>
      <c r="AA61" s="185">
        <v>175876.66</v>
      </c>
      <c r="AB61" s="185">
        <v>3357790.96</v>
      </c>
      <c r="AC61" s="185">
        <v>217577.35</v>
      </c>
      <c r="AD61" s="185"/>
      <c r="AE61" s="185">
        <v>1043419.38</v>
      </c>
      <c r="AF61" s="185"/>
      <c r="AG61" s="185"/>
      <c r="AH61" s="185"/>
      <c r="AI61" s="185"/>
      <c r="AJ61" s="185">
        <v>34038505.939999998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>
        <v>1893920.97</v>
      </c>
      <c r="AU61" s="185"/>
      <c r="AV61" s="185">
        <v>3758589.96</v>
      </c>
      <c r="AW61" s="185">
        <v>-9112.14</v>
      </c>
      <c r="AX61" s="185"/>
      <c r="AY61" s="185">
        <v>730205.15</v>
      </c>
      <c r="AZ61" s="185"/>
      <c r="BA61" s="185"/>
      <c r="BB61" s="185">
        <v>2184463.9500000002</v>
      </c>
      <c r="BC61" s="185">
        <v>220315.79</v>
      </c>
      <c r="BD61" s="185">
        <v>1825607.99</v>
      </c>
      <c r="BE61" s="185">
        <v>627684.88</v>
      </c>
      <c r="BF61" s="185"/>
      <c r="BG61" s="185"/>
      <c r="BH61" s="185"/>
      <c r="BI61" s="185">
        <v>52804.25</v>
      </c>
      <c r="BJ61" s="185">
        <v>1967720.79</v>
      </c>
      <c r="BK61" s="185">
        <v>1542579.29</v>
      </c>
      <c r="BL61" s="185">
        <v>3477113.19</v>
      </c>
      <c r="BM61" s="185">
        <v>4138219.77</v>
      </c>
      <c r="BN61" s="185">
        <v>15805981.220000001</v>
      </c>
      <c r="BO61" s="185">
        <v>607130.76</v>
      </c>
      <c r="BP61" s="185">
        <v>1417506.9</v>
      </c>
      <c r="BQ61" s="185"/>
      <c r="BR61" s="185"/>
      <c r="BS61" s="185">
        <v>302784.06</v>
      </c>
      <c r="BT61" s="185">
        <v>376417.86</v>
      </c>
      <c r="BU61" s="185">
        <v>220295.69</v>
      </c>
      <c r="BV61" s="185">
        <v>4658270.7</v>
      </c>
      <c r="BW61" s="185"/>
      <c r="BX61" s="185"/>
      <c r="BY61" s="185">
        <v>2308014.7599999998</v>
      </c>
      <c r="BZ61" s="185"/>
      <c r="CA61" s="185">
        <v>1789416.7</v>
      </c>
      <c r="CB61" s="185"/>
      <c r="CC61" s="185">
        <f>14423551.42-186059.82</f>
        <v>14237491.6</v>
      </c>
      <c r="CD61" s="305" t="s">
        <v>221</v>
      </c>
      <c r="CE61" s="295">
        <f t="shared" si="0"/>
        <v>138868989.79000002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101537</v>
      </c>
      <c r="D62" s="295">
        <f t="shared" si="1"/>
        <v>0</v>
      </c>
      <c r="E62" s="295">
        <f t="shared" si="1"/>
        <v>0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0</v>
      </c>
      <c r="P62" s="295">
        <f t="shared" si="1"/>
        <v>0</v>
      </c>
      <c r="Q62" s="295">
        <f t="shared" si="1"/>
        <v>0</v>
      </c>
      <c r="R62" s="295">
        <f t="shared" si="1"/>
        <v>0</v>
      </c>
      <c r="S62" s="295">
        <f t="shared" si="1"/>
        <v>0</v>
      </c>
      <c r="T62" s="295">
        <f t="shared" si="1"/>
        <v>3198904</v>
      </c>
      <c r="U62" s="295">
        <f t="shared" si="1"/>
        <v>3549703</v>
      </c>
      <c r="V62" s="295">
        <f t="shared" si="1"/>
        <v>0</v>
      </c>
      <c r="W62" s="295">
        <f t="shared" si="1"/>
        <v>154514</v>
      </c>
      <c r="X62" s="295">
        <f t="shared" si="1"/>
        <v>383822</v>
      </c>
      <c r="Y62" s="295">
        <f t="shared" si="1"/>
        <v>1171471</v>
      </c>
      <c r="Z62" s="295">
        <f t="shared" si="1"/>
        <v>1288387</v>
      </c>
      <c r="AA62" s="295">
        <f t="shared" si="1"/>
        <v>48460</v>
      </c>
      <c r="AB62" s="295">
        <f t="shared" si="1"/>
        <v>921062</v>
      </c>
      <c r="AC62" s="295">
        <f t="shared" si="1"/>
        <v>60701</v>
      </c>
      <c r="AD62" s="295">
        <f t="shared" si="1"/>
        <v>0</v>
      </c>
      <c r="AE62" s="295">
        <f t="shared" si="1"/>
        <v>290271</v>
      </c>
      <c r="AF62" s="295">
        <f t="shared" si="1"/>
        <v>0</v>
      </c>
      <c r="AG62" s="295">
        <f t="shared" si="1"/>
        <v>0</v>
      </c>
      <c r="AH62" s="295">
        <f t="shared" si="1"/>
        <v>0</v>
      </c>
      <c r="AI62" s="295">
        <f t="shared" si="1"/>
        <v>0</v>
      </c>
      <c r="AJ62" s="295">
        <f t="shared" si="1"/>
        <v>9363124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524776</v>
      </c>
      <c r="AU62" s="295">
        <f t="shared" si="1"/>
        <v>0</v>
      </c>
      <c r="AV62" s="295">
        <f t="shared" si="1"/>
        <v>1033244</v>
      </c>
      <c r="AW62" s="295">
        <f t="shared" si="1"/>
        <v>0</v>
      </c>
      <c r="AX62" s="295">
        <f t="shared" si="1"/>
        <v>0</v>
      </c>
      <c r="AY62" s="295">
        <f>ROUND(AY47+AY48,0)</f>
        <v>201620</v>
      </c>
      <c r="AZ62" s="295">
        <f>ROUND(AZ47+AZ48,0)</f>
        <v>0</v>
      </c>
      <c r="BA62" s="295">
        <f>ROUND(BA47+BA48,0)</f>
        <v>0</v>
      </c>
      <c r="BB62" s="295">
        <f t="shared" si="1"/>
        <v>602344</v>
      </c>
      <c r="BC62" s="295">
        <f t="shared" si="1"/>
        <v>62309</v>
      </c>
      <c r="BD62" s="295">
        <f t="shared" si="1"/>
        <v>508442</v>
      </c>
      <c r="BE62" s="295">
        <f t="shared" si="1"/>
        <v>172588</v>
      </c>
      <c r="BF62" s="295">
        <f t="shared" si="1"/>
        <v>0</v>
      </c>
      <c r="BG62" s="295">
        <f t="shared" si="1"/>
        <v>0</v>
      </c>
      <c r="BH62" s="295">
        <f t="shared" si="1"/>
        <v>0</v>
      </c>
      <c r="BI62" s="295">
        <f t="shared" si="1"/>
        <v>15062</v>
      </c>
      <c r="BJ62" s="295">
        <f t="shared" si="1"/>
        <v>541217</v>
      </c>
      <c r="BK62" s="295">
        <f t="shared" si="1"/>
        <v>432698</v>
      </c>
      <c r="BL62" s="295">
        <f t="shared" si="1"/>
        <v>969358</v>
      </c>
      <c r="BM62" s="295">
        <f t="shared" si="1"/>
        <v>1136639</v>
      </c>
      <c r="BN62" s="295">
        <f t="shared" si="1"/>
        <v>4420863</v>
      </c>
      <c r="BO62" s="295">
        <f t="shared" ref="BO62:CC62" si="2">ROUND(BO47+BO48,0)</f>
        <v>164949</v>
      </c>
      <c r="BP62" s="295">
        <f t="shared" si="2"/>
        <v>386704</v>
      </c>
      <c r="BQ62" s="295">
        <f t="shared" si="2"/>
        <v>0</v>
      </c>
      <c r="BR62" s="295">
        <f t="shared" si="2"/>
        <v>0</v>
      </c>
      <c r="BS62" s="295">
        <f t="shared" si="2"/>
        <v>83694</v>
      </c>
      <c r="BT62" s="295">
        <f t="shared" si="2"/>
        <v>104387</v>
      </c>
      <c r="BU62" s="295">
        <f t="shared" si="2"/>
        <v>62517</v>
      </c>
      <c r="BV62" s="295">
        <f t="shared" si="2"/>
        <v>1292864</v>
      </c>
      <c r="BW62" s="295">
        <f t="shared" si="2"/>
        <v>0</v>
      </c>
      <c r="BX62" s="295">
        <f t="shared" si="2"/>
        <v>0</v>
      </c>
      <c r="BY62" s="295">
        <f t="shared" si="2"/>
        <v>614118</v>
      </c>
      <c r="BZ62" s="295">
        <f t="shared" si="2"/>
        <v>0</v>
      </c>
      <c r="CA62" s="295">
        <f t="shared" si="2"/>
        <v>493786</v>
      </c>
      <c r="CB62" s="295">
        <f t="shared" si="2"/>
        <v>0</v>
      </c>
      <c r="CC62" s="295">
        <f t="shared" si="2"/>
        <v>4336565</v>
      </c>
      <c r="CD62" s="305" t="s">
        <v>221</v>
      </c>
      <c r="CE62" s="295">
        <f t="shared" si="0"/>
        <v>38692700</v>
      </c>
      <c r="CF62" s="2"/>
    </row>
    <row r="63" spans="1:84" ht="12.65" customHeight="1" x14ac:dyDescent="0.35">
      <c r="A63" s="302" t="s">
        <v>236</v>
      </c>
      <c r="B63" s="295"/>
      <c r="C63" s="300"/>
      <c r="D63" s="300"/>
      <c r="E63" s="300"/>
      <c r="F63" s="185"/>
      <c r="G63" s="300"/>
      <c r="H63" s="300"/>
      <c r="I63" s="185"/>
      <c r="J63" s="185"/>
      <c r="K63" s="185"/>
      <c r="L63" s="185"/>
      <c r="M63" s="300"/>
      <c r="N63" s="300"/>
      <c r="O63" s="300"/>
      <c r="P63" s="185"/>
      <c r="Q63" s="185"/>
      <c r="R63" s="185"/>
      <c r="S63" s="185"/>
      <c r="T63" s="185"/>
      <c r="U63" s="185">
        <v>21680</v>
      </c>
      <c r="V63" s="185"/>
      <c r="W63" s="185"/>
      <c r="X63" s="185"/>
      <c r="Y63" s="185">
        <v>7364.98</v>
      </c>
      <c r="Z63" s="185">
        <v>934.04</v>
      </c>
      <c r="AA63" s="185"/>
      <c r="AB63" s="185">
        <v>693.07</v>
      </c>
      <c r="AC63" s="185"/>
      <c r="AD63" s="185"/>
      <c r="AE63" s="185"/>
      <c r="AF63" s="185"/>
      <c r="AG63" s="185"/>
      <c r="AH63" s="185"/>
      <c r="AI63" s="185"/>
      <c r="AJ63" s="185">
        <v>10205.14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>
        <v>7020</v>
      </c>
      <c r="AU63" s="185"/>
      <c r="AV63" s="185"/>
      <c r="AW63" s="185"/>
      <c r="AX63" s="185"/>
      <c r="AY63" s="185"/>
      <c r="AZ63" s="185"/>
      <c r="BA63" s="185"/>
      <c r="BB63" s="185">
        <v>10267.5</v>
      </c>
      <c r="BC63" s="185">
        <v>11235</v>
      </c>
      <c r="BD63" s="185"/>
      <c r="BE63" s="185">
        <v>1714343.34</v>
      </c>
      <c r="BF63" s="185"/>
      <c r="BG63" s="185"/>
      <c r="BH63" s="185"/>
      <c r="BI63" s="185">
        <v>921.63</v>
      </c>
      <c r="BJ63" s="185">
        <v>584207.78</v>
      </c>
      <c r="BK63" s="185"/>
      <c r="BL63" s="185"/>
      <c r="BM63" s="185">
        <v>570414.57999999996</v>
      </c>
      <c r="BN63" s="185">
        <v>4840394.96</v>
      </c>
      <c r="BO63" s="185">
        <v>1050</v>
      </c>
      <c r="BP63" s="185">
        <v>1064567.8500000001</v>
      </c>
      <c r="BQ63" s="185"/>
      <c r="BR63" s="185"/>
      <c r="BS63" s="185"/>
      <c r="BT63" s="185"/>
      <c r="BU63" s="185"/>
      <c r="BV63" s="185">
        <v>85448.33</v>
      </c>
      <c r="BW63" s="185"/>
      <c r="BX63" s="185"/>
      <c r="BY63" s="185">
        <v>24657.919999999998</v>
      </c>
      <c r="BZ63" s="185"/>
      <c r="CA63" s="185">
        <v>5890.03</v>
      </c>
      <c r="CB63" s="185"/>
      <c r="CC63" s="185">
        <f>1930438.65+341131.48</f>
        <v>2271570.13</v>
      </c>
      <c r="CD63" s="305" t="s">
        <v>221</v>
      </c>
      <c r="CE63" s="295">
        <f t="shared" si="0"/>
        <v>11232866.279999997</v>
      </c>
      <c r="CF63" s="2"/>
    </row>
    <row r="64" spans="1:84" ht="12.65" customHeight="1" x14ac:dyDescent="0.35">
      <c r="A64" s="302" t="s">
        <v>237</v>
      </c>
      <c r="B64" s="295"/>
      <c r="C64" s="300">
        <v>11195509.82</v>
      </c>
      <c r="D64" s="300"/>
      <c r="E64" s="185"/>
      <c r="F64" s="185"/>
      <c r="G64" s="300"/>
      <c r="H64" s="300"/>
      <c r="I64" s="185"/>
      <c r="J64" s="185"/>
      <c r="K64" s="185"/>
      <c r="L64" s="185"/>
      <c r="M64" s="300"/>
      <c r="N64" s="300"/>
      <c r="O64" s="300"/>
      <c r="P64" s="185"/>
      <c r="Q64" s="185"/>
      <c r="R64" s="185"/>
      <c r="S64" s="185">
        <v>4811534.6399999997</v>
      </c>
      <c r="T64" s="185">
        <v>2341975.9700000002</v>
      </c>
      <c r="U64" s="185">
        <v>4292830.41</v>
      </c>
      <c r="V64" s="185"/>
      <c r="W64" s="185">
        <v>158088.94</v>
      </c>
      <c r="X64" s="185">
        <v>954090.51</v>
      </c>
      <c r="Y64" s="185">
        <v>282381.78999999998</v>
      </c>
      <c r="Z64" s="185">
        <v>372660.78</v>
      </c>
      <c r="AA64" s="185">
        <v>6736658.3499999996</v>
      </c>
      <c r="AB64" s="185">
        <v>242308672.97999999</v>
      </c>
      <c r="AC64" s="185">
        <v>33388.300000000003</v>
      </c>
      <c r="AD64" s="185"/>
      <c r="AE64" s="185">
        <v>11840.82</v>
      </c>
      <c r="AF64" s="185"/>
      <c r="AG64" s="185"/>
      <c r="AH64" s="185"/>
      <c r="AI64" s="185"/>
      <c r="AJ64" s="185">
        <v>1197977.78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>
        <v>4617.01</v>
      </c>
      <c r="AU64" s="185"/>
      <c r="AV64" s="185">
        <v>549435.01</v>
      </c>
      <c r="AW64" s="185">
        <v>-45.69</v>
      </c>
      <c r="AX64" s="185"/>
      <c r="AY64" s="185">
        <v>582.88</v>
      </c>
      <c r="AZ64" s="185">
        <v>276580.84999999998</v>
      </c>
      <c r="BA64" s="185"/>
      <c r="BB64" s="185">
        <v>4500.55</v>
      </c>
      <c r="BC64" s="185">
        <v>358.04</v>
      </c>
      <c r="BD64" s="185">
        <v>719259.8</v>
      </c>
      <c r="BE64" s="185">
        <v>743667.16</v>
      </c>
      <c r="BF64" s="185"/>
      <c r="BG64" s="185"/>
      <c r="BH64" s="185"/>
      <c r="BI64" s="185">
        <v>194713.43</v>
      </c>
      <c r="BJ64" s="185">
        <v>10483.709999999999</v>
      </c>
      <c r="BK64" s="185">
        <v>17020.490000000002</v>
      </c>
      <c r="BL64" s="185">
        <v>42988.81</v>
      </c>
      <c r="BM64" s="185">
        <v>1999.38</v>
      </c>
      <c r="BN64" s="185">
        <v>68395.14</v>
      </c>
      <c r="BO64" s="185">
        <v>17905.61</v>
      </c>
      <c r="BP64" s="185">
        <v>3081.65</v>
      </c>
      <c r="BQ64" s="185"/>
      <c r="BR64" s="185"/>
      <c r="BS64" s="185">
        <v>449.05</v>
      </c>
      <c r="BT64" s="185">
        <v>3710.57</v>
      </c>
      <c r="BU64" s="185">
        <v>1850.32</v>
      </c>
      <c r="BV64" s="185">
        <v>44135.64</v>
      </c>
      <c r="BW64" s="185"/>
      <c r="BX64" s="185"/>
      <c r="BY64" s="185">
        <v>72204.47</v>
      </c>
      <c r="BZ64" s="185"/>
      <c r="CA64" s="185">
        <v>3956.8</v>
      </c>
      <c r="CB64" s="185"/>
      <c r="CC64" s="185">
        <f>162682.1+4887.64</f>
        <v>167569.74000000002</v>
      </c>
      <c r="CD64" s="305" t="s">
        <v>221</v>
      </c>
      <c r="CE64" s="295">
        <f t="shared" si="0"/>
        <v>277647031.51000005</v>
      </c>
      <c r="CF64" s="2"/>
    </row>
    <row r="65" spans="1:84" ht="12.65" customHeight="1" x14ac:dyDescent="0.35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/>
      <c r="Q65" s="185"/>
      <c r="R65" s="185"/>
      <c r="S65" s="185"/>
      <c r="T65" s="185">
        <v>7375.95</v>
      </c>
      <c r="U65" s="185">
        <v>14037.89</v>
      </c>
      <c r="V65" s="185"/>
      <c r="W65" s="185">
        <v>315.11</v>
      </c>
      <c r="X65" s="185">
        <v>579.04999999999995</v>
      </c>
      <c r="Y65" s="185">
        <v>19214.349999999999</v>
      </c>
      <c r="Z65" s="185">
        <v>2121.67</v>
      </c>
      <c r="AA65" s="185">
        <v>970.32</v>
      </c>
      <c r="AB65" s="185">
        <v>4256.88</v>
      </c>
      <c r="AC65" s="185"/>
      <c r="AD65" s="185"/>
      <c r="AE65" s="185">
        <v>545.96</v>
      </c>
      <c r="AF65" s="185"/>
      <c r="AG65" s="185"/>
      <c r="AH65" s="185"/>
      <c r="AI65" s="185"/>
      <c r="AJ65" s="185">
        <v>54342.23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>
        <v>727.22</v>
      </c>
      <c r="AU65" s="185"/>
      <c r="AV65" s="185">
        <v>3410.43</v>
      </c>
      <c r="AW65" s="185"/>
      <c r="AX65" s="185"/>
      <c r="AY65" s="185">
        <v>2908.88</v>
      </c>
      <c r="AZ65" s="185"/>
      <c r="BA65" s="185"/>
      <c r="BB65" s="185">
        <v>4665.87</v>
      </c>
      <c r="BC65" s="185">
        <v>488.94</v>
      </c>
      <c r="BD65" s="185">
        <v>11072.15</v>
      </c>
      <c r="BE65" s="185">
        <v>1108186.49</v>
      </c>
      <c r="BF65" s="185"/>
      <c r="BG65" s="185"/>
      <c r="BH65" s="185"/>
      <c r="BI65" s="185">
        <v>2470.91</v>
      </c>
      <c r="BJ65" s="185">
        <v>1478.24</v>
      </c>
      <c r="BK65" s="185">
        <v>12810.31</v>
      </c>
      <c r="BL65" s="185">
        <v>2182.77</v>
      </c>
      <c r="BM65" s="185">
        <v>4670.7299999999996</v>
      </c>
      <c r="BN65" s="185">
        <v>46095.87</v>
      </c>
      <c r="BO65" s="185">
        <v>420353.35</v>
      </c>
      <c r="BP65" s="185">
        <v>4621.8599999999997</v>
      </c>
      <c r="BQ65" s="185"/>
      <c r="BR65" s="185"/>
      <c r="BS65" s="185"/>
      <c r="BT65" s="185"/>
      <c r="BU65" s="185"/>
      <c r="BV65" s="185">
        <v>6669.11</v>
      </c>
      <c r="BW65" s="185"/>
      <c r="BX65" s="185"/>
      <c r="BY65" s="185">
        <v>32413.57</v>
      </c>
      <c r="BZ65" s="185"/>
      <c r="CA65" s="185">
        <v>7447.67</v>
      </c>
      <c r="CB65" s="185"/>
      <c r="CC65" s="185">
        <f>1185901.02+1394.02</f>
        <v>1187295.04</v>
      </c>
      <c r="CD65" s="305" t="s">
        <v>221</v>
      </c>
      <c r="CE65" s="295">
        <f t="shared" si="0"/>
        <v>2963728.8200000003</v>
      </c>
      <c r="CF65" s="2"/>
    </row>
    <row r="66" spans="1:84" ht="12.65" customHeight="1" x14ac:dyDescent="0.35">
      <c r="A66" s="302" t="s">
        <v>239</v>
      </c>
      <c r="B66" s="295"/>
      <c r="C66" s="300">
        <v>52402417.810000002</v>
      </c>
      <c r="D66" s="300"/>
      <c r="E66" s="300"/>
      <c r="F66" s="300"/>
      <c r="G66" s="300"/>
      <c r="H66" s="300"/>
      <c r="I66" s="300"/>
      <c r="J66" s="300"/>
      <c r="K66" s="185"/>
      <c r="L66" s="185"/>
      <c r="M66" s="300"/>
      <c r="N66" s="300"/>
      <c r="O66" s="185"/>
      <c r="P66" s="185"/>
      <c r="Q66" s="185"/>
      <c r="R66" s="185"/>
      <c r="S66" s="300"/>
      <c r="T66" s="300">
        <v>5450718.6799999997</v>
      </c>
      <c r="U66" s="185">
        <v>12306822.5</v>
      </c>
      <c r="V66" s="185"/>
      <c r="W66" s="185"/>
      <c r="X66" s="185">
        <v>128650.54</v>
      </c>
      <c r="Y66" s="185">
        <v>719286.21</v>
      </c>
      <c r="Z66" s="185">
        <v>1943057.79</v>
      </c>
      <c r="AA66" s="185">
        <v>31921.46</v>
      </c>
      <c r="AB66" s="185">
        <v>10869821.76</v>
      </c>
      <c r="AC66" s="185">
        <v>312</v>
      </c>
      <c r="AD66" s="185"/>
      <c r="AE66" s="185">
        <v>297.31</v>
      </c>
      <c r="AF66" s="185"/>
      <c r="AG66" s="185"/>
      <c r="AH66" s="185"/>
      <c r="AI66" s="185"/>
      <c r="AJ66" s="185">
        <v>50872618.079999998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>
        <v>13391364.109999999</v>
      </c>
      <c r="AU66" s="185"/>
      <c r="AV66" s="185">
        <v>323205.53000000003</v>
      </c>
      <c r="AW66" s="185"/>
      <c r="AX66" s="185"/>
      <c r="AY66" s="185">
        <v>106.8</v>
      </c>
      <c r="AZ66" s="185">
        <v>660</v>
      </c>
      <c r="BA66" s="185"/>
      <c r="BB66" s="185">
        <v>1865263.62</v>
      </c>
      <c r="BC66" s="185">
        <v>784333.16</v>
      </c>
      <c r="BD66" s="185">
        <v>422755.85</v>
      </c>
      <c r="BE66" s="185">
        <v>4757400.4000000004</v>
      </c>
      <c r="BF66" s="185"/>
      <c r="BG66" s="185"/>
      <c r="BH66" s="185"/>
      <c r="BI66" s="185">
        <v>182809.38</v>
      </c>
      <c r="BJ66" s="185">
        <v>219552.19</v>
      </c>
      <c r="BK66" s="185">
        <v>557967.26</v>
      </c>
      <c r="BL66" s="185">
        <v>269481.64</v>
      </c>
      <c r="BM66" s="185">
        <v>539726.81000000006</v>
      </c>
      <c r="BN66" s="185">
        <v>2394966.4500000002</v>
      </c>
      <c r="BO66" s="185">
        <v>764249.75</v>
      </c>
      <c r="BP66" s="185">
        <v>199765.96</v>
      </c>
      <c r="BQ66" s="185"/>
      <c r="BR66" s="185"/>
      <c r="BS66" s="185"/>
      <c r="BT66" s="185">
        <v>60146.86</v>
      </c>
      <c r="BU66" s="185"/>
      <c r="BV66" s="185">
        <v>778929.5</v>
      </c>
      <c r="BW66" s="185"/>
      <c r="BX66" s="185"/>
      <c r="BY66" s="185">
        <v>1185266.95</v>
      </c>
      <c r="BZ66" s="185"/>
      <c r="CA66" s="185">
        <v>7887.68</v>
      </c>
      <c r="CB66" s="185"/>
      <c r="CC66" s="185">
        <f>27428457.77+507828.64</f>
        <v>27936286.41</v>
      </c>
      <c r="CD66" s="305" t="s">
        <v>221</v>
      </c>
      <c r="CE66" s="295">
        <f t="shared" si="0"/>
        <v>191368050.44999999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0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0</v>
      </c>
      <c r="Q67" s="295">
        <f t="shared" si="3"/>
        <v>0</v>
      </c>
      <c r="R67" s="295">
        <f t="shared" si="3"/>
        <v>0</v>
      </c>
      <c r="S67" s="295">
        <f t="shared" si="3"/>
        <v>0</v>
      </c>
      <c r="T67" s="295">
        <f t="shared" si="3"/>
        <v>917785</v>
      </c>
      <c r="U67" s="295">
        <f t="shared" si="3"/>
        <v>1285312</v>
      </c>
      <c r="V67" s="295">
        <f t="shared" si="3"/>
        <v>0</v>
      </c>
      <c r="W67" s="295">
        <f t="shared" si="3"/>
        <v>72876</v>
      </c>
      <c r="X67" s="295">
        <f t="shared" si="3"/>
        <v>66149</v>
      </c>
      <c r="Y67" s="295">
        <f t="shared" si="3"/>
        <v>484996</v>
      </c>
      <c r="Z67" s="295">
        <f t="shared" si="3"/>
        <v>654924</v>
      </c>
      <c r="AA67" s="295">
        <f t="shared" si="3"/>
        <v>54436</v>
      </c>
      <c r="AB67" s="295">
        <f t="shared" si="3"/>
        <v>427108</v>
      </c>
      <c r="AC67" s="295">
        <f t="shared" si="3"/>
        <v>25231</v>
      </c>
      <c r="AD67" s="295">
        <f t="shared" si="3"/>
        <v>0</v>
      </c>
      <c r="AE67" s="295">
        <f t="shared" si="3"/>
        <v>55392</v>
      </c>
      <c r="AF67" s="295">
        <f t="shared" si="3"/>
        <v>0</v>
      </c>
      <c r="AG67" s="295">
        <f t="shared" si="3"/>
        <v>0</v>
      </c>
      <c r="AH67" s="295">
        <f t="shared" si="3"/>
        <v>0</v>
      </c>
      <c r="AI67" s="295">
        <f t="shared" si="3"/>
        <v>0</v>
      </c>
      <c r="AJ67" s="295">
        <f t="shared" si="3"/>
        <v>3568874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75720</v>
      </c>
      <c r="AU67" s="295">
        <f t="shared" si="3"/>
        <v>0</v>
      </c>
      <c r="AV67" s="295">
        <f t="shared" si="3"/>
        <v>288044</v>
      </c>
      <c r="AW67" s="295">
        <f t="shared" si="3"/>
        <v>0</v>
      </c>
      <c r="AX67" s="295">
        <f t="shared" si="3"/>
        <v>0</v>
      </c>
      <c r="AY67" s="295">
        <f t="shared" si="3"/>
        <v>5799</v>
      </c>
      <c r="AZ67" s="295">
        <f>ROUND(AZ51+AZ52,0)</f>
        <v>84801</v>
      </c>
      <c r="BA67" s="295">
        <f>ROUND(BA51+BA52,0)</f>
        <v>0</v>
      </c>
      <c r="BB67" s="295">
        <f t="shared" si="3"/>
        <v>46870</v>
      </c>
      <c r="BC67" s="295">
        <f t="shared" si="3"/>
        <v>8161</v>
      </c>
      <c r="BD67" s="295">
        <f t="shared" si="3"/>
        <v>68491</v>
      </c>
      <c r="BE67" s="295">
        <f t="shared" si="3"/>
        <v>4640289</v>
      </c>
      <c r="BF67" s="295">
        <f t="shared" si="3"/>
        <v>0</v>
      </c>
      <c r="BG67" s="295">
        <f t="shared" si="3"/>
        <v>0</v>
      </c>
      <c r="BH67" s="295">
        <f t="shared" si="3"/>
        <v>0</v>
      </c>
      <c r="BI67" s="295">
        <f t="shared" si="3"/>
        <v>10524</v>
      </c>
      <c r="BJ67" s="295">
        <f t="shared" si="3"/>
        <v>117025</v>
      </c>
      <c r="BK67" s="295">
        <f t="shared" si="3"/>
        <v>174020</v>
      </c>
      <c r="BL67" s="295">
        <f t="shared" si="3"/>
        <v>247056</v>
      </c>
      <c r="BM67" s="295">
        <f t="shared" si="3"/>
        <v>88230</v>
      </c>
      <c r="BN67" s="295">
        <f t="shared" si="3"/>
        <v>449675</v>
      </c>
      <c r="BO67" s="295">
        <f t="shared" si="3"/>
        <v>46778</v>
      </c>
      <c r="BP67" s="295">
        <f t="shared" si="3"/>
        <v>126826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13437</v>
      </c>
      <c r="BT67" s="295">
        <f t="shared" si="4"/>
        <v>22834</v>
      </c>
      <c r="BU67" s="295">
        <f t="shared" si="4"/>
        <v>48832</v>
      </c>
      <c r="BV67" s="295">
        <f t="shared" si="4"/>
        <v>187099</v>
      </c>
      <c r="BW67" s="295">
        <f t="shared" si="4"/>
        <v>0</v>
      </c>
      <c r="BX67" s="295">
        <f t="shared" si="4"/>
        <v>0</v>
      </c>
      <c r="BY67" s="295">
        <f t="shared" si="4"/>
        <v>91181</v>
      </c>
      <c r="BZ67" s="295">
        <f t="shared" si="4"/>
        <v>0</v>
      </c>
      <c r="CA67" s="295">
        <f t="shared" si="4"/>
        <v>54952</v>
      </c>
      <c r="CB67" s="295">
        <f t="shared" si="4"/>
        <v>0</v>
      </c>
      <c r="CC67" s="295">
        <f t="shared" si="4"/>
        <v>7100217</v>
      </c>
      <c r="CD67" s="305" t="s">
        <v>221</v>
      </c>
      <c r="CE67" s="295">
        <f t="shared" si="0"/>
        <v>21609944</v>
      </c>
      <c r="CF67" s="2"/>
    </row>
    <row r="68" spans="1:84" ht="12.65" customHeight="1" x14ac:dyDescent="0.35">
      <c r="A68" s="302" t="s">
        <v>240</v>
      </c>
      <c r="B68" s="295"/>
      <c r="C68" s="300"/>
      <c r="D68" s="300"/>
      <c r="E68" s="300"/>
      <c r="F68" s="300"/>
      <c r="G68" s="300"/>
      <c r="H68" s="300"/>
      <c r="I68" s="300"/>
      <c r="J68" s="300"/>
      <c r="K68" s="185"/>
      <c r="L68" s="185"/>
      <c r="M68" s="300"/>
      <c r="N68" s="300"/>
      <c r="O68" s="300"/>
      <c r="P68" s="185"/>
      <c r="Q68" s="185"/>
      <c r="R68" s="185"/>
      <c r="S68" s="185"/>
      <c r="T68" s="185"/>
      <c r="U68" s="185">
        <v>186779.17</v>
      </c>
      <c r="V68" s="185"/>
      <c r="W68" s="185"/>
      <c r="X68" s="185">
        <v>48719.25</v>
      </c>
      <c r="Y68" s="185">
        <v>32097.360000000001</v>
      </c>
      <c r="Z68" s="185">
        <v>1682757.14</v>
      </c>
      <c r="AA68" s="185"/>
      <c r="AB68" s="185">
        <v>207861.67</v>
      </c>
      <c r="AC68" s="185"/>
      <c r="AD68" s="185"/>
      <c r="AE68" s="185">
        <v>24222</v>
      </c>
      <c r="AF68" s="185"/>
      <c r="AG68" s="185"/>
      <c r="AH68" s="185"/>
      <c r="AI68" s="185"/>
      <c r="AJ68" s="185">
        <v>761604.42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17535.04</v>
      </c>
      <c r="BC68" s="185">
        <v>2034592.86</v>
      </c>
      <c r="BD68" s="185"/>
      <c r="BE68" s="185">
        <v>17748.82</v>
      </c>
      <c r="BF68" s="185"/>
      <c r="BG68" s="185"/>
      <c r="BH68" s="185"/>
      <c r="BI68" s="185"/>
      <c r="BJ68" s="185"/>
      <c r="BK68" s="185"/>
      <c r="BL68" s="185"/>
      <c r="BM68" s="185"/>
      <c r="BN68" s="185">
        <v>13373.23</v>
      </c>
      <c r="BO68" s="185"/>
      <c r="BP68" s="185">
        <v>8167.87</v>
      </c>
      <c r="BQ68" s="185"/>
      <c r="BR68" s="185"/>
      <c r="BS68" s="185"/>
      <c r="BT68" s="185"/>
      <c r="BU68" s="185"/>
      <c r="BV68" s="185"/>
      <c r="BW68" s="185"/>
      <c r="BX68" s="185"/>
      <c r="BY68" s="185">
        <v>908757.15</v>
      </c>
      <c r="BZ68" s="185"/>
      <c r="CA68" s="185"/>
      <c r="CB68" s="185"/>
      <c r="CC68" s="185">
        <f>-44750+8770525.27</f>
        <v>8725775.2699999996</v>
      </c>
      <c r="CD68" s="305" t="s">
        <v>221</v>
      </c>
      <c r="CE68" s="295">
        <f t="shared" si="0"/>
        <v>14669991.25</v>
      </c>
      <c r="CF68" s="2"/>
    </row>
    <row r="69" spans="1:84" ht="12.65" customHeight="1" x14ac:dyDescent="0.35">
      <c r="A69" s="302" t="s">
        <v>241</v>
      </c>
      <c r="B69" s="295"/>
      <c r="C69" s="300">
        <v>1879521.27</v>
      </c>
      <c r="D69" s="300"/>
      <c r="E69" s="185"/>
      <c r="F69" s="185"/>
      <c r="G69" s="300"/>
      <c r="H69" s="300"/>
      <c r="I69" s="185"/>
      <c r="J69" s="185"/>
      <c r="K69" s="185"/>
      <c r="L69" s="185"/>
      <c r="M69" s="300"/>
      <c r="N69" s="300"/>
      <c r="O69" s="300"/>
      <c r="P69" s="185"/>
      <c r="Q69" s="185"/>
      <c r="R69" s="224"/>
      <c r="S69" s="185">
        <v>42627.199999999997</v>
      </c>
      <c r="T69" s="300">
        <v>695648.08</v>
      </c>
      <c r="U69" s="185">
        <v>1307115.51</v>
      </c>
      <c r="V69" s="185"/>
      <c r="W69" s="300">
        <v>378903.64</v>
      </c>
      <c r="X69" s="185">
        <v>756219.23</v>
      </c>
      <c r="Y69" s="185">
        <v>827395.16</v>
      </c>
      <c r="Z69" s="185">
        <v>2214845.04</v>
      </c>
      <c r="AA69" s="185">
        <v>56692.800000000003</v>
      </c>
      <c r="AB69" s="185">
        <v>1112356.43</v>
      </c>
      <c r="AC69" s="185">
        <v>51851.14</v>
      </c>
      <c r="AD69" s="185"/>
      <c r="AE69" s="185">
        <v>18376.52</v>
      </c>
      <c r="AF69" s="185"/>
      <c r="AG69" s="185"/>
      <c r="AH69" s="185"/>
      <c r="AI69" s="185"/>
      <c r="AJ69" s="185">
        <v>986947.87</v>
      </c>
      <c r="AK69" s="185"/>
      <c r="AL69" s="185"/>
      <c r="AM69" s="185"/>
      <c r="AN69" s="185"/>
      <c r="AO69" s="300"/>
      <c r="AP69" s="185"/>
      <c r="AQ69" s="300"/>
      <c r="AR69" s="300"/>
      <c r="AS69" s="300"/>
      <c r="AT69" s="300">
        <v>83221.81</v>
      </c>
      <c r="AU69" s="185"/>
      <c r="AV69" s="185">
        <v>298482.98</v>
      </c>
      <c r="AW69" s="185">
        <v>-4638.7299999999996</v>
      </c>
      <c r="AX69" s="185"/>
      <c r="AY69" s="185">
        <v>4306.9399999999996</v>
      </c>
      <c r="AZ69" s="185">
        <v>513109.37</v>
      </c>
      <c r="BA69" s="185"/>
      <c r="BB69" s="185">
        <v>-407145.42</v>
      </c>
      <c r="BC69" s="185">
        <v>162966.53</v>
      </c>
      <c r="BD69" s="185">
        <v>285822.58</v>
      </c>
      <c r="BE69" s="185">
        <v>1492422.51</v>
      </c>
      <c r="BF69" s="185"/>
      <c r="BG69" s="185"/>
      <c r="BH69" s="224"/>
      <c r="BI69" s="185">
        <v>30516.71</v>
      </c>
      <c r="BJ69" s="185">
        <v>123733.36</v>
      </c>
      <c r="BK69" s="185">
        <v>40927.86</v>
      </c>
      <c r="BL69" s="185">
        <v>145624.4</v>
      </c>
      <c r="BM69" s="185">
        <v>213037.34</v>
      </c>
      <c r="BN69" s="185">
        <v>3502017.36</v>
      </c>
      <c r="BO69" s="185">
        <v>24436.75</v>
      </c>
      <c r="BP69" s="185">
        <v>6936731.6699999999</v>
      </c>
      <c r="BQ69" s="185"/>
      <c r="BR69" s="185"/>
      <c r="BS69" s="185">
        <v>36379.64</v>
      </c>
      <c r="BT69" s="185">
        <v>3471.64</v>
      </c>
      <c r="BU69" s="185">
        <v>6543.76</v>
      </c>
      <c r="BV69" s="185">
        <v>136227.66</v>
      </c>
      <c r="BW69" s="185"/>
      <c r="BX69" s="185"/>
      <c r="BY69" s="185">
        <v>270427.34999999998</v>
      </c>
      <c r="BZ69" s="185"/>
      <c r="CA69" s="185">
        <v>271143.34000000003</v>
      </c>
      <c r="CB69" s="185"/>
      <c r="CC69" s="185">
        <v>7518588.9000000004</v>
      </c>
      <c r="CD69" s="308">
        <v>5863540.9699999997</v>
      </c>
      <c r="CE69" s="295">
        <f t="shared" si="0"/>
        <v>37880397.170000002</v>
      </c>
      <c r="CF69" s="2"/>
    </row>
    <row r="70" spans="1:84" ht="12.65" customHeight="1" x14ac:dyDescent="0.35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>
        <v>40729.83</v>
      </c>
      <c r="T70" s="300">
        <v>2694502.55</v>
      </c>
      <c r="U70" s="185">
        <v>6134900.7800000003</v>
      </c>
      <c r="V70" s="300"/>
      <c r="W70" s="300">
        <v>77691.14</v>
      </c>
      <c r="X70" s="185">
        <v>764615.14</v>
      </c>
      <c r="Y70" s="185">
        <v>362734.21</v>
      </c>
      <c r="Z70" s="185">
        <v>85336.53</v>
      </c>
      <c r="AA70" s="185">
        <v>139018.48000000001</v>
      </c>
      <c r="AB70" s="185">
        <v>68452871.420000002</v>
      </c>
      <c r="AC70" s="185">
        <v>20395.63</v>
      </c>
      <c r="AD70" s="185"/>
      <c r="AE70" s="185">
        <v>151.53</v>
      </c>
      <c r="AF70" s="185"/>
      <c r="AG70" s="185"/>
      <c r="AH70" s="185"/>
      <c r="AI70" s="185"/>
      <c r="AJ70" s="185">
        <v>1878251.71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>
        <v>8970098.3000000007</v>
      </c>
      <c r="AU70" s="185"/>
      <c r="AV70" s="185">
        <v>639695.94999999995</v>
      </c>
      <c r="AW70" s="185"/>
      <c r="AX70" s="185"/>
      <c r="AY70" s="185">
        <v>450</v>
      </c>
      <c r="AZ70" s="185"/>
      <c r="BA70" s="185"/>
      <c r="BB70" s="185">
        <v>59989.84</v>
      </c>
      <c r="BC70" s="185">
        <v>1177088.3799999999</v>
      </c>
      <c r="BD70" s="185">
        <v>70945.64</v>
      </c>
      <c r="BE70" s="185"/>
      <c r="BF70" s="185"/>
      <c r="BG70" s="185"/>
      <c r="BH70" s="185"/>
      <c r="BI70" s="185">
        <v>471952.9</v>
      </c>
      <c r="BJ70" s="185">
        <v>4919.8599999999997</v>
      </c>
      <c r="BK70" s="185">
        <v>179430.16</v>
      </c>
      <c r="BL70" s="185">
        <v>931585.63</v>
      </c>
      <c r="BM70" s="185">
        <v>46125</v>
      </c>
      <c r="BN70" s="185">
        <v>1453262.28</v>
      </c>
      <c r="BO70" s="185"/>
      <c r="BP70" s="185">
        <v>2008949.11</v>
      </c>
      <c r="BQ70" s="185"/>
      <c r="BR70" s="185"/>
      <c r="BS70" s="185">
        <v>49.18</v>
      </c>
      <c r="BT70" s="185">
        <v>51.42</v>
      </c>
      <c r="BU70" s="185"/>
      <c r="BV70" s="185">
        <v>122928.12</v>
      </c>
      <c r="BW70" s="185"/>
      <c r="BX70" s="185"/>
      <c r="BY70" s="185">
        <v>411137.72</v>
      </c>
      <c r="BZ70" s="185"/>
      <c r="CA70" s="185">
        <v>60591.12</v>
      </c>
      <c r="CB70" s="185"/>
      <c r="CC70" s="185">
        <v>4211917.3099999996</v>
      </c>
      <c r="CD70" s="308">
        <v>14573534.51</v>
      </c>
      <c r="CE70" s="295">
        <f t="shared" si="0"/>
        <v>116045901.38000001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65954890.460000008</v>
      </c>
      <c r="D71" s="295">
        <f t="shared" ref="D71:AI71" si="5">SUM(D61:D69)-D70</f>
        <v>0</v>
      </c>
      <c r="E71" s="295">
        <f t="shared" si="5"/>
        <v>0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0</v>
      </c>
      <c r="P71" s="295">
        <f t="shared" si="5"/>
        <v>0</v>
      </c>
      <c r="Q71" s="295">
        <f t="shared" si="5"/>
        <v>0</v>
      </c>
      <c r="R71" s="295">
        <f t="shared" si="5"/>
        <v>0</v>
      </c>
      <c r="S71" s="295">
        <f t="shared" si="5"/>
        <v>4813432.01</v>
      </c>
      <c r="T71" s="295">
        <f t="shared" si="5"/>
        <v>21468551.579999994</v>
      </c>
      <c r="U71" s="295">
        <f t="shared" si="5"/>
        <v>29651408.910000004</v>
      </c>
      <c r="V71" s="295">
        <f t="shared" si="5"/>
        <v>0</v>
      </c>
      <c r="W71" s="295">
        <f t="shared" si="5"/>
        <v>1246354.8900000001</v>
      </c>
      <c r="X71" s="295">
        <f t="shared" si="5"/>
        <v>2963905.4799999995</v>
      </c>
      <c r="Y71" s="295">
        <f t="shared" si="5"/>
        <v>7422296.7100000009</v>
      </c>
      <c r="Z71" s="295">
        <f t="shared" si="5"/>
        <v>13037702.67</v>
      </c>
      <c r="AA71" s="295">
        <f t="shared" si="5"/>
        <v>6965997.1099999994</v>
      </c>
      <c r="AB71" s="295">
        <f t="shared" si="5"/>
        <v>190756752.32999998</v>
      </c>
      <c r="AC71" s="295">
        <f t="shared" si="5"/>
        <v>368665.16</v>
      </c>
      <c r="AD71" s="295">
        <f t="shared" si="5"/>
        <v>0</v>
      </c>
      <c r="AE71" s="295">
        <f t="shared" si="5"/>
        <v>1444213.46</v>
      </c>
      <c r="AF71" s="295">
        <f t="shared" si="5"/>
        <v>0</v>
      </c>
      <c r="AG71" s="295">
        <f t="shared" si="5"/>
        <v>0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98975947.75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7011268.8199999984</v>
      </c>
      <c r="AU71" s="295">
        <f t="shared" si="6"/>
        <v>0</v>
      </c>
      <c r="AV71" s="295">
        <f t="shared" si="6"/>
        <v>5614715.96</v>
      </c>
      <c r="AW71" s="295">
        <f t="shared" si="6"/>
        <v>-13796.56</v>
      </c>
      <c r="AX71" s="295">
        <f t="shared" si="6"/>
        <v>0</v>
      </c>
      <c r="AY71" s="295">
        <f t="shared" si="6"/>
        <v>945079.65</v>
      </c>
      <c r="AZ71" s="295">
        <f t="shared" si="6"/>
        <v>875151.22</v>
      </c>
      <c r="BA71" s="295">
        <f t="shared" si="6"/>
        <v>0</v>
      </c>
      <c r="BB71" s="295">
        <f t="shared" si="6"/>
        <v>4268775.2700000005</v>
      </c>
      <c r="BC71" s="295">
        <f t="shared" si="6"/>
        <v>2107671.94</v>
      </c>
      <c r="BD71" s="295">
        <f t="shared" si="6"/>
        <v>3770505.73</v>
      </c>
      <c r="BE71" s="295">
        <f t="shared" si="6"/>
        <v>15274330.6</v>
      </c>
      <c r="BF71" s="295">
        <f t="shared" si="6"/>
        <v>0</v>
      </c>
      <c r="BG71" s="295">
        <f t="shared" si="6"/>
        <v>0</v>
      </c>
      <c r="BH71" s="295">
        <f t="shared" si="6"/>
        <v>0</v>
      </c>
      <c r="BI71" s="295">
        <f t="shared" si="6"/>
        <v>17869.409999999974</v>
      </c>
      <c r="BJ71" s="295">
        <f t="shared" si="6"/>
        <v>3560498.2100000004</v>
      </c>
      <c r="BK71" s="295">
        <f t="shared" si="6"/>
        <v>2598593.0499999998</v>
      </c>
      <c r="BL71" s="295">
        <f t="shared" si="6"/>
        <v>4222219.1799999988</v>
      </c>
      <c r="BM71" s="295">
        <f t="shared" si="6"/>
        <v>6646812.6099999994</v>
      </c>
      <c r="BN71" s="295">
        <f t="shared" si="6"/>
        <v>30088499.949999999</v>
      </c>
      <c r="BO71" s="295">
        <f t="shared" si="6"/>
        <v>2046853.22</v>
      </c>
      <c r="BP71" s="295">
        <f t="shared" ref="BP71:CC71" si="7">SUM(BP61:BP69)-BP70</f>
        <v>8139024.6499999994</v>
      </c>
      <c r="BQ71" s="295">
        <f t="shared" si="7"/>
        <v>0</v>
      </c>
      <c r="BR71" s="295">
        <f t="shared" si="7"/>
        <v>0</v>
      </c>
      <c r="BS71" s="295">
        <f t="shared" si="7"/>
        <v>436694.57</v>
      </c>
      <c r="BT71" s="295">
        <f t="shared" si="7"/>
        <v>570916.51</v>
      </c>
      <c r="BU71" s="295">
        <f t="shared" si="7"/>
        <v>340038.77</v>
      </c>
      <c r="BV71" s="295">
        <f t="shared" si="7"/>
        <v>7066715.8200000003</v>
      </c>
      <c r="BW71" s="295">
        <f t="shared" si="7"/>
        <v>0</v>
      </c>
      <c r="BX71" s="295">
        <f t="shared" si="7"/>
        <v>0</v>
      </c>
      <c r="BY71" s="295">
        <f t="shared" si="7"/>
        <v>5095903.45</v>
      </c>
      <c r="BZ71" s="295">
        <f t="shared" si="7"/>
        <v>0</v>
      </c>
      <c r="CA71" s="295">
        <f t="shared" si="7"/>
        <v>2573889.0999999996</v>
      </c>
      <c r="CB71" s="295">
        <f t="shared" si="7"/>
        <v>0</v>
      </c>
      <c r="CC71" s="295">
        <f t="shared" si="7"/>
        <v>69269441.780000001</v>
      </c>
      <c r="CD71" s="301">
        <f>CD69-CD70</f>
        <v>-8709993.5399999991</v>
      </c>
      <c r="CE71" s="295">
        <f>SUM(CE61:CE69)-CE70</f>
        <v>618887797.88999999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97937328.75</v>
      </c>
      <c r="D73" s="300"/>
      <c r="E73" s="185"/>
      <c r="F73" s="185"/>
      <c r="G73" s="300"/>
      <c r="H73" s="300"/>
      <c r="I73" s="185"/>
      <c r="J73" s="185"/>
      <c r="K73" s="185"/>
      <c r="L73" s="185"/>
      <c r="M73" s="300"/>
      <c r="N73" s="300"/>
      <c r="O73" s="300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97937328.75</v>
      </c>
      <c r="CF73" s="2"/>
    </row>
    <row r="74" spans="1:84" ht="12.65" customHeight="1" x14ac:dyDescent="0.35">
      <c r="A74" s="302" t="s">
        <v>246</v>
      </c>
      <c r="B74" s="295"/>
      <c r="C74" s="300"/>
      <c r="D74" s="300"/>
      <c r="E74" s="185"/>
      <c r="F74" s="185"/>
      <c r="G74" s="300"/>
      <c r="H74" s="300"/>
      <c r="I74" s="300"/>
      <c r="J74" s="185"/>
      <c r="K74" s="185"/>
      <c r="L74" s="185"/>
      <c r="M74" s="300"/>
      <c r="N74" s="300"/>
      <c r="O74" s="300"/>
      <c r="P74" s="185"/>
      <c r="Q74" s="185"/>
      <c r="R74" s="185"/>
      <c r="S74" s="185">
        <v>29049911.52</v>
      </c>
      <c r="T74" s="185">
        <v>129411090.88</v>
      </c>
      <c r="U74" s="185">
        <v>140679394.80000001</v>
      </c>
      <c r="V74" s="185"/>
      <c r="W74" s="185">
        <v>28875554.25</v>
      </c>
      <c r="X74" s="185">
        <v>121791749.11</v>
      </c>
      <c r="Y74" s="185">
        <v>18997035.25</v>
      </c>
      <c r="Z74" s="185">
        <v>108039230.25</v>
      </c>
      <c r="AA74" s="185">
        <v>15074311.75</v>
      </c>
      <c r="AB74" s="185">
        <v>538343851.13999999</v>
      </c>
      <c r="AC74" s="185">
        <v>2027676.5</v>
      </c>
      <c r="AD74" s="185"/>
      <c r="AE74" s="185">
        <v>2025348.83</v>
      </c>
      <c r="AF74" s="185"/>
      <c r="AG74" s="185"/>
      <c r="AH74" s="185"/>
      <c r="AI74" s="185"/>
      <c r="AJ74" s="185">
        <v>54742693.520000003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>
        <v>12872952.58</v>
      </c>
      <c r="AU74" s="185"/>
      <c r="AV74" s="185">
        <f>29288566.57+410095.45-1337649.18</f>
        <v>28361012.84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1230291813.2199998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97937328.75</v>
      </c>
      <c r="D75" s="295">
        <f t="shared" si="9"/>
        <v>0</v>
      </c>
      <c r="E75" s="295">
        <f t="shared" si="9"/>
        <v>0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0</v>
      </c>
      <c r="Q75" s="295">
        <f t="shared" si="9"/>
        <v>0</v>
      </c>
      <c r="R75" s="295">
        <f t="shared" si="9"/>
        <v>0</v>
      </c>
      <c r="S75" s="295">
        <f t="shared" si="9"/>
        <v>29049911.52</v>
      </c>
      <c r="T75" s="295">
        <f t="shared" si="9"/>
        <v>129411090.88</v>
      </c>
      <c r="U75" s="295">
        <f t="shared" si="9"/>
        <v>140679394.80000001</v>
      </c>
      <c r="V75" s="295">
        <f t="shared" si="9"/>
        <v>0</v>
      </c>
      <c r="W75" s="295">
        <f t="shared" si="9"/>
        <v>28875554.25</v>
      </c>
      <c r="X75" s="295">
        <f t="shared" si="9"/>
        <v>121791749.11</v>
      </c>
      <c r="Y75" s="295">
        <f t="shared" si="9"/>
        <v>18997035.25</v>
      </c>
      <c r="Z75" s="295">
        <f t="shared" si="9"/>
        <v>108039230.25</v>
      </c>
      <c r="AA75" s="295">
        <f t="shared" si="9"/>
        <v>15074311.75</v>
      </c>
      <c r="AB75" s="295">
        <f t="shared" si="9"/>
        <v>538343851.13999999</v>
      </c>
      <c r="AC75" s="295">
        <f t="shared" si="9"/>
        <v>2027676.5</v>
      </c>
      <c r="AD75" s="295">
        <f t="shared" si="9"/>
        <v>0</v>
      </c>
      <c r="AE75" s="295">
        <f t="shared" si="9"/>
        <v>2025348.83</v>
      </c>
      <c r="AF75" s="295">
        <f t="shared" si="9"/>
        <v>0</v>
      </c>
      <c r="AG75" s="295">
        <f t="shared" si="9"/>
        <v>0</v>
      </c>
      <c r="AH75" s="295">
        <f t="shared" si="9"/>
        <v>0</v>
      </c>
      <c r="AI75" s="295">
        <f t="shared" si="9"/>
        <v>0</v>
      </c>
      <c r="AJ75" s="295">
        <f t="shared" si="9"/>
        <v>54742693.520000003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12872952.58</v>
      </c>
      <c r="AU75" s="295">
        <f t="shared" si="9"/>
        <v>0</v>
      </c>
      <c r="AV75" s="295">
        <f t="shared" si="9"/>
        <v>28361012.84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1328229141.9699996</v>
      </c>
      <c r="CF75" s="2"/>
    </row>
    <row r="76" spans="1:84" ht="12.65" customHeight="1" x14ac:dyDescent="0.35">
      <c r="A76" s="302" t="s">
        <v>248</v>
      </c>
      <c r="B76" s="295"/>
      <c r="C76" s="300">
        <v>15446</v>
      </c>
      <c r="D76" s="300"/>
      <c r="E76" s="185"/>
      <c r="F76" s="185"/>
      <c r="G76" s="300"/>
      <c r="H76" s="300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>
        <v>23029.17</v>
      </c>
      <c r="U76" s="185">
        <v>32251.18</v>
      </c>
      <c r="V76" s="185"/>
      <c r="W76" s="185">
        <v>1828.61</v>
      </c>
      <c r="X76" s="185">
        <v>1659.81</v>
      </c>
      <c r="Y76" s="185">
        <v>12169.57</v>
      </c>
      <c r="Z76" s="185">
        <v>16433.419999999998</v>
      </c>
      <c r="AA76" s="185">
        <v>1365.92</v>
      </c>
      <c r="AB76" s="185">
        <v>10717.03</v>
      </c>
      <c r="AC76" s="185">
        <v>633.09</v>
      </c>
      <c r="AD76" s="185"/>
      <c r="AE76" s="185">
        <v>1389.89</v>
      </c>
      <c r="AF76" s="185"/>
      <c r="AG76" s="185"/>
      <c r="AH76" s="185"/>
      <c r="AI76" s="185"/>
      <c r="AJ76" s="185">
        <v>89550.56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>
        <v>1899.98</v>
      </c>
      <c r="AU76" s="185"/>
      <c r="AV76" s="185">
        <v>7227.63</v>
      </c>
      <c r="AW76" s="185"/>
      <c r="AX76" s="185"/>
      <c r="AY76" s="185">
        <v>145.5</v>
      </c>
      <c r="AZ76" s="185">
        <v>2127.84</v>
      </c>
      <c r="BA76" s="185"/>
      <c r="BB76" s="185">
        <v>1176.07</v>
      </c>
      <c r="BC76" s="185">
        <v>204.77</v>
      </c>
      <c r="BD76" s="185">
        <v>1718.59</v>
      </c>
      <c r="BE76" s="185">
        <v>116434.61</v>
      </c>
      <c r="BF76" s="185"/>
      <c r="BG76" s="185"/>
      <c r="BH76" s="185"/>
      <c r="BI76" s="185">
        <v>264.07</v>
      </c>
      <c r="BJ76" s="185">
        <v>2936.41</v>
      </c>
      <c r="BK76" s="185">
        <v>4366.53</v>
      </c>
      <c r="BL76" s="185">
        <v>6199.16</v>
      </c>
      <c r="BM76" s="185">
        <v>2213.87</v>
      </c>
      <c r="BN76" s="185">
        <v>11283.28</v>
      </c>
      <c r="BO76" s="185">
        <v>1173.77</v>
      </c>
      <c r="BP76" s="185">
        <v>3182.32</v>
      </c>
      <c r="BQ76" s="185"/>
      <c r="BR76" s="185"/>
      <c r="BS76" s="185">
        <v>337.17</v>
      </c>
      <c r="BT76" s="185">
        <v>572.95000000000005</v>
      </c>
      <c r="BU76" s="185">
        <v>1225.31</v>
      </c>
      <c r="BV76" s="185">
        <v>4694.7</v>
      </c>
      <c r="BW76" s="185"/>
      <c r="BX76" s="185"/>
      <c r="BY76" s="185">
        <v>2287.92</v>
      </c>
      <c r="BZ76" s="185"/>
      <c r="CA76" s="185">
        <v>1378.87</v>
      </c>
      <c r="CB76" s="185"/>
      <c r="CC76" s="185">
        <f>162643.56+69.83</f>
        <v>162713.38999999998</v>
      </c>
      <c r="CD76" s="305" t="s">
        <v>221</v>
      </c>
      <c r="CE76" s="295">
        <f t="shared" si="8"/>
        <v>542238.96</v>
      </c>
      <c r="CF76" s="295">
        <f>BE59-CE76</f>
        <v>2.0000000018626451E-2</v>
      </c>
    </row>
    <row r="77" spans="1:84" ht="12.65" customHeight="1" x14ac:dyDescent="0.35">
      <c r="A77" s="302" t="s">
        <v>249</v>
      </c>
      <c r="B77" s="295"/>
      <c r="C77" s="300">
        <v>1</v>
      </c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1</v>
      </c>
      <c r="CF77" s="295">
        <f>AY59-CE77</f>
        <v>-1</v>
      </c>
    </row>
    <row r="78" spans="1:84" ht="12.65" customHeight="1" x14ac:dyDescent="0.35">
      <c r="A78" s="302" t="s">
        <v>250</v>
      </c>
      <c r="B78" s="295"/>
      <c r="C78" s="300">
        <v>1</v>
      </c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/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1</v>
      </c>
      <c r="CF78" s="295"/>
    </row>
    <row r="79" spans="1:84" ht="12.65" customHeight="1" x14ac:dyDescent="0.35">
      <c r="A79" s="302" t="s">
        <v>251</v>
      </c>
      <c r="B79" s="295"/>
      <c r="C79" s="225">
        <v>1</v>
      </c>
      <c r="D79" s="225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1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0</v>
      </c>
      <c r="Q80" s="187">
        <v>0</v>
      </c>
      <c r="R80" s="187">
        <v>0</v>
      </c>
      <c r="S80" s="187">
        <v>0</v>
      </c>
      <c r="T80" s="187">
        <v>79.569999999999993</v>
      </c>
      <c r="U80" s="187">
        <v>3.05</v>
      </c>
      <c r="V80" s="187">
        <v>0</v>
      </c>
      <c r="W80" s="187">
        <v>0</v>
      </c>
      <c r="X80" s="187">
        <v>0</v>
      </c>
      <c r="Y80" s="187">
        <v>6.96</v>
      </c>
      <c r="Z80" s="187">
        <v>7.41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0</v>
      </c>
      <c r="AH80" s="187">
        <v>0</v>
      </c>
      <c r="AI80" s="187">
        <v>0</v>
      </c>
      <c r="AJ80" s="187">
        <v>158.76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43.46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299.20999999999998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1265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1266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1267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1248</v>
      </c>
      <c r="B85" s="312"/>
      <c r="C85" s="271" t="s">
        <v>1268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1249</v>
      </c>
      <c r="B86" s="312" t="s">
        <v>256</v>
      </c>
      <c r="C86" s="230" t="s">
        <v>1269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1270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1271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1272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1273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1274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70" t="s">
        <v>1275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1276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>
        <v>1</v>
      </c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f>E138</f>
        <v>468</v>
      </c>
      <c r="D111" s="174">
        <f>E139</f>
        <v>5590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/>
      <c r="D114" s="174"/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1236</v>
      </c>
      <c r="B118" s="312" t="s">
        <v>256</v>
      </c>
      <c r="C118" s="189">
        <v>20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20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/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1237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144</v>
      </c>
      <c r="C138" s="189">
        <v>75</v>
      </c>
      <c r="D138" s="174">
        <v>249</v>
      </c>
      <c r="E138" s="295">
        <f>SUM(B138:D138)</f>
        <v>468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1393</v>
      </c>
      <c r="C139" s="189">
        <v>906</v>
      </c>
      <c r="D139" s="174">
        <v>3291</v>
      </c>
      <c r="E139" s="295">
        <f>SUM(B139:D139)</f>
        <v>5590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/>
      <c r="C140" s="174"/>
      <c r="D140" s="174"/>
      <c r="E140" s="295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24282097</v>
      </c>
      <c r="C141" s="189">
        <v>14020466</v>
      </c>
      <c r="D141" s="174">
        <f>59634765+1</f>
        <v>59634766</v>
      </c>
      <c r="E141" s="295">
        <f>SUM(B141:D141)</f>
        <v>97937329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487727303</v>
      </c>
      <c r="C142" s="189">
        <v>118819120</v>
      </c>
      <c r="D142" s="174">
        <f>623745391-1</f>
        <v>623745390</v>
      </c>
      <c r="E142" s="295">
        <f>SUM(B142:D142)</f>
        <v>1230291813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10576761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463893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-131894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f>14545677+820862+639637</f>
        <v>16006176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362326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f>7927088+184997</f>
        <v>8112085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f>187013+1949039+835413+787561-455673</f>
        <v>3303353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38692700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f>1181462+8909883+625585+1515805+186898+1001020</f>
        <v>13420653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f>325747+923591</f>
        <v>1249338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14669991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1248994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/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1248994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-287031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f>2205882+1675136</f>
        <v>3881018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3593987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0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3312129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3312129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19961533.68</v>
      </c>
      <c r="C195" s="189"/>
      <c r="D195" s="174"/>
      <c r="E195" s="295">
        <f t="shared" ref="E195:E203" si="10">SUM(B195:C195)-D195</f>
        <v>19961533.68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8204246.1699999999</v>
      </c>
      <c r="C196" s="174">
        <v>88044.42</v>
      </c>
      <c r="D196" s="174"/>
      <c r="E196" s="295">
        <f t="shared" si="10"/>
        <v>8292290.5899999999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107526330.26000001</v>
      </c>
      <c r="C197" s="174">
        <v>21042385</v>
      </c>
      <c r="D197" s="174">
        <v>69625.66</v>
      </c>
      <c r="E197" s="295">
        <f t="shared" si="10"/>
        <v>128499089.60000001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40922318.120000005</v>
      </c>
      <c r="C198" s="174">
        <v>4954346.17</v>
      </c>
      <c r="D198" s="174"/>
      <c r="E198" s="295">
        <f t="shared" si="10"/>
        <v>45876664.290000007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4061520.3000000003</v>
      </c>
      <c r="C199" s="174">
        <v>985438.1</v>
      </c>
      <c r="D199" s="174">
        <v>36391.58</v>
      </c>
      <c r="E199" s="295">
        <f t="shared" si="10"/>
        <v>5010566.82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7850435.5000000009</v>
      </c>
      <c r="C200" s="174">
        <v>198676.61</v>
      </c>
      <c r="D200" s="174">
        <v>28960.07</v>
      </c>
      <c r="E200" s="295">
        <f t="shared" si="10"/>
        <v>8020152.040000001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98273088.960000008</v>
      </c>
      <c r="C201" s="174">
        <v>14586132.4</v>
      </c>
      <c r="D201" s="174">
        <v>1375563.85</v>
      </c>
      <c r="E201" s="295">
        <f t="shared" si="10"/>
        <v>111483657.51000002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14266700.460000001</v>
      </c>
      <c r="C202" s="174">
        <v>14583677.57</v>
      </c>
      <c r="D202" s="174"/>
      <c r="E202" s="295">
        <f t="shared" si="10"/>
        <v>28850378.030000001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35621512</v>
      </c>
      <c r="C203" s="189">
        <f>51430378-56438700.27</f>
        <v>-5008322.2700000033</v>
      </c>
      <c r="D203" s="174"/>
      <c r="E203" s="295">
        <f t="shared" si="10"/>
        <v>30613189.729999997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336687685.44999999</v>
      </c>
      <c r="C204" s="303">
        <f>SUM(C195:C203)</f>
        <v>51430378</v>
      </c>
      <c r="D204" s="295">
        <f>SUM(D195:D203)</f>
        <v>1510541.1600000001</v>
      </c>
      <c r="E204" s="295">
        <f>SUM(E195:E203)</f>
        <v>386607522.29000008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6135229.1699999999</v>
      </c>
      <c r="C209" s="189">
        <v>355999.2</v>
      </c>
      <c r="D209" s="174"/>
      <c r="E209" s="295">
        <f t="shared" ref="E209:E216" si="11">SUM(B209:C209)-D209</f>
        <v>6491228.3700000001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51227900.700000003</v>
      </c>
      <c r="C210" s="189">
        <v>5338289.88</v>
      </c>
      <c r="D210" s="174">
        <v>1811.87</v>
      </c>
      <c r="E210" s="295">
        <f t="shared" si="11"/>
        <v>56564378.710000008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>
        <v>28240752.48</v>
      </c>
      <c r="C211" s="189">
        <v>2290686.14</v>
      </c>
      <c r="D211" s="174">
        <v>653</v>
      </c>
      <c r="E211" s="295">
        <f t="shared" si="11"/>
        <v>30530785.620000001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1827381.69</v>
      </c>
      <c r="C212" s="189">
        <v>436530.97</v>
      </c>
      <c r="D212" s="174">
        <v>25329</v>
      </c>
      <c r="E212" s="295">
        <f t="shared" si="11"/>
        <v>2238583.66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6383920.2600000007</v>
      </c>
      <c r="C213" s="189">
        <v>1629417.71</v>
      </c>
      <c r="D213" s="174">
        <v>1423415</v>
      </c>
      <c r="E213" s="295">
        <f t="shared" si="11"/>
        <v>6589922.9700000007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67536715.989999995</v>
      </c>
      <c r="C214" s="189">
        <v>9180270.7400000002</v>
      </c>
      <c r="D214" s="174"/>
      <c r="E214" s="295">
        <f t="shared" si="11"/>
        <v>76716986.729999989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7614200.3499999996</v>
      </c>
      <c r="C215" s="189">
        <v>2378748.89</v>
      </c>
      <c r="D215" s="174"/>
      <c r="E215" s="295">
        <f t="shared" si="11"/>
        <v>9992949.2400000002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>
        <v>0</v>
      </c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168966100.64000002</v>
      </c>
      <c r="C217" s="303">
        <f>SUM(C208:C216)</f>
        <v>21609943.530000001</v>
      </c>
      <c r="D217" s="295">
        <f>SUM(D208:D216)</f>
        <v>1451208.87</v>
      </c>
      <c r="E217" s="295">
        <f>SUM(E208:E216)</f>
        <v>189124835.30000001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1252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1252</v>
      </c>
      <c r="B221" s="311"/>
      <c r="C221" s="189">
        <v>1972927</v>
      </c>
      <c r="D221" s="312">
        <f>C221</f>
        <v>1972927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324232131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104848038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/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/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194473690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623553859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2420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782320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14963455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15745775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641272561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165575232.28999999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>
        <v>343044524.97000003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196913642.41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106773035.84999999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1238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f>3894210.1+6802358.7</f>
        <v>10696568.800000001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>
        <v>13466.72</v>
      </c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15361337.640000001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12611708.91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637443445.88999999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f>E195</f>
        <v>19961533.68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f t="shared" ref="C268:C271" si="12">E196</f>
        <v>8292290.5899999999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f t="shared" si="12"/>
        <v>128499089.60000001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>
        <f t="shared" si="12"/>
        <v>45876664.290000007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f t="shared" si="12"/>
        <v>5010566.82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f>E200+E201</f>
        <v>119503809.55000003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f>E202</f>
        <v>28850378.030000001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f>E203</f>
        <v>30613189.729999997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386607522.29000008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f>E217</f>
        <v>189124835.30000001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197482686.99000007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>
        <f>10891863.03+5633340</f>
        <v>16525203.029999999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f>18595256.6+142575166.38</f>
        <v>161170422.97999999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177695626.00999999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7539281.5199999996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7539281.5199999996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1020161040.4100001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29111444.41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16481523.84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>
        <f>480214.79+13983496.62+17873712.29</f>
        <v>32337423.699999996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1239</v>
      </c>
      <c r="B309" s="312" t="s">
        <v>256</v>
      </c>
      <c r="C309" s="189">
        <v>52938557.380000003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f>9905747.07+279722.37+1225215.74</f>
        <v>11410685.18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>
        <v>3219000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145498634.50999999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>
        <v>292006.67</v>
      </c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292006.67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f>91676759.74+3219000+1</f>
        <v>94895760.739999995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f>144630860.59+811463</f>
        <v>145442323.59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240338084.32999998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3219000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237119084.32999998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189">
        <f>553152293.84+10891863.4</f>
        <v>564044157.24000001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1140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1141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>
        <v>73207157.189999998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1250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1020161039.9400001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1020161040.4100001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97937328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1230291813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1328229141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1252</v>
      </c>
      <c r="B363" s="316"/>
      <c r="C363" s="189">
        <v>1972927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623553859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15745774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641272560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686956581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116045901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116045901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803002482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138868990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38692700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11232866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277647032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2963729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f>6366539+185001511</f>
        <v>191368050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21609944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14669991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1248994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3593987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3312129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f>30974282-1248994-2</f>
        <v>29725286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734933698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68068784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5138373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73207157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73207157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Seattle Cancer Care Alliance   H-0     FYE 06/30/2020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1240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468</v>
      </c>
      <c r="C414" s="2">
        <f>E138</f>
        <v>468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5590</v>
      </c>
      <c r="C415" s="2">
        <f>E139</f>
        <v>5590</v>
      </c>
      <c r="D415" s="2">
        <f>SUM(C59:H59)+N59</f>
        <v>5590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1241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3">C378</f>
        <v>138868990</v>
      </c>
      <c r="C427" s="2">
        <f t="shared" ref="C427:C434" si="14">CE61</f>
        <v>138868989.79000002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3"/>
        <v>38692700</v>
      </c>
      <c r="C428" s="2">
        <f t="shared" si="14"/>
        <v>38692700</v>
      </c>
      <c r="D428" s="2">
        <f>D173</f>
        <v>38692700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3"/>
        <v>11232866</v>
      </c>
      <c r="C429" s="2">
        <f t="shared" si="14"/>
        <v>11232866.279999997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3"/>
        <v>277647032</v>
      </c>
      <c r="C430" s="2">
        <f t="shared" si="14"/>
        <v>277647031.51000005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3"/>
        <v>2963729</v>
      </c>
      <c r="C431" s="2">
        <f t="shared" si="14"/>
        <v>2963728.8200000003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3"/>
        <v>191368050</v>
      </c>
      <c r="C432" s="2">
        <f t="shared" si="14"/>
        <v>191368050.44999999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3"/>
        <v>21609944</v>
      </c>
      <c r="C433" s="2">
        <f t="shared" si="14"/>
        <v>21609944</v>
      </c>
      <c r="D433" s="2">
        <f>C217</f>
        <v>21609943.530000001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3"/>
        <v>14669991</v>
      </c>
      <c r="C434" s="2">
        <f t="shared" si="14"/>
        <v>14669991.25</v>
      </c>
      <c r="D434" s="2">
        <f>D177</f>
        <v>14669991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3"/>
        <v>1248994</v>
      </c>
      <c r="C435" s="2"/>
      <c r="D435" s="2">
        <f>D181</f>
        <v>1248994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3"/>
        <v>3593987</v>
      </c>
      <c r="C436" s="2"/>
      <c r="D436" s="2">
        <f>D186</f>
        <v>3593987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3"/>
        <v>3312129</v>
      </c>
      <c r="C437" s="2"/>
      <c r="D437" s="2">
        <f>D190</f>
        <v>3312129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8155110</v>
      </c>
      <c r="C438" s="2">
        <f>CD69</f>
        <v>5863540.9699999997</v>
      </c>
      <c r="D438" s="2">
        <f>D181+D186+D190</f>
        <v>8155110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29725286</v>
      </c>
      <c r="C439" s="2">
        <f>SUM(C69:CC69)</f>
        <v>32016856.200000003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37880396</v>
      </c>
      <c r="C440" s="2">
        <f>CE69</f>
        <v>37880397.170000002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734933698</v>
      </c>
      <c r="C441" s="2">
        <f>SUM(C427:C437)+C440</f>
        <v>734933699.26999998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1254</v>
      </c>
      <c r="B444" s="2">
        <f>D221</f>
        <v>1972927</v>
      </c>
      <c r="C444" s="2">
        <f>C363</f>
        <v>1972927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623553859</v>
      </c>
      <c r="C445" s="2">
        <f>C364</f>
        <v>623553859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15745775</v>
      </c>
      <c r="C446" s="2">
        <f>C365</f>
        <v>15745774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641272561</v>
      </c>
      <c r="C448" s="2">
        <f>D367</f>
        <v>641272560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2420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782320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14963455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116045901</v>
      </c>
      <c r="C458" s="2">
        <f>CE70</f>
        <v>116045901.38000001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1242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97937328</v>
      </c>
      <c r="C463" s="2">
        <f>CE73</f>
        <v>97937328.75</v>
      </c>
      <c r="D463" s="2">
        <f>E141+E147+E153</f>
        <v>97937329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1230291813</v>
      </c>
      <c r="C464" s="2">
        <f>CE74</f>
        <v>1230291813.2199998</v>
      </c>
      <c r="D464" s="2">
        <f>E142+E148+E154</f>
        <v>1230291813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1328229141</v>
      </c>
      <c r="C465" s="2">
        <f>CE75</f>
        <v>1328229141.9699996</v>
      </c>
      <c r="D465" s="2">
        <f>D463+D464</f>
        <v>1328229142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5">C267</f>
        <v>19961533.68</v>
      </c>
      <c r="C468" s="2">
        <f>E195</f>
        <v>19961533.68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5"/>
        <v>8292290.5899999999</v>
      </c>
      <c r="C469" s="2">
        <f>E196</f>
        <v>8292290.5899999999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5"/>
        <v>128499089.60000001</v>
      </c>
      <c r="C470" s="2">
        <f>E197</f>
        <v>128499089.60000001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5"/>
        <v>45876664.290000007</v>
      </c>
      <c r="C471" s="2">
        <f>E198</f>
        <v>45876664.290000007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5"/>
        <v>5010566.82</v>
      </c>
      <c r="C472" s="2">
        <f>E199</f>
        <v>5010566.82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5"/>
        <v>119503809.55000003</v>
      </c>
      <c r="C473" s="2">
        <f>SUM(E200:E201)</f>
        <v>119503809.55000003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5"/>
        <v>28850378.030000001</v>
      </c>
      <c r="C474" s="2">
        <f>E202</f>
        <v>28850378.030000001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5"/>
        <v>30613189.729999997</v>
      </c>
      <c r="C475" s="2">
        <f>E203</f>
        <v>30613189.729999997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386607522.29000008</v>
      </c>
      <c r="C476" s="2">
        <f>E204</f>
        <v>386607522.29000008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189124835.30000001</v>
      </c>
      <c r="C478" s="2">
        <f>E217</f>
        <v>189124835.30000001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1020161040.4100001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1020161039.9400001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204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61713243.49000001</v>
      </c>
      <c r="C496" s="333">
        <f>C71</f>
        <v>65954890.460000008</v>
      </c>
      <c r="D496" s="333">
        <f>'[1]Prior Year'!C59</f>
        <v>6519</v>
      </c>
      <c r="E496" s="2">
        <f>C59</f>
        <v>5590</v>
      </c>
      <c r="F496" s="334">
        <f t="shared" ref="F496:G511" si="16">IF(B496=0,"",IF(D496=0,"",B496/D496))</f>
        <v>9466.6733379352681</v>
      </c>
      <c r="G496" s="334">
        <f t="shared" si="16"/>
        <v>11798.728168157426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6"/>
        <v/>
      </c>
      <c r="G497" s="334" t="str">
        <f t="shared" si="16"/>
        <v/>
      </c>
      <c r="H497" s="335" t="str">
        <f t="shared" ref="H497:H550" si="17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0</v>
      </c>
      <c r="C498" s="333">
        <f>E71</f>
        <v>0</v>
      </c>
      <c r="D498" s="333">
        <f>'[1]Prior Year'!E59</f>
        <v>0</v>
      </c>
      <c r="E498" s="2">
        <f>E59</f>
        <v>0</v>
      </c>
      <c r="F498" s="334" t="str">
        <f t="shared" si="16"/>
        <v/>
      </c>
      <c r="G498" s="334" t="str">
        <f t="shared" si="16"/>
        <v/>
      </c>
      <c r="H498" s="335" t="str">
        <f t="shared" si="17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6"/>
        <v/>
      </c>
      <c r="G499" s="334" t="str">
        <f t="shared" si="16"/>
        <v/>
      </c>
      <c r="H499" s="335" t="str">
        <f t="shared" si="17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6"/>
        <v/>
      </c>
      <c r="G500" s="334" t="str">
        <f t="shared" si="16"/>
        <v/>
      </c>
      <c r="H500" s="335" t="str">
        <f t="shared" si="17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6"/>
        <v/>
      </c>
      <c r="G501" s="334" t="str">
        <f t="shared" si="16"/>
        <v/>
      </c>
      <c r="H501" s="335" t="str">
        <f t="shared" si="17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6"/>
        <v/>
      </c>
      <c r="G502" s="334" t="str">
        <f t="shared" si="16"/>
        <v/>
      </c>
      <c r="H502" s="335" t="str">
        <f t="shared" si="17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6"/>
        <v/>
      </c>
      <c r="G503" s="334" t="str">
        <f t="shared" si="16"/>
        <v/>
      </c>
      <c r="H503" s="335" t="str">
        <f t="shared" si="17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6"/>
        <v/>
      </c>
      <c r="G504" s="334" t="str">
        <f t="shared" si="16"/>
        <v/>
      </c>
      <c r="H504" s="335" t="str">
        <f t="shared" si="17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6"/>
        <v/>
      </c>
      <c r="G505" s="334" t="str">
        <f t="shared" si="16"/>
        <v/>
      </c>
      <c r="H505" s="335" t="str">
        <f t="shared" si="17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6"/>
        <v/>
      </c>
      <c r="G506" s="334" t="str">
        <f t="shared" si="16"/>
        <v/>
      </c>
      <c r="H506" s="335" t="str">
        <f t="shared" si="17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6"/>
        <v/>
      </c>
      <c r="G507" s="334" t="str">
        <f t="shared" si="16"/>
        <v/>
      </c>
      <c r="H507" s="335" t="str">
        <f t="shared" si="17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0</v>
      </c>
      <c r="E508" s="2">
        <f>O59</f>
        <v>0</v>
      </c>
      <c r="F508" s="334" t="str">
        <f t="shared" si="16"/>
        <v/>
      </c>
      <c r="G508" s="334" t="str">
        <f t="shared" si="16"/>
        <v/>
      </c>
      <c r="H508" s="335" t="str">
        <f t="shared" si="17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0</v>
      </c>
      <c r="C509" s="333">
        <f>P71</f>
        <v>0</v>
      </c>
      <c r="D509" s="333">
        <f>'[1]Prior Year'!P59</f>
        <v>0</v>
      </c>
      <c r="E509" s="2">
        <f>P59</f>
        <v>0</v>
      </c>
      <c r="F509" s="334" t="str">
        <f t="shared" si="16"/>
        <v/>
      </c>
      <c r="G509" s="334" t="str">
        <f t="shared" si="16"/>
        <v/>
      </c>
      <c r="H509" s="335" t="str">
        <f t="shared" si="17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6"/>
        <v/>
      </c>
      <c r="G510" s="334" t="str">
        <f t="shared" si="16"/>
        <v/>
      </c>
      <c r="H510" s="335" t="str">
        <f t="shared" si="17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0</v>
      </c>
      <c r="C511" s="333">
        <f>R71</f>
        <v>0</v>
      </c>
      <c r="D511" s="333">
        <f>'[1]Prior Year'!R59</f>
        <v>0</v>
      </c>
      <c r="E511" s="2">
        <f>R59</f>
        <v>0</v>
      </c>
      <c r="F511" s="334" t="str">
        <f t="shared" si="16"/>
        <v/>
      </c>
      <c r="G511" s="334" t="str">
        <f t="shared" si="16"/>
        <v/>
      </c>
      <c r="H511" s="335" t="str">
        <f t="shared" si="17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3944143.35</v>
      </c>
      <c r="C512" s="333">
        <f>S71</f>
        <v>4813432.01</v>
      </c>
      <c r="D512" s="327" t="s">
        <v>529</v>
      </c>
      <c r="E512" s="327" t="s">
        <v>529</v>
      </c>
      <c r="F512" s="334" t="str">
        <f t="shared" ref="F512:G527" si="18">IF(B512=0,"",IF(D512=0,"",B512/D512))</f>
        <v/>
      </c>
      <c r="G512" s="334" t="str">
        <f t="shared" si="18"/>
        <v/>
      </c>
      <c r="H512" s="335" t="str">
        <f t="shared" si="17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1243</v>
      </c>
      <c r="B513" s="333">
        <f>'[1]Prior Year'!T71</f>
        <v>21838225.260000017</v>
      </c>
      <c r="C513" s="333">
        <f>T71</f>
        <v>21468551.579999994</v>
      </c>
      <c r="D513" s="327" t="s">
        <v>529</v>
      </c>
      <c r="E513" s="327" t="s">
        <v>529</v>
      </c>
      <c r="F513" s="334" t="str">
        <f t="shared" si="18"/>
        <v/>
      </c>
      <c r="G513" s="334" t="str">
        <f t="shared" si="18"/>
        <v/>
      </c>
      <c r="H513" s="335" t="str">
        <f t="shared" si="17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28346396.199999996</v>
      </c>
      <c r="C514" s="333">
        <f>U71</f>
        <v>29651408.910000004</v>
      </c>
      <c r="D514" s="333">
        <f>'[1]Prior Year'!U59</f>
        <v>681184</v>
      </c>
      <c r="E514" s="2">
        <f>U59</f>
        <v>640736</v>
      </c>
      <c r="F514" s="334">
        <f t="shared" si="18"/>
        <v>41.61342045614694</v>
      </c>
      <c r="G514" s="334">
        <f t="shared" si="18"/>
        <v>46.277107747964848</v>
      </c>
      <c r="H514" s="335" t="str">
        <f t="shared" si="17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0</v>
      </c>
      <c r="C515" s="333">
        <f>V71</f>
        <v>0</v>
      </c>
      <c r="D515" s="333">
        <f>'[1]Prior Year'!V59</f>
        <v>0</v>
      </c>
      <c r="E515" s="2">
        <f>V59</f>
        <v>0</v>
      </c>
      <c r="F515" s="334" t="str">
        <f t="shared" si="18"/>
        <v/>
      </c>
      <c r="G515" s="334" t="str">
        <f t="shared" si="18"/>
        <v/>
      </c>
      <c r="H515" s="335" t="str">
        <f t="shared" si="17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1030984.7499999998</v>
      </c>
      <c r="C516" s="333">
        <f>W71</f>
        <v>1246354.8900000001</v>
      </c>
      <c r="D516" s="333">
        <f>'[1]Prior Year'!W59</f>
        <v>0</v>
      </c>
      <c r="E516" s="2">
        <f>W59</f>
        <v>0</v>
      </c>
      <c r="F516" s="334" t="str">
        <f t="shared" si="18"/>
        <v/>
      </c>
      <c r="G516" s="334" t="str">
        <f t="shared" si="18"/>
        <v/>
      </c>
      <c r="H516" s="335" t="str">
        <f t="shared" si="17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2098427.1100000003</v>
      </c>
      <c r="C517" s="333">
        <f>X71</f>
        <v>2963905.4799999995</v>
      </c>
      <c r="D517" s="333">
        <f>'[1]Prior Year'!X59</f>
        <v>22994</v>
      </c>
      <c r="E517" s="2">
        <f>X59</f>
        <v>23842</v>
      </c>
      <c r="F517" s="334">
        <f t="shared" si="18"/>
        <v>91.259768200400117</v>
      </c>
      <c r="G517" s="334">
        <f t="shared" si="18"/>
        <v>124.31446522942704</v>
      </c>
      <c r="H517" s="335">
        <f t="shared" si="17"/>
        <v>0.36220448156783736</v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6839518.2600000016</v>
      </c>
      <c r="C518" s="333">
        <f>Y71</f>
        <v>7422296.7100000009</v>
      </c>
      <c r="D518" s="333">
        <f>'[1]Prior Year'!Y59</f>
        <v>0</v>
      </c>
      <c r="E518" s="2">
        <f>Y59</f>
        <v>0</v>
      </c>
      <c r="F518" s="334" t="str">
        <f t="shared" si="18"/>
        <v/>
      </c>
      <c r="G518" s="334" t="str">
        <f t="shared" si="18"/>
        <v/>
      </c>
      <c r="H518" s="335" t="str">
        <f t="shared" si="17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9790222.4300000016</v>
      </c>
      <c r="C519" s="333">
        <f>Z71</f>
        <v>13037702.67</v>
      </c>
      <c r="D519" s="333">
        <f>'[1]Prior Year'!Z59</f>
        <v>0</v>
      </c>
      <c r="E519" s="2">
        <f>Z59</f>
        <v>0</v>
      </c>
      <c r="F519" s="334" t="str">
        <f t="shared" si="18"/>
        <v/>
      </c>
      <c r="G519" s="334" t="str">
        <f t="shared" si="18"/>
        <v/>
      </c>
      <c r="H519" s="335" t="str">
        <f t="shared" si="17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4586724.7600000007</v>
      </c>
      <c r="C520" s="333">
        <f>AA71</f>
        <v>6965997.1099999994</v>
      </c>
      <c r="D520" s="333">
        <f>'[1]Prior Year'!AA59</f>
        <v>0</v>
      </c>
      <c r="E520" s="2">
        <f>AA59</f>
        <v>0</v>
      </c>
      <c r="F520" s="334" t="str">
        <f t="shared" si="18"/>
        <v/>
      </c>
      <c r="G520" s="334" t="str">
        <f t="shared" si="18"/>
        <v/>
      </c>
      <c r="H520" s="335" t="str">
        <f t="shared" si="17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240565342.48999995</v>
      </c>
      <c r="C521" s="333">
        <f>AB71</f>
        <v>190756752.32999998</v>
      </c>
      <c r="D521" s="327" t="s">
        <v>529</v>
      </c>
      <c r="E521" s="327" t="s">
        <v>529</v>
      </c>
      <c r="F521" s="334" t="str">
        <f t="shared" si="18"/>
        <v/>
      </c>
      <c r="G521" s="334" t="str">
        <f t="shared" si="18"/>
        <v/>
      </c>
      <c r="H521" s="335" t="str">
        <f t="shared" si="17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330904.2300000001</v>
      </c>
      <c r="C522" s="333">
        <f>AC71</f>
        <v>368665.16</v>
      </c>
      <c r="D522" s="333">
        <f>'[1]Prior Year'!AC59</f>
        <v>0</v>
      </c>
      <c r="E522" s="2">
        <f>AC59</f>
        <v>0</v>
      </c>
      <c r="F522" s="334" t="str">
        <f t="shared" si="18"/>
        <v/>
      </c>
      <c r="G522" s="334" t="str">
        <f t="shared" si="18"/>
        <v/>
      </c>
      <c r="H522" s="335" t="str">
        <f t="shared" si="17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8"/>
        <v/>
      </c>
      <c r="G523" s="334" t="str">
        <f t="shared" si="18"/>
        <v/>
      </c>
      <c r="H523" s="335" t="str">
        <f t="shared" si="17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1229323.6900000006</v>
      </c>
      <c r="C524" s="333">
        <f>AE71</f>
        <v>1444213.46</v>
      </c>
      <c r="D524" s="333">
        <f>'[1]Prior Year'!AE59</f>
        <v>0</v>
      </c>
      <c r="E524" s="2">
        <f>AE59</f>
        <v>0</v>
      </c>
      <c r="F524" s="334" t="str">
        <f t="shared" si="18"/>
        <v/>
      </c>
      <c r="G524" s="334" t="str">
        <f t="shared" si="18"/>
        <v/>
      </c>
      <c r="H524" s="335" t="str">
        <f t="shared" si="17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8"/>
        <v/>
      </c>
      <c r="G525" s="334" t="str">
        <f t="shared" si="18"/>
        <v/>
      </c>
      <c r="H525" s="335" t="str">
        <f t="shared" si="17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0</v>
      </c>
      <c r="C526" s="333">
        <f>AG71</f>
        <v>0</v>
      </c>
      <c r="D526" s="333">
        <f>'[1]Prior Year'!AG59</f>
        <v>0</v>
      </c>
      <c r="E526" s="2">
        <f>AG59</f>
        <v>0</v>
      </c>
      <c r="F526" s="334" t="str">
        <f t="shared" si="18"/>
        <v/>
      </c>
      <c r="G526" s="334" t="str">
        <f t="shared" si="18"/>
        <v/>
      </c>
      <c r="H526" s="335" t="str">
        <f t="shared" si="17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8"/>
        <v/>
      </c>
      <c r="G527" s="334" t="str">
        <f t="shared" si="18"/>
        <v/>
      </c>
      <c r="H527" s="335" t="str">
        <f t="shared" si="17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9">IF(B528=0,"",IF(D528=0,"",B528/D528))</f>
        <v/>
      </c>
      <c r="G528" s="334" t="str">
        <f t="shared" si="19"/>
        <v/>
      </c>
      <c r="H528" s="335" t="str">
        <f t="shared" si="17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87601944.230000004</v>
      </c>
      <c r="C529" s="333">
        <f>AJ71</f>
        <v>98975947.75</v>
      </c>
      <c r="D529" s="333">
        <f>'[1]Prior Year'!AJ59</f>
        <v>88296</v>
      </c>
      <c r="E529" s="2">
        <f>AJ59</f>
        <v>80885</v>
      </c>
      <c r="F529" s="334">
        <f t="shared" si="19"/>
        <v>992.1394426701097</v>
      </c>
      <c r="G529" s="334">
        <f t="shared" si="19"/>
        <v>1223.6625795883044</v>
      </c>
      <c r="H529" s="335" t="str">
        <f t="shared" si="17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9"/>
        <v/>
      </c>
      <c r="G530" s="334" t="str">
        <f t="shared" si="19"/>
        <v/>
      </c>
      <c r="H530" s="335" t="str">
        <f t="shared" si="17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9"/>
        <v/>
      </c>
      <c r="G531" s="334" t="str">
        <f t="shared" si="19"/>
        <v/>
      </c>
      <c r="H531" s="335" t="str">
        <f t="shared" si="17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9"/>
        <v/>
      </c>
      <c r="G532" s="334" t="str">
        <f t="shared" si="19"/>
        <v/>
      </c>
      <c r="H532" s="335" t="str">
        <f t="shared" si="17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1244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9"/>
        <v/>
      </c>
      <c r="G533" s="334" t="str">
        <f t="shared" si="19"/>
        <v/>
      </c>
      <c r="H533" s="335" t="str">
        <f t="shared" si="17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9"/>
        <v/>
      </c>
      <c r="G534" s="334" t="str">
        <f t="shared" si="19"/>
        <v/>
      </c>
      <c r="H534" s="335" t="str">
        <f t="shared" si="17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9"/>
        <v/>
      </c>
      <c r="G535" s="334" t="str">
        <f t="shared" si="19"/>
        <v/>
      </c>
      <c r="H535" s="335" t="str">
        <f t="shared" si="17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9"/>
        <v/>
      </c>
      <c r="G536" s="334" t="str">
        <f t="shared" si="19"/>
        <v/>
      </c>
      <c r="H536" s="335" t="str">
        <f t="shared" si="17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9"/>
        <v/>
      </c>
      <c r="G537" s="334" t="str">
        <f t="shared" si="19"/>
        <v/>
      </c>
      <c r="H537" s="335" t="str">
        <f t="shared" si="17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9"/>
        <v/>
      </c>
      <c r="G538" s="334" t="str">
        <f t="shared" si="19"/>
        <v/>
      </c>
      <c r="H538" s="335" t="str">
        <f t="shared" si="17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6256983.1100000106</v>
      </c>
      <c r="C539" s="333">
        <f>AT71</f>
        <v>7011268.8199999984</v>
      </c>
      <c r="D539" s="333">
        <f>'[1]Prior Year'!AT59</f>
        <v>498</v>
      </c>
      <c r="E539" s="2">
        <f>AT59</f>
        <v>379</v>
      </c>
      <c r="F539" s="334">
        <f t="shared" si="19"/>
        <v>12564.223112449821</v>
      </c>
      <c r="G539" s="334">
        <f t="shared" si="19"/>
        <v>18499.390026385219</v>
      </c>
      <c r="H539" s="335">
        <f t="shared" si="17"/>
        <v>0.4723863036190652</v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9"/>
        <v/>
      </c>
      <c r="G540" s="334" t="str">
        <f t="shared" si="19"/>
        <v/>
      </c>
      <c r="H540" s="335" t="str">
        <f t="shared" si="17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5224115.0599999977</v>
      </c>
      <c r="C541" s="333">
        <f>AV71</f>
        <v>5614715.96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1245</v>
      </c>
      <c r="B542" s="333">
        <f>'[1]Prior Year'!AW71</f>
        <v>383601.40999999968</v>
      </c>
      <c r="C542" s="333">
        <f>AW71</f>
        <v>-13796.56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898345.38000000024</v>
      </c>
      <c r="C544" s="333">
        <f>AY71</f>
        <v>945079.65</v>
      </c>
      <c r="D544" s="333">
        <f>'[1]Prior Year'!AY59</f>
        <v>0</v>
      </c>
      <c r="E544" s="2">
        <f>AY59</f>
        <v>0</v>
      </c>
      <c r="F544" s="334" t="str">
        <f t="shared" ref="F544:G550" si="20">IF(B544=0,"",IF(D544=0,"",B544/D544))</f>
        <v/>
      </c>
      <c r="G544" s="334" t="str">
        <f t="shared" si="20"/>
        <v/>
      </c>
      <c r="H544" s="335" t="str">
        <f t="shared" si="17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603709.77</v>
      </c>
      <c r="C545" s="333">
        <f>AZ71</f>
        <v>875151.22</v>
      </c>
      <c r="D545" s="333">
        <f>'[1]Prior Year'!AZ59</f>
        <v>0</v>
      </c>
      <c r="E545" s="2">
        <f>AZ59</f>
        <v>0</v>
      </c>
      <c r="F545" s="334" t="str">
        <f t="shared" si="20"/>
        <v/>
      </c>
      <c r="G545" s="334" t="str">
        <f t="shared" si="20"/>
        <v/>
      </c>
      <c r="H545" s="335" t="str">
        <f t="shared" si="17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0</v>
      </c>
      <c r="C546" s="333">
        <f>BA71</f>
        <v>0</v>
      </c>
      <c r="D546" s="333">
        <f>'[1]Prior Year'!BA59</f>
        <v>0</v>
      </c>
      <c r="E546" s="2">
        <f>BA59</f>
        <v>0</v>
      </c>
      <c r="F546" s="334" t="str">
        <f t="shared" si="20"/>
        <v/>
      </c>
      <c r="G546" s="334" t="str">
        <f t="shared" si="20"/>
        <v/>
      </c>
      <c r="H546" s="335" t="str">
        <f t="shared" si="17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4667202.87</v>
      </c>
      <c r="C547" s="333">
        <f>BB71</f>
        <v>4268775.2700000005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820497.75</v>
      </c>
      <c r="C548" s="333">
        <f>BC71</f>
        <v>2107671.94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2913974.7800000007</v>
      </c>
      <c r="C549" s="333">
        <f>BD71</f>
        <v>3770505.73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11373645.249999998</v>
      </c>
      <c r="C550" s="333">
        <f>BE71</f>
        <v>15274330.6</v>
      </c>
      <c r="D550" s="333">
        <f>'[1]Prior Year'!BE59</f>
        <v>485314.41285089916</v>
      </c>
      <c r="E550" s="2">
        <f>BE59</f>
        <v>542238.98</v>
      </c>
      <c r="F550" s="334">
        <f t="shared" si="20"/>
        <v>23.435622245767238</v>
      </c>
      <c r="G550" s="334">
        <f t="shared" si="20"/>
        <v>28.169001424427289</v>
      </c>
      <c r="H550" s="335" t="str">
        <f t="shared" si="17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0</v>
      </c>
      <c r="C551" s="333">
        <f>BF71</f>
        <v>0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0</v>
      </c>
      <c r="C553" s="333">
        <f>BH71</f>
        <v>0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57782.470000000088</v>
      </c>
      <c r="C554" s="333">
        <f>BI71</f>
        <v>17869.409999999974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2884084.9300000006</v>
      </c>
      <c r="C555" s="333">
        <f>BJ71</f>
        <v>3560498.2100000004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2871927.1399999978</v>
      </c>
      <c r="C556" s="333">
        <f>BK71</f>
        <v>2598593.0499999998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3932581.4400000013</v>
      </c>
      <c r="C557" s="333">
        <f>BL71</f>
        <v>4222219.1799999988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7209172.8899999969</v>
      </c>
      <c r="C558" s="333">
        <f>BM71</f>
        <v>6646812.6099999994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29604655.239999995</v>
      </c>
      <c r="C559" s="333">
        <f>BN71</f>
        <v>30088499.949999999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843259.57999999984</v>
      </c>
      <c r="C560" s="333">
        <f>BO71</f>
        <v>2046853.22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7882681.6600000039</v>
      </c>
      <c r="C561" s="333">
        <f>BP71</f>
        <v>8139024.6499999994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1246</v>
      </c>
      <c r="B564" s="333">
        <f>'[1]Prior Year'!BS71</f>
        <v>428038.06000000006</v>
      </c>
      <c r="C564" s="333">
        <f>BS71</f>
        <v>436694.57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630923.31999999972</v>
      </c>
      <c r="C565" s="333">
        <f>BT71</f>
        <v>570916.51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346477.53</v>
      </c>
      <c r="C566" s="333">
        <f>BU71</f>
        <v>340038.77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6521122.3599999966</v>
      </c>
      <c r="C567" s="333">
        <f>BV71</f>
        <v>7066715.8200000003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0</v>
      </c>
      <c r="C568" s="333">
        <f>BW71</f>
        <v>0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5446799.0399999991</v>
      </c>
      <c r="C570" s="333">
        <f>BY71</f>
        <v>5095903.45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2099903.5300000007</v>
      </c>
      <c r="C572" s="333">
        <f>CA71</f>
        <v>2573889.0999999996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61066366.649999984</v>
      </c>
      <c r="C574" s="333">
        <f>CC71</f>
        <v>69269441.780000001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10496954.010000005</v>
      </c>
      <c r="C575" s="333">
        <f>CD71</f>
        <v>-8709993.5399999991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425804.35</v>
      </c>
      <c r="E612" s="2">
        <f>SUM(C624:D647)+SUM(C668:D713)</f>
        <v>505053616.25777918</v>
      </c>
      <c r="F612" s="2">
        <f>CE64-(AX64+BD64+BE64+BG64+BJ64+BN64+BP64+BQ64+CB64+CC64+CD64)</f>
        <v>275934574.31000006</v>
      </c>
      <c r="G612" s="2">
        <f>CE77-(AX77+AY77+BD77+BE77+BG77+BJ77+BN77+BP77+BQ77+CB77+CC77+CD77)</f>
        <v>1</v>
      </c>
      <c r="H612" s="326">
        <f>CE60-(AX60+AY60+AZ60+BD60+BE60+BG60+BJ60+BN60+BO60+BP60+BQ60+BR60+CB60+CC60+CD60)</f>
        <v>1237.4400000000005</v>
      </c>
      <c r="I612" s="2">
        <f>CE78-(AX78+AY78+AZ78+BD78+BE78+BF78+BG78+BJ78+BN78+BO78+BP78+BQ78+BR78+CB78+CC78+CD78)</f>
        <v>1</v>
      </c>
      <c r="J612" s="2">
        <f>CE79-(AX79+AY79+AZ79+BA79+BD79+BE79+BF79+BG79+BJ79+BN79+BO79+BP79+BQ79+BR79+CB79+CC79+CD79)</f>
        <v>1</v>
      </c>
      <c r="K612" s="2">
        <f>CE75-(AW75+AX75+AY75+AZ75+BA75+BB75+BC75+BD75+BE75+BF75+BG75+BH75+BI75+BJ75+BK75+BL75+BM75+BN75+BO75+BP75+BQ75+BR75+BS75+BT75+BU75+BV75+BW75+BX75+CB75+CC75+CD75)</f>
        <v>1328229141.9699996</v>
      </c>
      <c r="L612" s="326">
        <f>CE80-(AW80+AX80+AY80+AZ80+BA80+BB80+BC80+BD80+BE80+BF80+BG80+BH80+BI80+BJ80+BK80+BL80+BM80+BN80+BO80+BP80+BQ80+BR80+BS80+BT80+BU80+BV80+BW80+BX80+BY80+BZ80+CA80+CB80+CC80+CD80)</f>
        <v>299.20999999999998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15274330.6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-8709993.5399999991</v>
      </c>
      <c r="D615" s="338">
        <f>SUM(C614:C615)</f>
        <v>6564337.0600000005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3560498.2100000004</v>
      </c>
      <c r="D617" s="2">
        <f>(D615/D612)*BJ76</f>
        <v>45268.642714323141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30088499.949999999</v>
      </c>
      <c r="D619" s="2">
        <f>(D615/D612)*BN76</f>
        <v>173946.68011812659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69269441.780000001</v>
      </c>
      <c r="D620" s="2">
        <f>(D615/D612)*CC76</f>
        <v>2508442.0488781608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8139024.6499999994</v>
      </c>
      <c r="D621" s="2">
        <f>(D615/D612)*BP76</f>
        <v>49059.670510127959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113834181.63222076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3770505.73</v>
      </c>
      <c r="D624" s="2">
        <f>(D615/D612)*BD76</f>
        <v>26494.337194876945</v>
      </c>
      <c r="E624" s="2">
        <f>(E623/E612)*SUM(C624:D624)</f>
        <v>855806.95077333495</v>
      </c>
      <c r="F624" s="2">
        <f>SUM(C624:E624)</f>
        <v>4652807.0179682113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945079.65</v>
      </c>
      <c r="D625" s="2">
        <f>(D615/D612)*AY76</f>
        <v>2243.0748822317105</v>
      </c>
      <c r="E625" s="2">
        <f>(E623/E612)*SUM(C625:D625)</f>
        <v>213517.34480707874</v>
      </c>
      <c r="F625" s="2">
        <f>(F624/F612)*AY64</f>
        <v>9.8285188125300653</v>
      </c>
      <c r="G625" s="2">
        <f>SUM(C625:F625)</f>
        <v>1160849.8982081229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2046853.22</v>
      </c>
      <c r="D627" s="2">
        <f>(D615/D612)*BO76</f>
        <v>18095.216525890824</v>
      </c>
      <c r="E627" s="2">
        <f>(E623/E612)*SUM(C627:D627)</f>
        <v>465419.32938993775</v>
      </c>
      <c r="F627" s="2">
        <f>(F624/F612)*BO64</f>
        <v>301.92428070070423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875151.22</v>
      </c>
      <c r="D628" s="2">
        <f>(D615/D612)*AZ76</f>
        <v>32803.467061222844</v>
      </c>
      <c r="E628" s="2">
        <f>(E623/E612)*SUM(C628:D628)</f>
        <v>204644.17129923173</v>
      </c>
      <c r="F628" s="2">
        <f>(F624/F612)*AZ64</f>
        <v>4663.7045144979338</v>
      </c>
      <c r="G628" s="2">
        <f>(G625/G612)*AZ77</f>
        <v>0</v>
      </c>
      <c r="H628" s="2">
        <f>SUM(C626:G628)</f>
        <v>3647932.2530714823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0</v>
      </c>
      <c r="D629" s="2">
        <f>(D615/D612)*BF76</f>
        <v>0</v>
      </c>
      <c r="E629" s="2">
        <f>(E623/E612)*SUM(C629:D629)</f>
        <v>0</v>
      </c>
      <c r="F629" s="2">
        <f>(F624/F612)*BF64</f>
        <v>0</v>
      </c>
      <c r="G629" s="2">
        <f>(G625/G612)*BF77</f>
        <v>0</v>
      </c>
      <c r="H629" s="2">
        <f>(H628/H612)*BF60</f>
        <v>0</v>
      </c>
      <c r="I629" s="2">
        <f>SUM(C629:H629)</f>
        <v>0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0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-13796.56</v>
      </c>
      <c r="D631" s="2">
        <f>(D615/D612)*AW76</f>
        <v>0</v>
      </c>
      <c r="E631" s="2">
        <f>(E623/E612)*SUM(C631:D631)</f>
        <v>-3109.6106757470257</v>
      </c>
      <c r="F631" s="2">
        <f>(F624/F612)*AW64</f>
        <v>-0.77042448624845361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4268775.2700000005</v>
      </c>
      <c r="D632" s="2">
        <f>(D615/D612)*BB76</f>
        <v>18130.67406698452</v>
      </c>
      <c r="E632" s="2">
        <f>(E623/E612)*SUM(C632:D632)</f>
        <v>966226.9790146295</v>
      </c>
      <c r="F632" s="2">
        <f>(F624/F612)*BB64</f>
        <v>75.888245164926204</v>
      </c>
      <c r="G632" s="2">
        <f>(G625/G612)*BB77</f>
        <v>0</v>
      </c>
      <c r="H632" s="2">
        <f>(H628/H612)*BB60</f>
        <v>75055.239173778042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2107671.94</v>
      </c>
      <c r="D633" s="2">
        <f>(D615/D612)*BC76</f>
        <v>3156.8002998940715</v>
      </c>
      <c r="E633" s="2">
        <f>(E623/E612)*SUM(C633:D633)</f>
        <v>475760.30441720231</v>
      </c>
      <c r="F633" s="2">
        <f>(F624/F612)*BC64</f>
        <v>6.0372681780782749</v>
      </c>
      <c r="G633" s="2">
        <f>(G625/G612)*BC77</f>
        <v>0</v>
      </c>
      <c r="H633" s="2">
        <f>(H628/H612)*BC60</f>
        <v>9698.8113464937051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17869.409999999974</v>
      </c>
      <c r="D634" s="2">
        <f>(D615/D612)*BI76</f>
        <v>4070.9882072228716</v>
      </c>
      <c r="E634" s="2">
        <f>(E623/E612)*SUM(C634:D634)</f>
        <v>4945.1527406339746</v>
      </c>
      <c r="F634" s="2">
        <f>(F624/F612)*BI64</f>
        <v>3283.2566048024569</v>
      </c>
      <c r="G634" s="2">
        <f>(G625/G612)*BI77</f>
        <v>0</v>
      </c>
      <c r="H634" s="2">
        <f>(H628/H612)*BI60</f>
        <v>3478.601030049414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2598593.0499999998</v>
      </c>
      <c r="D635" s="2">
        <f>(D615/D612)*BK76</f>
        <v>67315.833439939728</v>
      </c>
      <c r="E635" s="2">
        <f>(E623/E612)*SUM(C635:D635)</f>
        <v>600869.97951037565</v>
      </c>
      <c r="F635" s="2">
        <f>(F624/F612)*BK64</f>
        <v>286.99939295134482</v>
      </c>
      <c r="G635" s="2">
        <f>(G625/G612)*BK77</f>
        <v>0</v>
      </c>
      <c r="H635" s="2">
        <f>(H628/H612)*BK60</f>
        <v>173694.21414450125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0</v>
      </c>
      <c r="D636" s="2">
        <f>(D615/D612)*BH76</f>
        <v>0</v>
      </c>
      <c r="E636" s="2">
        <f>(E623/E612)*SUM(C636:D636)</f>
        <v>0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4222219.1799999988</v>
      </c>
      <c r="D637" s="2">
        <f>(D615/D612)*BL76</f>
        <v>95568.248020175481</v>
      </c>
      <c r="E637" s="2">
        <f>(E623/E612)*SUM(C637:D637)</f>
        <v>973187.36567505426</v>
      </c>
      <c r="F637" s="2">
        <f>(F624/F612)*BL64</f>
        <v>724.87703783502707</v>
      </c>
      <c r="G637" s="2">
        <f>(G625/G612)*BL77</f>
        <v>0</v>
      </c>
      <c r="H637" s="2">
        <f>(H628/H612)*BL60</f>
        <v>84252.896134586656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6646812.6099999994</v>
      </c>
      <c r="D638" s="2">
        <f>(D615/D612)*BM76</f>
        <v>34129.733261349262</v>
      </c>
      <c r="E638" s="2">
        <f>(E623/E612)*SUM(C638:D638)</f>
        <v>1505819.5401357904</v>
      </c>
      <c r="F638" s="2">
        <f>(F624/F612)*BM64</f>
        <v>33.713532705524919</v>
      </c>
      <c r="G638" s="2">
        <f>(G625/G612)*BM77</f>
        <v>0</v>
      </c>
      <c r="H638" s="2">
        <f>(H628/H612)*BM60</f>
        <v>105065.54297539078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436694.57</v>
      </c>
      <c r="D639" s="2">
        <f>(D615/D612)*BS76</f>
        <v>5197.9213611138548</v>
      </c>
      <c r="E639" s="2">
        <f>(E623/E612)*SUM(C639:D639)</f>
        <v>99598.277300208894</v>
      </c>
      <c r="F639" s="2">
        <f>(F624/F612)*BS64</f>
        <v>7.5718782129539974</v>
      </c>
      <c r="G639" s="2">
        <f>(G625/G612)*BS77</f>
        <v>0</v>
      </c>
      <c r="H639" s="2">
        <f>(H628/H612)*BS60</f>
        <v>11143.315164056597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570916.51</v>
      </c>
      <c r="D640" s="2">
        <f>(D615/D612)*BT76</f>
        <v>8832.7818128842518</v>
      </c>
      <c r="E640" s="2">
        <f>(E623/E612)*SUM(C640:D640)</f>
        <v>130669.86169582292</v>
      </c>
      <c r="F640" s="2">
        <f>(F624/F612)*BT64</f>
        <v>62.567607483889802</v>
      </c>
      <c r="G640" s="2">
        <f>(G625/G612)*BT77</f>
        <v>0</v>
      </c>
      <c r="H640" s="2">
        <f>(H628/H612)*BT60</f>
        <v>13383.77006476639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340038.77</v>
      </c>
      <c r="D641" s="2">
        <f>(D615/D612)*BU76</f>
        <v>18889.773772833934</v>
      </c>
      <c r="E641" s="2">
        <f>(E623/E612)*SUM(C641:D641)</f>
        <v>80899.008995455253</v>
      </c>
      <c r="F641" s="2">
        <f>(F624/F612)*BU64</f>
        <v>31.200083943866026</v>
      </c>
      <c r="G641" s="2">
        <f>(G625/G612)*BU77</f>
        <v>0</v>
      </c>
      <c r="H641" s="2">
        <f>(H628/H612)*BU60</f>
        <v>7930.0311617228172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7066715.8200000003</v>
      </c>
      <c r="D642" s="2">
        <f>(D615/D612)*BV76</f>
        <v>72375.007901121731</v>
      </c>
      <c r="E642" s="2">
        <f>(E623/E612)*SUM(C642:D642)</f>
        <v>1609081.7604945726</v>
      </c>
      <c r="F642" s="2">
        <f>(F624/F612)*BV64</f>
        <v>744.21487792179255</v>
      </c>
      <c r="G642" s="2">
        <f>(G625/G612)*BV77</f>
        <v>0</v>
      </c>
      <c r="H642" s="2">
        <f>(H628/H612)*BV60</f>
        <v>197012.63291373081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35720097.561661318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5095903.45</v>
      </c>
      <c r="D645" s="2">
        <f>(D615/D612)*BY76</f>
        <v>35271.311921344161</v>
      </c>
      <c r="E645" s="2">
        <f>(E623/E612)*SUM(C645:D645)</f>
        <v>1156516.9737089763</v>
      </c>
      <c r="F645" s="2">
        <f>(F624/F612)*BY64</f>
        <v>1217.5113089208116</v>
      </c>
      <c r="G645" s="2">
        <f>(G625/G612)*BY77</f>
        <v>0</v>
      </c>
      <c r="H645" s="2">
        <f>(H628/H612)*BY60</f>
        <v>53594.039598557923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2573889.0999999996</v>
      </c>
      <c r="D647" s="2">
        <f>(D615/D612)*CA76</f>
        <v>21257.10421211573</v>
      </c>
      <c r="E647" s="2">
        <f>(E623/E612)*SUM(C647:D647)</f>
        <v>584920.75863420765</v>
      </c>
      <c r="F647" s="2">
        <f>(F624/F612)*CA64</f>
        <v>66.719536160820354</v>
      </c>
      <c r="G647" s="2">
        <f>(G625/G612)*CA77</f>
        <v>0</v>
      </c>
      <c r="H647" s="2">
        <f>(H628/H612)*CA60</f>
        <v>61465.11142078838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9584102.0803410709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161191694.58999997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65954890.460000008</v>
      </c>
      <c r="D668" s="2">
        <f>(D615/D612)*C76</f>
        <v>238120.51292749832</v>
      </c>
      <c r="E668" s="2">
        <f>(E623/E612)*SUM(C668:D668)</f>
        <v>14919262.01757941</v>
      </c>
      <c r="F668" s="2">
        <f>(F624/F612)*C64</f>
        <v>188778.61460632563</v>
      </c>
      <c r="G668" s="2">
        <f>(G625/G612)*C77</f>
        <v>1160849.8982081229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2633830.8860546853</v>
      </c>
      <c r="L668" s="2">
        <f>(L647/L612)*C80</f>
        <v>0</v>
      </c>
      <c r="M668" s="2">
        <f t="shared" ref="M668:M713" si="21">ROUND(SUM(D668:L668),0)</f>
        <v>19140842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0</v>
      </c>
      <c r="D670" s="2">
        <f>(D615/D612)*E76</f>
        <v>0</v>
      </c>
      <c r="E670" s="2">
        <f>(E623/E612)*SUM(C670:D670)</f>
        <v>0</v>
      </c>
      <c r="F670" s="2">
        <f>(F624/F612)*E64</f>
        <v>0</v>
      </c>
      <c r="G670" s="2">
        <f>(G625/G612)*E77</f>
        <v>0</v>
      </c>
      <c r="H670" s="2">
        <f>(H628/H612)*E60</f>
        <v>0</v>
      </c>
      <c r="I670" s="2">
        <f>(I629/I612)*E78</f>
        <v>0</v>
      </c>
      <c r="J670" s="2">
        <f>(J630/J612)*E79</f>
        <v>0</v>
      </c>
      <c r="K670" s="2">
        <f>(K644/K612)*E75</f>
        <v>0</v>
      </c>
      <c r="L670" s="2">
        <f>(L647/L612)*E80</f>
        <v>0</v>
      </c>
      <c r="M670" s="2">
        <f t="shared" si="21"/>
        <v>0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1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1"/>
        <v>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0</v>
      </c>
      <c r="D681" s="2">
        <f>(D615/D612)*P76</f>
        <v>0</v>
      </c>
      <c r="E681" s="2">
        <f>(E623/E612)*SUM(C681:D681)</f>
        <v>0</v>
      </c>
      <c r="F681" s="2">
        <f>(F624/F612)*P64</f>
        <v>0</v>
      </c>
      <c r="G681" s="2">
        <f>(G625/G612)*P77</f>
        <v>0</v>
      </c>
      <c r="H681" s="2">
        <f>(H628/H612)*P60</f>
        <v>0</v>
      </c>
      <c r="I681" s="2">
        <f>(I629/I612)*P78</f>
        <v>0</v>
      </c>
      <c r="J681" s="2">
        <f>(J630/J612)*P79</f>
        <v>0</v>
      </c>
      <c r="K681" s="2">
        <f>(K644/K612)*P75</f>
        <v>0</v>
      </c>
      <c r="L681" s="2">
        <f>(L647/L612)*P80</f>
        <v>0</v>
      </c>
      <c r="M681" s="2">
        <f t="shared" si="21"/>
        <v>0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1"/>
        <v>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0</v>
      </c>
      <c r="D683" s="2">
        <f>(D615/D612)*R76</f>
        <v>0</v>
      </c>
      <c r="E683" s="2">
        <f>(E623/E612)*SUM(C683:D683)</f>
        <v>0</v>
      </c>
      <c r="F683" s="2">
        <f>(F624/F612)*R64</f>
        <v>0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0</v>
      </c>
      <c r="L683" s="2">
        <f>(L647/L612)*R80</f>
        <v>0</v>
      </c>
      <c r="M683" s="2">
        <f t="shared" si="21"/>
        <v>0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4813432.01</v>
      </c>
      <c r="D684" s="2">
        <f>(D615/D612)*S76</f>
        <v>0</v>
      </c>
      <c r="E684" s="2">
        <f>(E623/E612)*SUM(C684:D684)</f>
        <v>1084900.8423316004</v>
      </c>
      <c r="F684" s="2">
        <f>(F624/F612)*S64</f>
        <v>81132.06616521423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781239.95390809351</v>
      </c>
      <c r="L684" s="2">
        <f>(L647/L612)*S80</f>
        <v>0</v>
      </c>
      <c r="M684" s="2">
        <f t="shared" si="21"/>
        <v>1947273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21468551.579999994</v>
      </c>
      <c r="D685" s="2">
        <f>(D615/D612)*T76</f>
        <v>355025.10505597282</v>
      </c>
      <c r="E685" s="2">
        <f>(E623/E612)*SUM(C685:D685)</f>
        <v>4918822.3037361428</v>
      </c>
      <c r="F685" s="2">
        <f>(F624/F612)*T64</f>
        <v>39490.383749036424</v>
      </c>
      <c r="G685" s="2">
        <f>(G625/G612)*T77</f>
        <v>0</v>
      </c>
      <c r="H685" s="2">
        <f>(H628/H612)*T60</f>
        <v>382056.51991051191</v>
      </c>
      <c r="I685" s="2">
        <f>(I629/I612)*T78</f>
        <v>0</v>
      </c>
      <c r="J685" s="2">
        <f>(J630/J612)*T79</f>
        <v>0</v>
      </c>
      <c r="K685" s="2">
        <f>(K644/K612)*T75</f>
        <v>3480255.5114387246</v>
      </c>
      <c r="L685" s="2">
        <f>(L647/L612)*T80</f>
        <v>2548735.0106371413</v>
      </c>
      <c r="M685" s="2">
        <f t="shared" si="21"/>
        <v>11724385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29651408.910000004</v>
      </c>
      <c r="D686" s="2">
        <f>(D615/D612)*U76</f>
        <v>497194.58268270589</v>
      </c>
      <c r="E686" s="2">
        <f>(E623/E612)*SUM(C686:D686)</f>
        <v>6795202.5200274726</v>
      </c>
      <c r="F686" s="2">
        <f>(F624/F612)*U64</f>
        <v>72385.678773823354</v>
      </c>
      <c r="G686" s="2">
        <f>(G625/G612)*U77</f>
        <v>0</v>
      </c>
      <c r="H686" s="2">
        <f>(H628/H612)*U60</f>
        <v>484174.09591128456</v>
      </c>
      <c r="I686" s="2">
        <f>(I629/I612)*U78</f>
        <v>0</v>
      </c>
      <c r="J686" s="2">
        <f>(J630/J612)*U79</f>
        <v>0</v>
      </c>
      <c r="K686" s="2">
        <f>(K644/K612)*U75</f>
        <v>3783294.2738467418</v>
      </c>
      <c r="L686" s="2">
        <f>(L647/L612)*U80</f>
        <v>97695.636325792148</v>
      </c>
      <c r="M686" s="2">
        <f t="shared" si="21"/>
        <v>11729947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1"/>
        <v>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1246354.8900000001</v>
      </c>
      <c r="D688" s="2">
        <f>(D615/D612)*W76</f>
        <v>28190.440964932841</v>
      </c>
      <c r="E688" s="2">
        <f>(E623/E612)*SUM(C688:D688)</f>
        <v>287270.1432742714</v>
      </c>
      <c r="F688" s="2">
        <f>(F624/F612)*W64</f>
        <v>2665.6946898897486</v>
      </c>
      <c r="G688" s="2">
        <f>(G625/G612)*W77</f>
        <v>0</v>
      </c>
      <c r="H688" s="2">
        <f>(H628/H612)*W60</f>
        <v>16921.330434308169</v>
      </c>
      <c r="I688" s="2">
        <f>(I629/I612)*W78</f>
        <v>0</v>
      </c>
      <c r="J688" s="2">
        <f>(J630/J612)*W79</f>
        <v>0</v>
      </c>
      <c r="K688" s="2">
        <f>(K644/K612)*W75</f>
        <v>776550.95974421932</v>
      </c>
      <c r="L688" s="2">
        <f>(L647/L612)*W80</f>
        <v>0</v>
      </c>
      <c r="M688" s="2">
        <f t="shared" si="21"/>
        <v>1111599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2963905.4799999995</v>
      </c>
      <c r="D689" s="2">
        <f>(D615/D612)*X76</f>
        <v>25588.165775099762</v>
      </c>
      <c r="E689" s="2">
        <f>(E623/E612)*SUM(C689:D689)</f>
        <v>673802.84331602557</v>
      </c>
      <c r="F689" s="2">
        <f>(F624/F612)*X64</f>
        <v>16087.868045552093</v>
      </c>
      <c r="G689" s="2">
        <f>(G625/G612)*X77</f>
        <v>0</v>
      </c>
      <c r="H689" s="2">
        <f>(H628/H612)*X60</f>
        <v>38058.253642320284</v>
      </c>
      <c r="I689" s="2">
        <f>(I629/I612)*X78</f>
        <v>0</v>
      </c>
      <c r="J689" s="2">
        <f>(J630/J612)*X79</f>
        <v>0</v>
      </c>
      <c r="K689" s="2">
        <f>(K644/K612)*X75</f>
        <v>3275348.3739726893</v>
      </c>
      <c r="L689" s="2">
        <f>(L647/L612)*X80</f>
        <v>0</v>
      </c>
      <c r="M689" s="2">
        <f t="shared" si="21"/>
        <v>4028886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1247</v>
      </c>
      <c r="C690" s="2">
        <f>Y71</f>
        <v>7422296.7100000009</v>
      </c>
      <c r="D690" s="2">
        <f>(D615/D612)*Y76</f>
        <v>187610.01233374956</v>
      </c>
      <c r="E690" s="2">
        <f>(E623/E612)*SUM(C690:D690)</f>
        <v>1715199.0920351224</v>
      </c>
      <c r="F690" s="2">
        <f>(F624/F612)*Y64</f>
        <v>4761.5199274823535</v>
      </c>
      <c r="G690" s="2">
        <f>(G625/G612)*Y77</f>
        <v>0</v>
      </c>
      <c r="H690" s="2">
        <f>(H628/H612)*Y60</f>
        <v>156035.89196653856</v>
      </c>
      <c r="I690" s="2">
        <f>(I629/I612)*Y78</f>
        <v>0</v>
      </c>
      <c r="J690" s="2">
        <f>(J630/J612)*Y79</f>
        <v>0</v>
      </c>
      <c r="K690" s="2">
        <f>(K644/K612)*Y75</f>
        <v>510887.71588452772</v>
      </c>
      <c r="L690" s="2">
        <f>(L647/L612)*Y80</f>
        <v>222938.23895984044</v>
      </c>
      <c r="M690" s="2">
        <f t="shared" si="21"/>
        <v>2797432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13037702.67</v>
      </c>
      <c r="D691" s="2">
        <f>(D615/D612)*Z76</f>
        <v>253342.8978086889</v>
      </c>
      <c r="E691" s="2">
        <f>(E623/E612)*SUM(C691:D691)</f>
        <v>2995672.6306773638</v>
      </c>
      <c r="F691" s="2">
        <f>(F624/F612)*Z64</f>
        <v>6283.8036764379085</v>
      </c>
      <c r="G691" s="2">
        <f>(G625/G612)*Z77</f>
        <v>0</v>
      </c>
      <c r="H691" s="2">
        <f>(H628/H612)*Z60</f>
        <v>138436.52912806821</v>
      </c>
      <c r="I691" s="2">
        <f>(I629/I612)*Z78</f>
        <v>0</v>
      </c>
      <c r="J691" s="2">
        <f>(J630/J612)*Z79</f>
        <v>0</v>
      </c>
      <c r="K691" s="2">
        <f>(K644/K612)*Z75</f>
        <v>2905501.5607419619</v>
      </c>
      <c r="L691" s="2">
        <f>(L647/L612)*Z80</f>
        <v>237352.34923741635</v>
      </c>
      <c r="M691" s="2">
        <f t="shared" si="21"/>
        <v>6536590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6965997.1099999994</v>
      </c>
      <c r="D692" s="2">
        <f>(D615/D612)*AA76</f>
        <v>21057.462839436004</v>
      </c>
      <c r="E692" s="2">
        <f>(E623/E612)*SUM(C692:D692)</f>
        <v>1574814.2646955894</v>
      </c>
      <c r="F692" s="2">
        <f>(F624/F612)*AA64</f>
        <v>113593.48978616996</v>
      </c>
      <c r="G692" s="2">
        <f>(G625/G612)*AA77</f>
        <v>0</v>
      </c>
      <c r="H692" s="2">
        <f>(H628/H612)*AA60</f>
        <v>4539.8691409119474</v>
      </c>
      <c r="I692" s="2">
        <f>(I629/I612)*AA78</f>
        <v>0</v>
      </c>
      <c r="J692" s="2">
        <f>(J630/J612)*AA79</f>
        <v>0</v>
      </c>
      <c r="K692" s="2">
        <f>(K644/K612)*AA75</f>
        <v>405393.82051674603</v>
      </c>
      <c r="L692" s="2">
        <f>(L647/L612)*AA80</f>
        <v>0</v>
      </c>
      <c r="M692" s="2">
        <f t="shared" si="21"/>
        <v>2119399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190756752.32999998</v>
      </c>
      <c r="D693" s="2">
        <f>(D615/D612)*AB76</f>
        <v>165217.1876640805</v>
      </c>
      <c r="E693" s="2">
        <f>(E623/E612)*SUM(C693:D693)</f>
        <v>43031958.303140521</v>
      </c>
      <c r="F693" s="2">
        <f>(F624/F612)*AB64</f>
        <v>4085807.285930424</v>
      </c>
      <c r="G693" s="2">
        <f>(G625/G612)*AB77</f>
        <v>0</v>
      </c>
      <c r="H693" s="2">
        <f>(H628/H612)*AB60</f>
        <v>145275.81250918232</v>
      </c>
      <c r="I693" s="2">
        <f>(I629/I612)*AB78</f>
        <v>0</v>
      </c>
      <c r="J693" s="2">
        <f>(J630/J612)*AB79</f>
        <v>0</v>
      </c>
      <c r="K693" s="2">
        <f>(K644/K612)*AB75</f>
        <v>14477693.85327612</v>
      </c>
      <c r="L693" s="2">
        <f>(L647/L612)*AB80</f>
        <v>0</v>
      </c>
      <c r="M693" s="2">
        <f t="shared" si="21"/>
        <v>61905952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368665.16</v>
      </c>
      <c r="D694" s="2">
        <f>(D615/D612)*AC76</f>
        <v>9759.9194308733586</v>
      </c>
      <c r="E694" s="2">
        <f>(E623/E612)*SUM(C694:D694)</f>
        <v>85293.338844513404</v>
      </c>
      <c r="F694" s="2">
        <f>(F624/F612)*AC64</f>
        <v>562.9932999389199</v>
      </c>
      <c r="G694" s="2">
        <f>(G625/G612)*AC77</f>
        <v>0</v>
      </c>
      <c r="H694" s="2">
        <f>(H628/H612)*AC60</f>
        <v>7871.071822230454</v>
      </c>
      <c r="I694" s="2">
        <f>(I629/I612)*AC78</f>
        <v>0</v>
      </c>
      <c r="J694" s="2">
        <f>(J630/J612)*AC79</f>
        <v>0</v>
      </c>
      <c r="K694" s="2">
        <f>(K644/K612)*AC75</f>
        <v>54530.351815698901</v>
      </c>
      <c r="L694" s="2">
        <f>(L647/L612)*AC80</f>
        <v>0</v>
      </c>
      <c r="M694" s="2">
        <f t="shared" si="21"/>
        <v>158018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1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1444213.46</v>
      </c>
      <c r="D696" s="2">
        <f>(D615/D612)*AE76</f>
        <v>21426.992082921188</v>
      </c>
      <c r="E696" s="2">
        <f>(E623/E612)*SUM(C696:D696)</f>
        <v>330341.12826702802</v>
      </c>
      <c r="F696" s="2">
        <f>(F624/F612)*AE64</f>
        <v>199.65983071263767</v>
      </c>
      <c r="G696" s="2">
        <f>(G625/G612)*AE77</f>
        <v>0</v>
      </c>
      <c r="H696" s="2">
        <f>(H628/H612)*AE60</f>
        <v>29214.352718465841</v>
      </c>
      <c r="I696" s="2">
        <f>(I629/I612)*AE78</f>
        <v>0</v>
      </c>
      <c r="J696" s="2">
        <f>(J630/J612)*AE79</f>
        <v>0</v>
      </c>
      <c r="K696" s="2">
        <f>(K644/K612)*AE75</f>
        <v>54467.753731630342</v>
      </c>
      <c r="L696" s="2">
        <f>(L647/L612)*AE80</f>
        <v>0</v>
      </c>
      <c r="M696" s="2">
        <f t="shared" si="21"/>
        <v>435650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1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>
        <f>(F624/F612)*AG64</f>
        <v>0</v>
      </c>
      <c r="G698" s="2">
        <f>(G625/G612)*AG77</f>
        <v>0</v>
      </c>
      <c r="H698" s="2">
        <f>(H628/H612)*AG60</f>
        <v>0</v>
      </c>
      <c r="I698" s="2">
        <f>(I629/I612)*AG78</f>
        <v>0</v>
      </c>
      <c r="J698" s="2">
        <f>(J630/J612)*AG79</f>
        <v>0</v>
      </c>
      <c r="K698" s="2">
        <f>(K644/K612)*AG75</f>
        <v>0</v>
      </c>
      <c r="L698" s="2">
        <f>(L647/L612)*AG80</f>
        <v>0</v>
      </c>
      <c r="M698" s="2">
        <f t="shared" si="21"/>
        <v>0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98975947.75</v>
      </c>
      <c r="D701" s="2">
        <f>(D615/D612)*AJ76</f>
        <v>1380540.2874624312</v>
      </c>
      <c r="E701" s="2">
        <f>(E623/E612)*SUM(C701:D701)</f>
        <v>22619378.061036363</v>
      </c>
      <c r="F701" s="2">
        <f>(F624/F612)*AJ64</f>
        <v>20200.293624284594</v>
      </c>
      <c r="G701" s="2">
        <f>(G625/G612)*AJ77</f>
        <v>0</v>
      </c>
      <c r="H701" s="2">
        <f>(H628/H612)*AJ60</f>
        <v>1246194.0791803296</v>
      </c>
      <c r="I701" s="2">
        <f>(I629/I612)*AJ78</f>
        <v>0</v>
      </c>
      <c r="J701" s="2">
        <f>(J630/J612)*AJ79</f>
        <v>0</v>
      </c>
      <c r="K701" s="2">
        <f>(K644/K612)*AJ75</f>
        <v>1472196.5446581743</v>
      </c>
      <c r="L701" s="2">
        <f>(L647/L612)*AJ80</f>
        <v>5085298.105928774</v>
      </c>
      <c r="M701" s="2">
        <f t="shared" si="21"/>
        <v>31823807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1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1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1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7011268.8199999984</v>
      </c>
      <c r="D711" s="2">
        <f>(D615/D612)*AT76</f>
        <v>29290.703881392481</v>
      </c>
      <c r="E711" s="2">
        <f>(E623/E612)*SUM(C711:D711)</f>
        <v>1586873.7611907583</v>
      </c>
      <c r="F711" s="2">
        <f>(F624/F612)*AT64</f>
        <v>77.851992936178007</v>
      </c>
      <c r="G711" s="2">
        <f>(G625/G612)*AT77</f>
        <v>0</v>
      </c>
      <c r="H711" s="2">
        <f>(H628/H612)*AT60</f>
        <v>83250.587363216488</v>
      </c>
      <c r="I711" s="2">
        <f>(I629/I612)*AT78</f>
        <v>0</v>
      </c>
      <c r="J711" s="2">
        <f>(J630/J612)*AT79</f>
        <v>0</v>
      </c>
      <c r="K711" s="2">
        <f>(K644/K612)*AT75</f>
        <v>346192.61657084298</v>
      </c>
      <c r="L711" s="2">
        <f>(L647/L612)*AT80</f>
        <v>0</v>
      </c>
      <c r="M711" s="2">
        <f t="shared" si="21"/>
        <v>2045686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5614715.96</v>
      </c>
      <c r="D713" s="2">
        <f>(D615/D612)*AV76</f>
        <v>111423.47292827752</v>
      </c>
      <c r="E713" s="2">
        <f>(E623/E612)*SUM(C713:D713)</f>
        <v>1290616.2341518314</v>
      </c>
      <c r="F713" s="2">
        <f>(F624/F612)*AV64</f>
        <v>9264.5696061756189</v>
      </c>
      <c r="G713" s="2">
        <f>(G625/G612)*AV77</f>
        <v>0</v>
      </c>
      <c r="H713" s="2">
        <f>(H628/H612)*AV60</f>
        <v>120129.65421568952</v>
      </c>
      <c r="I713" s="2">
        <f>(I629/I612)*AV78</f>
        <v>0</v>
      </c>
      <c r="J713" s="2">
        <f>(J630/J612)*AV79</f>
        <v>0</v>
      </c>
      <c r="K713" s="2">
        <f>(K644/K612)*AV75</f>
        <v>762713.38550047495</v>
      </c>
      <c r="L713" s="2">
        <f>(L647/L612)*AV80</f>
        <v>1392082.7392521072</v>
      </c>
      <c r="M713" s="2">
        <f t="shared" si="21"/>
        <v>3686230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618887797.88999987</v>
      </c>
      <c r="D715" s="2">
        <f>SUM(D616:D647)+SUM(D668:D713)</f>
        <v>6564337.0600000005</v>
      </c>
      <c r="E715" s="2">
        <f>SUM(E624:E647)+SUM(E668:E713)</f>
        <v>113834181.63222077</v>
      </c>
      <c r="F715" s="2">
        <f>SUM(F625:F648)+SUM(F668:F713)</f>
        <v>4652807.0179682095</v>
      </c>
      <c r="G715" s="2">
        <f>SUM(G626:G647)+SUM(G668:G713)</f>
        <v>1160849.8982081229</v>
      </c>
      <c r="H715" s="2">
        <f>SUM(H629:H647)+SUM(H668:H713)</f>
        <v>3647932.2530714804</v>
      </c>
      <c r="I715" s="2">
        <f>SUM(I630:I647)+SUM(I668:I713)</f>
        <v>0</v>
      </c>
      <c r="J715" s="2">
        <f>SUM(J631:J647)+SUM(J668:J713)</f>
        <v>0</v>
      </c>
      <c r="K715" s="2">
        <f>SUM(K668:K713)</f>
        <v>35720097.56166134</v>
      </c>
      <c r="L715" s="2">
        <f>SUM(L668:L713)</f>
        <v>9584102.0803410709</v>
      </c>
      <c r="M715" s="2">
        <f>SUM(M668:M713)</f>
        <v>161191696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618887797.88999999</v>
      </c>
      <c r="D716" s="2">
        <f>D615</f>
        <v>6564337.0600000005</v>
      </c>
      <c r="E716" s="2">
        <f>E623</f>
        <v>113834181.63222076</v>
      </c>
      <c r="F716" s="2">
        <f>F624</f>
        <v>4652807.0179682113</v>
      </c>
      <c r="G716" s="2">
        <f>G625</f>
        <v>1160849.8982081229</v>
      </c>
      <c r="H716" s="2">
        <f>H628</f>
        <v>3647932.2530714823</v>
      </c>
      <c r="I716" s="2">
        <f>I629</f>
        <v>0</v>
      </c>
      <c r="J716" s="2">
        <f>J630</f>
        <v>0</v>
      </c>
      <c r="K716" s="2">
        <f>K644</f>
        <v>35720097.561661318</v>
      </c>
      <c r="L716" s="2">
        <f>L647</f>
        <v>9584102.0803410709</v>
      </c>
      <c r="M716" s="2">
        <f>C648</f>
        <v>161191694.58999997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nce*204*A</v>
      </c>
      <c r="B721" s="282">
        <f>ROUND(C166,0)</f>
        <v>463893</v>
      </c>
      <c r="C721" s="282">
        <f>ROUND(C167,0)</f>
        <v>-131894</v>
      </c>
      <c r="D721" s="282">
        <f>ROUND(C168,0)</f>
        <v>16006176</v>
      </c>
      <c r="E721" s="282">
        <f>ROUND(C169,0)</f>
        <v>362326</v>
      </c>
      <c r="F721" s="282">
        <f>ROUND(C170,0)</f>
        <v>8112085</v>
      </c>
      <c r="G721" s="282">
        <f>ROUND(C171,0)</f>
        <v>3303353</v>
      </c>
      <c r="H721" s="282">
        <f>ROUND(C172+C173,0)</f>
        <v>0</v>
      </c>
      <c r="I721" s="282">
        <f>ROUND(C176,0)</f>
        <v>1249338</v>
      </c>
      <c r="J721" s="282">
        <f>ROUND(C177,0)</f>
        <v>0</v>
      </c>
      <c r="K721" s="282">
        <f>ROUND(C180,0)</f>
        <v>0</v>
      </c>
      <c r="L721" s="282">
        <f>ROUND(C181,0)</f>
        <v>0</v>
      </c>
      <c r="M721" s="282">
        <f>ROUND(C184,0)</f>
        <v>3881018</v>
      </c>
      <c r="N721" s="282">
        <f>ROUND(C185,0)</f>
        <v>0</v>
      </c>
      <c r="O721" s="282">
        <f>ROUND(C186,0)</f>
        <v>0</v>
      </c>
      <c r="P721" s="282">
        <f>ROUND(C189,0)</f>
        <v>3312129</v>
      </c>
      <c r="Q721" s="282">
        <f>ROUND(C190,0)</f>
        <v>0</v>
      </c>
      <c r="R721" s="282">
        <f>ROUND(B196,0)</f>
        <v>8204246</v>
      </c>
      <c r="S721" s="282">
        <f>ROUND(C196,0)</f>
        <v>88044</v>
      </c>
      <c r="T721" s="282">
        <f>ROUND(D196,0)</f>
        <v>0</v>
      </c>
      <c r="U721" s="282">
        <f>ROUND(B197,0)</f>
        <v>107526330</v>
      </c>
      <c r="V721" s="282">
        <f>ROUND(C197,0)</f>
        <v>21042385</v>
      </c>
      <c r="W721" s="282">
        <f>ROUND(D197,0)</f>
        <v>69626</v>
      </c>
      <c r="X721" s="282">
        <f>ROUND(B198,0)</f>
        <v>40922318</v>
      </c>
      <c r="Y721" s="282">
        <f>ROUND(C198,0)</f>
        <v>4954346</v>
      </c>
      <c r="Z721" s="282">
        <f>ROUND(D198,0)</f>
        <v>0</v>
      </c>
      <c r="AA721" s="282">
        <f>ROUND(B199,0)</f>
        <v>4061520</v>
      </c>
      <c r="AB721" s="282">
        <f>ROUND(C199,0)</f>
        <v>985438</v>
      </c>
      <c r="AC721" s="282">
        <f>ROUND(D199,0)</f>
        <v>36392</v>
      </c>
      <c r="AD721" s="282">
        <f>ROUND(B200,0)</f>
        <v>7850436</v>
      </c>
      <c r="AE721" s="282">
        <f>ROUND(C200,0)</f>
        <v>198677</v>
      </c>
      <c r="AF721" s="282">
        <f>ROUND(D200,0)</f>
        <v>28960</v>
      </c>
      <c r="AG721" s="282">
        <f>ROUND(B201,0)</f>
        <v>98273089</v>
      </c>
      <c r="AH721" s="282">
        <f>ROUND(C201,0)</f>
        <v>14586132</v>
      </c>
      <c r="AI721" s="282">
        <f>ROUND(D201,0)</f>
        <v>1375564</v>
      </c>
      <c r="AJ721" s="282">
        <f>ROUND(B202,0)</f>
        <v>14266700</v>
      </c>
      <c r="AK721" s="282">
        <f>ROUND(C202,0)</f>
        <v>14583678</v>
      </c>
      <c r="AL721" s="282">
        <f>ROUND(D202,0)</f>
        <v>0</v>
      </c>
      <c r="AM721" s="282">
        <f>ROUND(B203,0)</f>
        <v>35621512</v>
      </c>
      <c r="AN721" s="282">
        <f>ROUND(C203,0)</f>
        <v>-5008322</v>
      </c>
      <c r="AO721" s="282">
        <f>ROUND(D203,0)</f>
        <v>0</v>
      </c>
      <c r="AP721" s="282">
        <f>ROUND(B204,0)</f>
        <v>336687685</v>
      </c>
      <c r="AQ721" s="282">
        <f>ROUND(C204,0)</f>
        <v>51430378</v>
      </c>
      <c r="AR721" s="282">
        <f>ROUND(D204,0)</f>
        <v>1510541</v>
      </c>
      <c r="AS721" s="282"/>
      <c r="AT721" s="282"/>
      <c r="AU721" s="282"/>
      <c r="AV721" s="282">
        <f>ROUND(B210,0)</f>
        <v>51227901</v>
      </c>
      <c r="AW721" s="282">
        <f>ROUND(C210,0)</f>
        <v>5338290</v>
      </c>
      <c r="AX721" s="282">
        <f>ROUND(D210,0)</f>
        <v>1812</v>
      </c>
      <c r="AY721" s="282">
        <f>ROUND(B211,0)</f>
        <v>28240752</v>
      </c>
      <c r="AZ721" s="282">
        <f>ROUND(C211,0)</f>
        <v>2290686</v>
      </c>
      <c r="BA721" s="282">
        <f>ROUND(D211,0)</f>
        <v>653</v>
      </c>
      <c r="BB721" s="282">
        <f>ROUND(B212,0)</f>
        <v>1827382</v>
      </c>
      <c r="BC721" s="282">
        <f>ROUND(C212,0)</f>
        <v>436531</v>
      </c>
      <c r="BD721" s="282">
        <f>ROUND(D212,0)</f>
        <v>25329</v>
      </c>
      <c r="BE721" s="282">
        <f>ROUND(B213,0)</f>
        <v>6383920</v>
      </c>
      <c r="BF721" s="282">
        <f>ROUND(C213,0)</f>
        <v>1629418</v>
      </c>
      <c r="BG721" s="282">
        <f>ROUND(D213,0)</f>
        <v>1423415</v>
      </c>
      <c r="BH721" s="282">
        <f>ROUND(B214,0)</f>
        <v>67536716</v>
      </c>
      <c r="BI721" s="282">
        <f>ROUND(C214,0)</f>
        <v>9180271</v>
      </c>
      <c r="BJ721" s="282">
        <f>ROUND(D214,0)</f>
        <v>0</v>
      </c>
      <c r="BK721" s="282">
        <f>ROUND(B215,0)</f>
        <v>7614200</v>
      </c>
      <c r="BL721" s="282">
        <f>ROUND(C215,0)</f>
        <v>2378749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168966101</v>
      </c>
      <c r="BR721" s="282">
        <f>ROUND(C217,0)</f>
        <v>21609944</v>
      </c>
      <c r="BS721" s="282">
        <f>ROUND(D217,0)</f>
        <v>1451209</v>
      </c>
      <c r="BT721" s="282">
        <f>ROUND(C222,0)</f>
        <v>0</v>
      </c>
      <c r="BU721" s="282">
        <f>ROUND(C223,0)</f>
        <v>324232131</v>
      </c>
      <c r="BV721" s="282">
        <f>ROUND(C224,0)</f>
        <v>104848038</v>
      </c>
      <c r="BW721" s="282">
        <f>ROUND(C225,0)</f>
        <v>0</v>
      </c>
      <c r="BX721" s="282">
        <f>ROUND(C226,0)</f>
        <v>0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782320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nce*204*A</v>
      </c>
      <c r="B725" s="282">
        <f>ROUND(C112,0)</f>
        <v>0</v>
      </c>
      <c r="C725" s="282">
        <f>ROUND(C113,0)</f>
        <v>0</v>
      </c>
      <c r="D725" s="282">
        <f>ROUND(C114,0)</f>
        <v>0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0</v>
      </c>
      <c r="K725" s="282">
        <f>ROUND(C118,0)</f>
        <v>20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1393</v>
      </c>
      <c r="Y725" s="282">
        <f>ROUND(B140,0)</f>
        <v>0</v>
      </c>
      <c r="Z725" s="282">
        <f>ROUND(B141,0)</f>
        <v>24282097</v>
      </c>
      <c r="AA725" s="282">
        <f>ROUND(B142,0)</f>
        <v>487727303</v>
      </c>
      <c r="AB725" s="282">
        <f>ROUND(B143,0)</f>
        <v>0</v>
      </c>
      <c r="AC725" s="282">
        <f>ROUND(C139,0)</f>
        <v>906</v>
      </c>
      <c r="AD725" s="282">
        <f>ROUND(C140,0)</f>
        <v>0</v>
      </c>
      <c r="AE725" s="282">
        <f>ROUND(C141,0)</f>
        <v>14020466</v>
      </c>
      <c r="AF725" s="282">
        <f>ROUND(C142,0)</f>
        <v>118819120</v>
      </c>
      <c r="AG725" s="282">
        <f>ROUND(C143,0)</f>
        <v>0</v>
      </c>
      <c r="AH725" s="282">
        <f>ROUND(D139,0)</f>
        <v>3291</v>
      </c>
      <c r="AI725" s="282">
        <f>ROUND(D140,0)</f>
        <v>0</v>
      </c>
      <c r="AJ725" s="282">
        <f>ROUND(D141,0)</f>
        <v>59634766</v>
      </c>
      <c r="AK725" s="282">
        <f>ROUND(D142,0)</f>
        <v>623745390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nce*204*A</v>
      </c>
      <c r="B729" s="282">
        <f>ROUND(C249,0)</f>
        <v>0</v>
      </c>
      <c r="C729" s="282">
        <f>ROUND(C250,0)</f>
        <v>165575232</v>
      </c>
      <c r="D729" s="282">
        <f>ROUND(C251,0)</f>
        <v>343044525</v>
      </c>
      <c r="E729" s="282">
        <f>ROUND(C252,0)</f>
        <v>196913642</v>
      </c>
      <c r="F729" s="282">
        <f>ROUND(C253,0)</f>
        <v>106773036</v>
      </c>
      <c r="G729" s="282">
        <f>ROUND(C254,0)</f>
        <v>0</v>
      </c>
      <c r="H729" s="282">
        <f>ROUND(C255,0)</f>
        <v>10696569</v>
      </c>
      <c r="I729" s="282">
        <f>ROUND(C256,0)</f>
        <v>13467</v>
      </c>
      <c r="J729" s="282">
        <f>ROUND(C257,0)</f>
        <v>15361338</v>
      </c>
      <c r="K729" s="282">
        <f>ROUND(C258,0)</f>
        <v>12611709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19961534</v>
      </c>
      <c r="Q729" s="282">
        <f>ROUND(C268,0)</f>
        <v>8292291</v>
      </c>
      <c r="R729" s="282">
        <f>ROUND(C269,0)</f>
        <v>128499090</v>
      </c>
      <c r="S729" s="282">
        <f>ROUND(C270,0)</f>
        <v>45876664</v>
      </c>
      <c r="T729" s="282">
        <f>ROUND(C271,0)</f>
        <v>5010567</v>
      </c>
      <c r="U729" s="282">
        <f>ROUND(C272,0)</f>
        <v>119503810</v>
      </c>
      <c r="V729" s="282">
        <f>ROUND(C273,0)</f>
        <v>28850378</v>
      </c>
      <c r="W729" s="282">
        <f>ROUND(C274,0)</f>
        <v>30613190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16525203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29111444</v>
      </c>
      <c r="AJ729" s="282">
        <f>ROUND(C306,0)</f>
        <v>16481524</v>
      </c>
      <c r="AK729" s="282">
        <f>ROUND(C307,0)</f>
        <v>32337424</v>
      </c>
      <c r="AL729" s="282">
        <f>ROUND(C308,0)</f>
        <v>0</v>
      </c>
      <c r="AM729" s="282">
        <f>ROUND(C309,0)</f>
        <v>52938557</v>
      </c>
      <c r="AN729" s="282">
        <f>ROUND(C310,0)</f>
        <v>0</v>
      </c>
      <c r="AO729" s="282">
        <f>ROUND(C311,0)</f>
        <v>0</v>
      </c>
      <c r="AP729" s="282">
        <f>ROUND(C312,0)</f>
        <v>11410685</v>
      </c>
      <c r="AQ729" s="282">
        <f>ROUND(C315,0)</f>
        <v>0</v>
      </c>
      <c r="AR729" s="282">
        <f>ROUND(C316,0)</f>
        <v>0</v>
      </c>
      <c r="AS729" s="282">
        <f>ROUND(C317,0)</f>
        <v>292007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94895761</v>
      </c>
      <c r="AZ729" s="282">
        <f>ROUND(C326,0)</f>
        <v>0</v>
      </c>
      <c r="BA729" s="282">
        <f>ROUND(C327,0)</f>
        <v>145442324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1587.55</v>
      </c>
      <c r="BJ729" s="282">
        <f>ROUND(C358,0)</f>
        <v>0</v>
      </c>
      <c r="BK729" s="282">
        <f>ROUND(C359,0)</f>
        <v>97937328</v>
      </c>
      <c r="BL729" s="282">
        <f>ROUND(C362,0)</f>
        <v>0</v>
      </c>
      <c r="BM729" s="282">
        <f>ROUND(C363,0)</f>
        <v>1972927</v>
      </c>
      <c r="BN729" s="282">
        <f>ROUND(C364,0)</f>
        <v>623553859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138868990</v>
      </c>
      <c r="BT729" s="282">
        <f>ROUND(C379,0)</f>
        <v>38692700</v>
      </c>
      <c r="BU729" s="282">
        <f>ROUND(C380,0)</f>
        <v>11232866</v>
      </c>
      <c r="BV729" s="282">
        <f>ROUND(C381,0)</f>
        <v>277647032</v>
      </c>
      <c r="BW729" s="282">
        <f>ROUND(C382,0)</f>
        <v>2963729</v>
      </c>
      <c r="BX729" s="282">
        <f>ROUND(C383,0)</f>
        <v>191368050</v>
      </c>
      <c r="BY729" s="282">
        <f>ROUND(C384,0)</f>
        <v>21609944</v>
      </c>
      <c r="BZ729" s="282">
        <f>ROUND(C385,0)</f>
        <v>14669991</v>
      </c>
      <c r="CA729" s="282">
        <f>ROUND(C386,0)</f>
        <v>1248994</v>
      </c>
      <c r="CB729" s="282">
        <f>ROUND(C387,0)</f>
        <v>3593987</v>
      </c>
      <c r="CC729" s="282">
        <f>ROUND(C388,0)</f>
        <v>3312129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1257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nce*204*6010*A</v>
      </c>
      <c r="B733" s="282">
        <f>ROUND(C59,0)</f>
        <v>5590</v>
      </c>
      <c r="C733" s="285">
        <f>ROUND(C60,2)</f>
        <v>0</v>
      </c>
      <c r="D733" s="282">
        <f>ROUND(C61,0)</f>
        <v>375905</v>
      </c>
      <c r="E733" s="282">
        <f>ROUND(C62,0)</f>
        <v>101537</v>
      </c>
      <c r="F733" s="282">
        <f>ROUND(C63,0)</f>
        <v>0</v>
      </c>
      <c r="G733" s="282">
        <f>ROUND(C64,0)</f>
        <v>11195510</v>
      </c>
      <c r="H733" s="282">
        <f>ROUND(C65,0)</f>
        <v>0</v>
      </c>
      <c r="I733" s="282">
        <f>ROUND(C66,0)</f>
        <v>52402418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65954890</v>
      </c>
      <c r="N733" s="282">
        <f>ROUND(C76,0)</f>
        <v>15446</v>
      </c>
      <c r="O733" s="282">
        <f>ROUND(C74,0)</f>
        <v>0</v>
      </c>
      <c r="P733" s="282">
        <f>IF(C77&gt;0,ROUND(C77,0),0)</f>
        <v>1</v>
      </c>
      <c r="Q733" s="282">
        <f>IF(C78&gt;0,ROUND(C78,0),0)</f>
        <v>1</v>
      </c>
      <c r="R733" s="282">
        <f>IF(C79&gt;0,ROUND(C79,0),0)</f>
        <v>1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nce*204*6030*A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2">IF(M668&lt;&gt;0,ROUND(M668,0),0)</f>
        <v>19140842</v>
      </c>
    </row>
    <row r="735" spans="1:84" ht="12.65" customHeight="1" x14ac:dyDescent="0.35">
      <c r="A735" s="209" t="str">
        <f>RIGHT($C$84,3)&amp;"*"&amp;RIGHT($C$83,4)&amp;"*"&amp;E$55&amp;"*"&amp;"A"</f>
        <v>nce*204*6070*A</v>
      </c>
      <c r="B735" s="282">
        <f>ROUND(E59,0)</f>
        <v>0</v>
      </c>
      <c r="C735" s="285">
        <f>ROUND(E60,2)</f>
        <v>0</v>
      </c>
      <c r="D735" s="282">
        <f>ROUND(E61,0)</f>
        <v>0</v>
      </c>
      <c r="E735" s="282">
        <f>ROUND(E62,0)</f>
        <v>0</v>
      </c>
      <c r="F735" s="282">
        <f>ROUND(E63,0)</f>
        <v>0</v>
      </c>
      <c r="G735" s="282">
        <f>ROUND(E64,0)</f>
        <v>0</v>
      </c>
      <c r="H735" s="282">
        <f>ROUND(E65,0)</f>
        <v>0</v>
      </c>
      <c r="I735" s="282">
        <f>ROUND(E66,0)</f>
        <v>0</v>
      </c>
      <c r="J735" s="282">
        <f>ROUND(E67,0)</f>
        <v>0</v>
      </c>
      <c r="K735" s="282">
        <f>ROUND(E68,0)</f>
        <v>0</v>
      </c>
      <c r="L735" s="282">
        <f>ROUND(E70,0)</f>
        <v>0</v>
      </c>
      <c r="M735" s="282">
        <f>ROUND(E71,0)</f>
        <v>0</v>
      </c>
      <c r="N735" s="282">
        <f>ROUND(E76,0)</f>
        <v>0</v>
      </c>
      <c r="O735" s="282">
        <f>ROUND(E74,0)</f>
        <v>0</v>
      </c>
      <c r="P735" s="282">
        <f>IF(E77&gt;0,ROUND(E77,0),0)</f>
        <v>0</v>
      </c>
      <c r="Q735" s="282">
        <f>IF(E78&gt;0,ROUND(E78,0),0)</f>
        <v>0</v>
      </c>
      <c r="R735" s="282">
        <f>IF(E79&gt;0,ROUND(E79,0),0)</f>
        <v>0</v>
      </c>
      <c r="S735" s="282">
        <f>IF(E80&gt;0,ROUND(E80,0),0)</f>
        <v>0</v>
      </c>
      <c r="T735" s="285">
        <f>IF(E81&gt;0,ROUND(E81,2),0)</f>
        <v>0</v>
      </c>
      <c r="U735" s="282"/>
      <c r="X735" s="282"/>
      <c r="Y735" s="282"/>
      <c r="Z735" s="282">
        <f t="shared" si="22"/>
        <v>0</v>
      </c>
    </row>
    <row r="736" spans="1:84" ht="12.65" customHeight="1" x14ac:dyDescent="0.35">
      <c r="A736" s="209" t="str">
        <f>RIGHT($C$84,3)&amp;"*"&amp;RIGHT($C$83,4)&amp;"*"&amp;F$55&amp;"*"&amp;"A"</f>
        <v>nce*204*6100*A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2"/>
        <v>0</v>
      </c>
    </row>
    <row r="737" spans="1:26" ht="12.65" customHeight="1" x14ac:dyDescent="0.35">
      <c r="A737" s="209" t="str">
        <f>RIGHT($C$84,3)&amp;"*"&amp;RIGHT($C$83,4)&amp;"*"&amp;G$55&amp;"*"&amp;"A"</f>
        <v>nce*204*6120*A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2"/>
        <v>0</v>
      </c>
    </row>
    <row r="738" spans="1:26" ht="12.65" customHeight="1" x14ac:dyDescent="0.35">
      <c r="A738" s="209" t="str">
        <f>RIGHT($C$84,3)&amp;"*"&amp;RIGHT($C$83,4)&amp;"*"&amp;H$55&amp;"*"&amp;"A"</f>
        <v>nce*204*6140*A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2"/>
        <v>0</v>
      </c>
    </row>
    <row r="739" spans="1:26" ht="12.65" customHeight="1" x14ac:dyDescent="0.35">
      <c r="A739" s="209" t="str">
        <f>RIGHT($C$84,3)&amp;"*"&amp;RIGHT($C$83,4)&amp;"*"&amp;I$55&amp;"*"&amp;"A"</f>
        <v>nce*204*6150*A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2"/>
        <v>0</v>
      </c>
    </row>
    <row r="740" spans="1:26" ht="12.65" customHeight="1" x14ac:dyDescent="0.35">
      <c r="A740" s="209" t="str">
        <f>RIGHT($C$84,3)&amp;"*"&amp;RIGHT($C$83,4)&amp;"*"&amp;J$55&amp;"*"&amp;"A"</f>
        <v>nce*204*6170*A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2"/>
        <v>0</v>
      </c>
    </row>
    <row r="741" spans="1:26" ht="12.65" customHeight="1" x14ac:dyDescent="0.35">
      <c r="A741" s="209" t="str">
        <f>RIGHT($C$84,3)&amp;"*"&amp;RIGHT($C$83,4)&amp;"*"&amp;K$55&amp;"*"&amp;"A"</f>
        <v>nce*204*6200*A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2"/>
        <v>0</v>
      </c>
    </row>
    <row r="742" spans="1:26" ht="12.65" customHeight="1" x14ac:dyDescent="0.35">
      <c r="A742" s="209" t="str">
        <f>RIGHT($C$84,3)&amp;"*"&amp;RIGHT($C$83,4)&amp;"*"&amp;L$55&amp;"*"&amp;"A"</f>
        <v>nce*204*6210*A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2"/>
        <v>0</v>
      </c>
    </row>
    <row r="743" spans="1:26" ht="12.65" customHeight="1" x14ac:dyDescent="0.35">
      <c r="A743" s="209" t="str">
        <f>RIGHT($C$84,3)&amp;"*"&amp;RIGHT($C$83,4)&amp;"*"&amp;M$55&amp;"*"&amp;"A"</f>
        <v>nce*204*6330*A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2"/>
        <v>0</v>
      </c>
    </row>
    <row r="744" spans="1:26" ht="12.65" customHeight="1" x14ac:dyDescent="0.35">
      <c r="A744" s="209" t="str">
        <f>RIGHT($C$84,3)&amp;"*"&amp;RIGHT($C$83,4)&amp;"*"&amp;N$55&amp;"*"&amp;"A"</f>
        <v>nce*204*6400*A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2"/>
        <v>0</v>
      </c>
    </row>
    <row r="745" spans="1:26" ht="12.65" customHeight="1" x14ac:dyDescent="0.35">
      <c r="A745" s="209" t="str">
        <f>RIGHT($C$84,3)&amp;"*"&amp;RIGHT($C$83,4)&amp;"*"&amp;O$55&amp;"*"&amp;"A"</f>
        <v>nce*204*7010*A</v>
      </c>
      <c r="B745" s="282">
        <f>ROUND(O59,0)</f>
        <v>0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2"/>
        <v>0</v>
      </c>
    </row>
    <row r="746" spans="1:26" ht="12.65" customHeight="1" x14ac:dyDescent="0.35">
      <c r="A746" s="209" t="str">
        <f>RIGHT($C$84,3)&amp;"*"&amp;RIGHT($C$83,4)&amp;"*"&amp;P$55&amp;"*"&amp;"A"</f>
        <v>nce*204*7020*A</v>
      </c>
      <c r="B746" s="282">
        <f>ROUND(P59,0)</f>
        <v>0</v>
      </c>
      <c r="C746" s="285">
        <f>ROUND(P60,2)</f>
        <v>0</v>
      </c>
      <c r="D746" s="282">
        <f>ROUND(P61,0)</f>
        <v>0</v>
      </c>
      <c r="E746" s="282">
        <f>ROUND(P62,0)</f>
        <v>0</v>
      </c>
      <c r="F746" s="282">
        <f>ROUND(P63,0)</f>
        <v>0</v>
      </c>
      <c r="G746" s="282">
        <f>ROUND(P64,0)</f>
        <v>0</v>
      </c>
      <c r="H746" s="282">
        <f>ROUND(P65,0)</f>
        <v>0</v>
      </c>
      <c r="I746" s="282">
        <f>ROUND(P66,0)</f>
        <v>0</v>
      </c>
      <c r="J746" s="282">
        <f>ROUND(P67,0)</f>
        <v>0</v>
      </c>
      <c r="K746" s="282">
        <f>ROUND(P68,0)</f>
        <v>0</v>
      </c>
      <c r="L746" s="282">
        <f>ROUND(P70,0)</f>
        <v>0</v>
      </c>
      <c r="M746" s="282">
        <f>ROUND(P71,0)</f>
        <v>0</v>
      </c>
      <c r="N746" s="282">
        <f>ROUND(P76,0)</f>
        <v>0</v>
      </c>
      <c r="O746" s="282">
        <f>ROUND(P74,0)</f>
        <v>0</v>
      </c>
      <c r="P746" s="282">
        <f>IF(P77&gt;0,ROUND(P77,0),0)</f>
        <v>0</v>
      </c>
      <c r="Q746" s="282">
        <f>IF(P78&gt;0,ROUND(P78,0),0)</f>
        <v>0</v>
      </c>
      <c r="R746" s="282">
        <f>IF(P79&gt;0,ROUND(P79,0),0)</f>
        <v>0</v>
      </c>
      <c r="S746" s="282">
        <f>IF(P80&gt;0,ROUND(P80,0),0)</f>
        <v>0</v>
      </c>
      <c r="T746" s="285">
        <f>IF(P81&gt;0,ROUND(P81,2),0)</f>
        <v>0</v>
      </c>
      <c r="U746" s="282"/>
      <c r="X746" s="282"/>
      <c r="Y746" s="282"/>
      <c r="Z746" s="282">
        <f t="shared" si="22"/>
        <v>0</v>
      </c>
    </row>
    <row r="747" spans="1:26" ht="12.65" customHeight="1" x14ac:dyDescent="0.35">
      <c r="A747" s="209" t="str">
        <f>RIGHT($C$84,3)&amp;"*"&amp;RIGHT($C$83,4)&amp;"*"&amp;Q$55&amp;"*"&amp;"A"</f>
        <v>nce*204*7030*A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2"/>
        <v>0</v>
      </c>
    </row>
    <row r="748" spans="1:26" ht="12.65" customHeight="1" x14ac:dyDescent="0.35">
      <c r="A748" s="209" t="str">
        <f>RIGHT($C$84,3)&amp;"*"&amp;RIGHT($C$83,4)&amp;"*"&amp;R$55&amp;"*"&amp;"A"</f>
        <v>nce*204*7040*A</v>
      </c>
      <c r="B748" s="282">
        <f>ROUND(R59,0)</f>
        <v>0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0</v>
      </c>
      <c r="G748" s="282">
        <f>ROUND(R64,0)</f>
        <v>0</v>
      </c>
      <c r="H748" s="282">
        <f>ROUND(R65,0)</f>
        <v>0</v>
      </c>
      <c r="I748" s="282">
        <f>ROUND(R66,0)</f>
        <v>0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0</v>
      </c>
      <c r="N748" s="282">
        <f>ROUND(R76,0)</f>
        <v>0</v>
      </c>
      <c r="O748" s="282">
        <f>ROUND(R74,0)</f>
        <v>0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2"/>
        <v>0</v>
      </c>
    </row>
    <row r="749" spans="1:26" ht="12.65" customHeight="1" x14ac:dyDescent="0.35">
      <c r="A749" s="209" t="str">
        <f>RIGHT($C$84,3)&amp;"*"&amp;RIGHT($C$83,4)&amp;"*"&amp;S$55&amp;"*"&amp;"A"</f>
        <v>nce*204*7050*A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4811535</v>
      </c>
      <c r="H749" s="282">
        <f>ROUND(S65,0)</f>
        <v>0</v>
      </c>
      <c r="I749" s="282">
        <f>ROUND(S66,0)</f>
        <v>0</v>
      </c>
      <c r="J749" s="282">
        <f>ROUND(S67,0)</f>
        <v>0</v>
      </c>
      <c r="K749" s="282">
        <f>ROUND(S68,0)</f>
        <v>0</v>
      </c>
      <c r="L749" s="282">
        <f>ROUND(S70,0)</f>
        <v>40730</v>
      </c>
      <c r="M749" s="282">
        <f>ROUND(S71,0)</f>
        <v>4813432</v>
      </c>
      <c r="N749" s="282">
        <f>ROUND(S76,0)</f>
        <v>0</v>
      </c>
      <c r="O749" s="282">
        <f>ROUND(S74,0)</f>
        <v>29049912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2"/>
        <v>0</v>
      </c>
    </row>
    <row r="750" spans="1:26" ht="12.65" customHeight="1" x14ac:dyDescent="0.35">
      <c r="A750" s="209" t="str">
        <f>RIGHT($C$84,3)&amp;"*"&amp;RIGHT($C$83,4)&amp;"*"&amp;T$55&amp;"*"&amp;"A"</f>
        <v>nce*204*7060*A</v>
      </c>
      <c r="B750" s="282"/>
      <c r="C750" s="285">
        <f>ROUND(T60,2)</f>
        <v>129.6</v>
      </c>
      <c r="D750" s="282">
        <f>ROUND(T61,0)</f>
        <v>11550646</v>
      </c>
      <c r="E750" s="282">
        <f>ROUND(T62,0)</f>
        <v>3198904</v>
      </c>
      <c r="F750" s="282">
        <f>ROUND(T63,0)</f>
        <v>0</v>
      </c>
      <c r="G750" s="282">
        <f>ROUND(T64,0)</f>
        <v>2341976</v>
      </c>
      <c r="H750" s="282">
        <f>ROUND(T65,0)</f>
        <v>7376</v>
      </c>
      <c r="I750" s="282">
        <f>ROUND(T66,0)</f>
        <v>5450719</v>
      </c>
      <c r="J750" s="282">
        <f>ROUND(T67,0)</f>
        <v>917785</v>
      </c>
      <c r="K750" s="282">
        <f>ROUND(T68,0)</f>
        <v>0</v>
      </c>
      <c r="L750" s="282">
        <f>ROUND(T70,0)</f>
        <v>2694503</v>
      </c>
      <c r="M750" s="282">
        <f>ROUND(T71,0)</f>
        <v>21468552</v>
      </c>
      <c r="N750" s="282">
        <f>ROUND(T76,0)</f>
        <v>23029</v>
      </c>
      <c r="O750" s="282">
        <f>ROUND(T74,0)</f>
        <v>129411091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80</v>
      </c>
      <c r="T750" s="285">
        <f>IF(T81&gt;0,ROUND(T81,2),0)</f>
        <v>0</v>
      </c>
      <c r="U750" s="282"/>
      <c r="X750" s="282"/>
      <c r="Y750" s="282"/>
      <c r="Z750" s="282">
        <f t="shared" si="22"/>
        <v>1947273</v>
      </c>
    </row>
    <row r="751" spans="1:26" ht="12.65" customHeight="1" x14ac:dyDescent="0.35">
      <c r="A751" s="209" t="str">
        <f>RIGHT($C$84,3)&amp;"*"&amp;RIGHT($C$83,4)&amp;"*"&amp;U$55&amp;"*"&amp;"A"</f>
        <v>nce*204*7070*A</v>
      </c>
      <c r="B751" s="282">
        <f>ROUND(U59,0)</f>
        <v>640736</v>
      </c>
      <c r="C751" s="285">
        <f>ROUND(U60,2)</f>
        <v>164.24</v>
      </c>
      <c r="D751" s="282">
        <f>ROUND(U61,0)</f>
        <v>12822029</v>
      </c>
      <c r="E751" s="282">
        <f>ROUND(U62,0)</f>
        <v>3549703</v>
      </c>
      <c r="F751" s="282">
        <f>ROUND(U63,0)</f>
        <v>21680</v>
      </c>
      <c r="G751" s="282">
        <f>ROUND(U64,0)</f>
        <v>4292830</v>
      </c>
      <c r="H751" s="282">
        <f>ROUND(U65,0)</f>
        <v>14038</v>
      </c>
      <c r="I751" s="282">
        <f>ROUND(U66,0)</f>
        <v>12306823</v>
      </c>
      <c r="J751" s="282">
        <f>ROUND(U67,0)</f>
        <v>1285312</v>
      </c>
      <c r="K751" s="282">
        <f>ROUND(U68,0)</f>
        <v>186779</v>
      </c>
      <c r="L751" s="282">
        <f>ROUND(U70,0)</f>
        <v>6134901</v>
      </c>
      <c r="M751" s="282">
        <f>ROUND(U71,0)</f>
        <v>29651409</v>
      </c>
      <c r="N751" s="282">
        <f>ROUND(U76,0)</f>
        <v>32251</v>
      </c>
      <c r="O751" s="282">
        <f>ROUND(U74,0)</f>
        <v>140679395</v>
      </c>
      <c r="P751" s="282">
        <f>IF(U77&gt;0,ROUND(U77,0),0)</f>
        <v>0</v>
      </c>
      <c r="Q751" s="282">
        <f>IF(U78&gt;0,ROUND(U78,0),0)</f>
        <v>0</v>
      </c>
      <c r="R751" s="282">
        <f>IF(U79&gt;0,ROUND(U79,0),0)</f>
        <v>0</v>
      </c>
      <c r="S751" s="282">
        <f>IF(U80&gt;0,ROUND(U80,0),0)</f>
        <v>3</v>
      </c>
      <c r="T751" s="285">
        <f>IF(U81&gt;0,ROUND(U81,2),0)</f>
        <v>0</v>
      </c>
      <c r="U751" s="282"/>
      <c r="X751" s="282"/>
      <c r="Y751" s="282"/>
      <c r="Z751" s="282">
        <f t="shared" si="22"/>
        <v>11724385</v>
      </c>
    </row>
    <row r="752" spans="1:26" ht="12.65" customHeight="1" x14ac:dyDescent="0.35">
      <c r="A752" s="209" t="str">
        <f>RIGHT($C$84,3)&amp;"*"&amp;RIGHT($C$83,4)&amp;"*"&amp;V$55&amp;"*"&amp;"A"</f>
        <v>nce*204*7110*A</v>
      </c>
      <c r="B752" s="282">
        <f>ROUND(V59,0)</f>
        <v>0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2"/>
        <v>11729947</v>
      </c>
    </row>
    <row r="753" spans="1:26" ht="12.65" customHeight="1" x14ac:dyDescent="0.35">
      <c r="A753" s="209" t="str">
        <f>RIGHT($C$84,3)&amp;"*"&amp;RIGHT($C$83,4)&amp;"*"&amp;W$55&amp;"*"&amp;"A"</f>
        <v>nce*204*7120*A</v>
      </c>
      <c r="B753" s="282">
        <f>ROUND(W59,0)</f>
        <v>0</v>
      </c>
      <c r="C753" s="285">
        <f>ROUND(W60,2)</f>
        <v>5.74</v>
      </c>
      <c r="D753" s="282">
        <f>ROUND(W61,0)</f>
        <v>559348</v>
      </c>
      <c r="E753" s="282">
        <f>ROUND(W62,0)</f>
        <v>154514</v>
      </c>
      <c r="F753" s="282">
        <f>ROUND(W63,0)</f>
        <v>0</v>
      </c>
      <c r="G753" s="282">
        <f>ROUND(W64,0)</f>
        <v>158089</v>
      </c>
      <c r="H753" s="282">
        <f>ROUND(W65,0)</f>
        <v>315</v>
      </c>
      <c r="I753" s="282">
        <f>ROUND(W66,0)</f>
        <v>0</v>
      </c>
      <c r="J753" s="282">
        <f>ROUND(W67,0)</f>
        <v>72876</v>
      </c>
      <c r="K753" s="282">
        <f>ROUND(W68,0)</f>
        <v>0</v>
      </c>
      <c r="L753" s="282">
        <f>ROUND(W70,0)</f>
        <v>77691</v>
      </c>
      <c r="M753" s="282">
        <f>ROUND(W71,0)</f>
        <v>1246355</v>
      </c>
      <c r="N753" s="282">
        <f>ROUND(W76,0)</f>
        <v>1829</v>
      </c>
      <c r="O753" s="282">
        <f>ROUND(W74,0)</f>
        <v>28875554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2"/>
        <v>0</v>
      </c>
    </row>
    <row r="754" spans="1:26" ht="12.65" customHeight="1" x14ac:dyDescent="0.35">
      <c r="A754" s="209" t="str">
        <f>RIGHT($C$84,3)&amp;"*"&amp;RIGHT($C$83,4)&amp;"*"&amp;X$55&amp;"*"&amp;"A"</f>
        <v>nce*204*7130*A</v>
      </c>
      <c r="B754" s="282">
        <f>ROUND(X59,0)</f>
        <v>23842</v>
      </c>
      <c r="C754" s="285">
        <f>ROUND(X60,2)</f>
        <v>12.91</v>
      </c>
      <c r="D754" s="282">
        <f>ROUND(X61,0)</f>
        <v>1390291</v>
      </c>
      <c r="E754" s="282">
        <f>ROUND(X62,0)</f>
        <v>383822</v>
      </c>
      <c r="F754" s="282">
        <f>ROUND(X63,0)</f>
        <v>0</v>
      </c>
      <c r="G754" s="282">
        <f>ROUND(X64,0)</f>
        <v>954091</v>
      </c>
      <c r="H754" s="282">
        <f>ROUND(X65,0)</f>
        <v>579</v>
      </c>
      <c r="I754" s="282">
        <f>ROUND(X66,0)</f>
        <v>128651</v>
      </c>
      <c r="J754" s="282">
        <f>ROUND(X67,0)</f>
        <v>66149</v>
      </c>
      <c r="K754" s="282">
        <f>ROUND(X68,0)</f>
        <v>48719</v>
      </c>
      <c r="L754" s="282">
        <f>ROUND(X70,0)</f>
        <v>764615</v>
      </c>
      <c r="M754" s="282">
        <f>ROUND(X71,0)</f>
        <v>2963905</v>
      </c>
      <c r="N754" s="282">
        <f>ROUND(X76,0)</f>
        <v>1660</v>
      </c>
      <c r="O754" s="282">
        <f>ROUND(X74,0)</f>
        <v>121791749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2"/>
        <v>1111599</v>
      </c>
    </row>
    <row r="755" spans="1:26" ht="12.65" customHeight="1" x14ac:dyDescent="0.35">
      <c r="A755" s="209" t="str">
        <f>RIGHT($C$84,3)&amp;"*"&amp;RIGHT($C$83,4)&amp;"*"&amp;Y$55&amp;"*"&amp;"A"</f>
        <v>nce*204*7140*A</v>
      </c>
      <c r="B755" s="282">
        <f>ROUND(Y59,0)</f>
        <v>0</v>
      </c>
      <c r="C755" s="285">
        <f>ROUND(Y60,2)</f>
        <v>52.93</v>
      </c>
      <c r="D755" s="282">
        <f>ROUND(Y61,0)</f>
        <v>4240824</v>
      </c>
      <c r="E755" s="282">
        <f>ROUND(Y62,0)</f>
        <v>1171471</v>
      </c>
      <c r="F755" s="282">
        <f>ROUND(Y63,0)</f>
        <v>7365</v>
      </c>
      <c r="G755" s="282">
        <f>ROUND(Y64,0)</f>
        <v>282382</v>
      </c>
      <c r="H755" s="282">
        <f>ROUND(Y65,0)</f>
        <v>19214</v>
      </c>
      <c r="I755" s="282">
        <f>ROUND(Y66,0)</f>
        <v>719286</v>
      </c>
      <c r="J755" s="282">
        <f>ROUND(Y67,0)</f>
        <v>484996</v>
      </c>
      <c r="K755" s="282">
        <f>ROUND(Y68,0)</f>
        <v>32097</v>
      </c>
      <c r="L755" s="282">
        <f>ROUND(Y70,0)</f>
        <v>362734</v>
      </c>
      <c r="M755" s="282">
        <f>ROUND(Y71,0)</f>
        <v>7422297</v>
      </c>
      <c r="N755" s="282">
        <f>ROUND(Y76,0)</f>
        <v>12170</v>
      </c>
      <c r="O755" s="282">
        <f>ROUND(Y74,0)</f>
        <v>18997035</v>
      </c>
      <c r="P755" s="282">
        <f>IF(Y77&gt;0,ROUND(Y77,0),0)</f>
        <v>0</v>
      </c>
      <c r="Q755" s="282">
        <f>IF(Y78&gt;0,ROUND(Y78,0),0)</f>
        <v>0</v>
      </c>
      <c r="R755" s="282">
        <f>IF(Y79&gt;0,ROUND(Y79,0),0)</f>
        <v>0</v>
      </c>
      <c r="S755" s="282">
        <f>IF(Y80&gt;0,ROUND(Y80,0),0)</f>
        <v>7</v>
      </c>
      <c r="T755" s="285">
        <f>IF(Y81&gt;0,ROUND(Y81,2),0)</f>
        <v>0</v>
      </c>
      <c r="U755" s="282"/>
      <c r="X755" s="282"/>
      <c r="Y755" s="282"/>
      <c r="Z755" s="282">
        <f t="shared" si="22"/>
        <v>4028886</v>
      </c>
    </row>
    <row r="756" spans="1:26" ht="12.65" customHeight="1" x14ac:dyDescent="0.35">
      <c r="A756" s="209" t="str">
        <f>RIGHT($C$84,3)&amp;"*"&amp;RIGHT($C$83,4)&amp;"*"&amp;Z$55&amp;"*"&amp;"A"</f>
        <v>nce*204*7150*A</v>
      </c>
      <c r="B756" s="282">
        <f>ROUND(Z59,0)</f>
        <v>0</v>
      </c>
      <c r="C756" s="285">
        <f>ROUND(Z60,2)</f>
        <v>46.96</v>
      </c>
      <c r="D756" s="282">
        <f>ROUND(Z61,0)</f>
        <v>4963352</v>
      </c>
      <c r="E756" s="282">
        <f>ROUND(Z62,0)</f>
        <v>1288387</v>
      </c>
      <c r="F756" s="282">
        <f>ROUND(Z63,0)</f>
        <v>934</v>
      </c>
      <c r="G756" s="282">
        <f>ROUND(Z64,0)</f>
        <v>372661</v>
      </c>
      <c r="H756" s="282">
        <f>ROUND(Z65,0)</f>
        <v>2122</v>
      </c>
      <c r="I756" s="282">
        <f>ROUND(Z66,0)</f>
        <v>1943058</v>
      </c>
      <c r="J756" s="282">
        <f>ROUND(Z67,0)</f>
        <v>654924</v>
      </c>
      <c r="K756" s="282">
        <f>ROUND(Z68,0)</f>
        <v>1682757</v>
      </c>
      <c r="L756" s="282">
        <f>ROUND(Z70,0)</f>
        <v>85337</v>
      </c>
      <c r="M756" s="282">
        <f>ROUND(Z71,0)</f>
        <v>13037703</v>
      </c>
      <c r="N756" s="282">
        <f>ROUND(Z76,0)</f>
        <v>16433</v>
      </c>
      <c r="O756" s="282">
        <f>ROUND(Z74,0)</f>
        <v>108039230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7</v>
      </c>
      <c r="T756" s="285">
        <f>IF(Z81&gt;0,ROUND(Z81,2),0)</f>
        <v>0</v>
      </c>
      <c r="U756" s="282"/>
      <c r="X756" s="282"/>
      <c r="Y756" s="282"/>
      <c r="Z756" s="282">
        <f t="shared" si="22"/>
        <v>2797432</v>
      </c>
    </row>
    <row r="757" spans="1:26" ht="12.65" customHeight="1" x14ac:dyDescent="0.35">
      <c r="A757" s="209" t="str">
        <f>RIGHT($C$84,3)&amp;"*"&amp;RIGHT($C$83,4)&amp;"*"&amp;AA$55&amp;"*"&amp;"A"</f>
        <v>nce*204*7160*A</v>
      </c>
      <c r="B757" s="282">
        <f>ROUND(AA59,0)</f>
        <v>0</v>
      </c>
      <c r="C757" s="285">
        <f>ROUND(AA60,2)</f>
        <v>1.54</v>
      </c>
      <c r="D757" s="282">
        <f>ROUND(AA61,0)</f>
        <v>175877</v>
      </c>
      <c r="E757" s="282">
        <f>ROUND(AA62,0)</f>
        <v>48460</v>
      </c>
      <c r="F757" s="282">
        <f>ROUND(AA63,0)</f>
        <v>0</v>
      </c>
      <c r="G757" s="282">
        <f>ROUND(AA64,0)</f>
        <v>6736658</v>
      </c>
      <c r="H757" s="282">
        <f>ROUND(AA65,0)</f>
        <v>970</v>
      </c>
      <c r="I757" s="282">
        <f>ROUND(AA66,0)</f>
        <v>31921</v>
      </c>
      <c r="J757" s="282">
        <f>ROUND(AA67,0)</f>
        <v>54436</v>
      </c>
      <c r="K757" s="282">
        <f>ROUND(AA68,0)</f>
        <v>0</v>
      </c>
      <c r="L757" s="282">
        <f>ROUND(AA70,0)</f>
        <v>139018</v>
      </c>
      <c r="M757" s="282">
        <f>ROUND(AA71,0)</f>
        <v>6965997</v>
      </c>
      <c r="N757" s="282">
        <f>ROUND(AA76,0)</f>
        <v>1366</v>
      </c>
      <c r="O757" s="282">
        <f>ROUND(AA74,0)</f>
        <v>15074312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2"/>
        <v>6536590</v>
      </c>
    </row>
    <row r="758" spans="1:26" ht="12.65" customHeight="1" x14ac:dyDescent="0.35">
      <c r="A758" s="209" t="str">
        <f>RIGHT($C$84,3)&amp;"*"&amp;RIGHT($C$83,4)&amp;"*"&amp;AB$55&amp;"*"&amp;"A"</f>
        <v>nce*204*7170*A</v>
      </c>
      <c r="B758" s="282"/>
      <c r="C758" s="285">
        <f>ROUND(AB60,2)</f>
        <v>49.28</v>
      </c>
      <c r="D758" s="282">
        <f>ROUND(AB61,0)</f>
        <v>3357791</v>
      </c>
      <c r="E758" s="282">
        <f>ROUND(AB62,0)</f>
        <v>921062</v>
      </c>
      <c r="F758" s="282">
        <f>ROUND(AB63,0)</f>
        <v>693</v>
      </c>
      <c r="G758" s="282">
        <f>ROUND(AB64,0)</f>
        <v>242308673</v>
      </c>
      <c r="H758" s="282">
        <f>ROUND(AB65,0)</f>
        <v>4257</v>
      </c>
      <c r="I758" s="282">
        <f>ROUND(AB66,0)</f>
        <v>10869822</v>
      </c>
      <c r="J758" s="282">
        <f>ROUND(AB67,0)</f>
        <v>427108</v>
      </c>
      <c r="K758" s="282">
        <f>ROUND(AB68,0)</f>
        <v>207862</v>
      </c>
      <c r="L758" s="282">
        <f>ROUND(AB70,0)</f>
        <v>68452871</v>
      </c>
      <c r="M758" s="282">
        <f>ROUND(AB71,0)</f>
        <v>190756752</v>
      </c>
      <c r="N758" s="282">
        <f>ROUND(AB76,0)</f>
        <v>10717</v>
      </c>
      <c r="O758" s="282">
        <f>ROUND(AB74,0)</f>
        <v>538343851</v>
      </c>
      <c r="P758" s="282">
        <f>IF(AB77&gt;0,ROUND(AB77,0),0)</f>
        <v>0</v>
      </c>
      <c r="Q758" s="282">
        <f>IF(AB78&gt;0,ROUND(AB78,0),0)</f>
        <v>0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2"/>
        <v>2119399</v>
      </c>
    </row>
    <row r="759" spans="1:26" ht="12.65" customHeight="1" x14ac:dyDescent="0.35">
      <c r="A759" s="209" t="str">
        <f>RIGHT($C$84,3)&amp;"*"&amp;RIGHT($C$83,4)&amp;"*"&amp;AC$55&amp;"*"&amp;"A"</f>
        <v>nce*204*7180*A</v>
      </c>
      <c r="B759" s="282">
        <f>ROUND(AC59,0)</f>
        <v>0</v>
      </c>
      <c r="C759" s="285">
        <f>ROUND(AC60,2)</f>
        <v>2.67</v>
      </c>
      <c r="D759" s="282">
        <f>ROUND(AC61,0)</f>
        <v>217577</v>
      </c>
      <c r="E759" s="282">
        <f>ROUND(AC62,0)</f>
        <v>60701</v>
      </c>
      <c r="F759" s="282">
        <f>ROUND(AC63,0)</f>
        <v>0</v>
      </c>
      <c r="G759" s="282">
        <f>ROUND(AC64,0)</f>
        <v>33388</v>
      </c>
      <c r="H759" s="282">
        <f>ROUND(AC65,0)</f>
        <v>0</v>
      </c>
      <c r="I759" s="282">
        <f>ROUND(AC66,0)</f>
        <v>312</v>
      </c>
      <c r="J759" s="282">
        <f>ROUND(AC67,0)</f>
        <v>25231</v>
      </c>
      <c r="K759" s="282">
        <f>ROUND(AC68,0)</f>
        <v>0</v>
      </c>
      <c r="L759" s="282">
        <f>ROUND(AC70,0)</f>
        <v>20396</v>
      </c>
      <c r="M759" s="282">
        <f>ROUND(AC71,0)</f>
        <v>368665</v>
      </c>
      <c r="N759" s="282">
        <f>ROUND(AC76,0)</f>
        <v>633</v>
      </c>
      <c r="O759" s="282">
        <f>ROUND(AC74,0)</f>
        <v>2027677</v>
      </c>
      <c r="P759" s="282">
        <f>IF(AC77&gt;0,ROUND(AC77,0),0)</f>
        <v>0</v>
      </c>
      <c r="Q759" s="282">
        <f>IF(AC78&gt;0,ROUND(AC78,0),0)</f>
        <v>0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2"/>
        <v>61905952</v>
      </c>
    </row>
    <row r="760" spans="1:26" ht="12.65" customHeight="1" x14ac:dyDescent="0.35">
      <c r="A760" s="209" t="str">
        <f>RIGHT($C$84,3)&amp;"*"&amp;RIGHT($C$83,4)&amp;"*"&amp;AD$55&amp;"*"&amp;"A"</f>
        <v>nce*204*7190*A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2"/>
        <v>158018</v>
      </c>
    </row>
    <row r="761" spans="1:26" ht="12.65" customHeight="1" x14ac:dyDescent="0.35">
      <c r="A761" s="209" t="str">
        <f>RIGHT($C$84,3)&amp;"*"&amp;RIGHT($C$83,4)&amp;"*"&amp;AE$55&amp;"*"&amp;"A"</f>
        <v>nce*204*7200*A</v>
      </c>
      <c r="B761" s="282">
        <f>ROUND(AE59,0)</f>
        <v>0</v>
      </c>
      <c r="C761" s="285">
        <f>ROUND(AE60,2)</f>
        <v>9.91</v>
      </c>
      <c r="D761" s="282">
        <f>ROUND(AE61,0)</f>
        <v>1043419</v>
      </c>
      <c r="E761" s="282">
        <f>ROUND(AE62,0)</f>
        <v>290271</v>
      </c>
      <c r="F761" s="282">
        <f>ROUND(AE63,0)</f>
        <v>0</v>
      </c>
      <c r="G761" s="282">
        <f>ROUND(AE64,0)</f>
        <v>11841</v>
      </c>
      <c r="H761" s="282">
        <f>ROUND(AE65,0)</f>
        <v>546</v>
      </c>
      <c r="I761" s="282">
        <f>ROUND(AE66,0)</f>
        <v>297</v>
      </c>
      <c r="J761" s="282">
        <f>ROUND(AE67,0)</f>
        <v>55392</v>
      </c>
      <c r="K761" s="282">
        <f>ROUND(AE68,0)</f>
        <v>24222</v>
      </c>
      <c r="L761" s="282">
        <f>ROUND(AE70,0)</f>
        <v>152</v>
      </c>
      <c r="M761" s="282">
        <f>ROUND(AE71,0)</f>
        <v>1444213</v>
      </c>
      <c r="N761" s="282">
        <f>ROUND(AE76,0)</f>
        <v>1390</v>
      </c>
      <c r="O761" s="282">
        <f>ROUND(AE74,0)</f>
        <v>2025349</v>
      </c>
      <c r="P761" s="282">
        <f>IF(AE77&gt;0,ROUND(AE77,0),0)</f>
        <v>0</v>
      </c>
      <c r="Q761" s="282">
        <f>IF(AE78&gt;0,ROUND(AE78,0),0)</f>
        <v>0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2"/>
        <v>0</v>
      </c>
    </row>
    <row r="762" spans="1:26" ht="12.65" customHeight="1" x14ac:dyDescent="0.35">
      <c r="A762" s="209" t="str">
        <f>RIGHT($C$84,3)&amp;"*"&amp;RIGHT($C$83,4)&amp;"*"&amp;AF$55&amp;"*"&amp;"A"</f>
        <v>nce*204*7220*A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2"/>
        <v>435650</v>
      </c>
    </row>
    <row r="763" spans="1:26" ht="12.65" customHeight="1" x14ac:dyDescent="0.35">
      <c r="A763" s="209" t="str">
        <f>RIGHT($C$84,3)&amp;"*"&amp;RIGHT($C$83,4)&amp;"*"&amp;AG$55&amp;"*"&amp;"A"</f>
        <v>nce*204*7230*A</v>
      </c>
      <c r="B763" s="282">
        <f>ROUND(AG59,0)</f>
        <v>0</v>
      </c>
      <c r="C763" s="285">
        <f>ROUND(AG60,2)</f>
        <v>0</v>
      </c>
      <c r="D763" s="282">
        <f>ROUND(AG61,0)</f>
        <v>0</v>
      </c>
      <c r="E763" s="282">
        <f>ROUND(AG62,0)</f>
        <v>0</v>
      </c>
      <c r="F763" s="282">
        <f>ROUND(AG63,0)</f>
        <v>0</v>
      </c>
      <c r="G763" s="282">
        <f>ROUND(AG64,0)</f>
        <v>0</v>
      </c>
      <c r="H763" s="282">
        <f>ROUND(AG65,0)</f>
        <v>0</v>
      </c>
      <c r="I763" s="282">
        <f>ROUND(AG66,0)</f>
        <v>0</v>
      </c>
      <c r="J763" s="282">
        <f>ROUND(AG67,0)</f>
        <v>0</v>
      </c>
      <c r="K763" s="282">
        <f>ROUND(AG68,0)</f>
        <v>0</v>
      </c>
      <c r="L763" s="282">
        <f>ROUND(AG70,0)</f>
        <v>0</v>
      </c>
      <c r="M763" s="282">
        <f>ROUND(AG71,0)</f>
        <v>0</v>
      </c>
      <c r="N763" s="282">
        <f>ROUND(AG76,0)</f>
        <v>0</v>
      </c>
      <c r="O763" s="282">
        <f>ROUND(AG74,0)</f>
        <v>0</v>
      </c>
      <c r="P763" s="282">
        <f>IF(AG77&gt;0,ROUND(AG77,0),0)</f>
        <v>0</v>
      </c>
      <c r="Q763" s="282">
        <f>IF(AG78&gt;0,ROUND(AG78,0),0)</f>
        <v>0</v>
      </c>
      <c r="R763" s="282">
        <f>IF(AG79&gt;0,ROUND(AG79,0),0)</f>
        <v>0</v>
      </c>
      <c r="S763" s="282">
        <f>IF(AG80&gt;0,ROUND(AG80,0),0)</f>
        <v>0</v>
      </c>
      <c r="T763" s="285">
        <f>IF(AG81&gt;0,ROUND(AG81,2),0)</f>
        <v>0</v>
      </c>
      <c r="U763" s="282"/>
      <c r="X763" s="282"/>
      <c r="Y763" s="282"/>
      <c r="Z763" s="282">
        <f t="shared" si="22"/>
        <v>0</v>
      </c>
    </row>
    <row r="764" spans="1:26" ht="12.65" customHeight="1" x14ac:dyDescent="0.35">
      <c r="A764" s="209" t="str">
        <f>RIGHT($C$84,3)&amp;"*"&amp;RIGHT($C$83,4)&amp;"*"&amp;AH$55&amp;"*"&amp;"A"</f>
        <v>nce*204*7240*A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2"/>
        <v>0</v>
      </c>
    </row>
    <row r="765" spans="1:26" ht="12.65" customHeight="1" x14ac:dyDescent="0.35">
      <c r="A765" s="209" t="str">
        <f>RIGHT($C$84,3)&amp;"*"&amp;RIGHT($C$83,4)&amp;"*"&amp;AI$55&amp;"*"&amp;"A"</f>
        <v>nce*204*7250*A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2"/>
        <v>0</v>
      </c>
    </row>
    <row r="766" spans="1:26" ht="12.65" customHeight="1" x14ac:dyDescent="0.35">
      <c r="A766" s="209" t="str">
        <f>RIGHT($C$84,3)&amp;"*"&amp;RIGHT($C$83,4)&amp;"*"&amp;AJ$55&amp;"*"&amp;"A"</f>
        <v>nce*204*7260*A</v>
      </c>
      <c r="B766" s="282">
        <f>ROUND(AJ59,0)</f>
        <v>80885</v>
      </c>
      <c r="C766" s="285">
        <f>ROUND(AJ60,2)</f>
        <v>422.73</v>
      </c>
      <c r="D766" s="282">
        <f>ROUND(AJ61,0)</f>
        <v>34038506</v>
      </c>
      <c r="E766" s="282">
        <f>ROUND(AJ62,0)</f>
        <v>9363124</v>
      </c>
      <c r="F766" s="282">
        <f>ROUND(AJ63,0)</f>
        <v>10205</v>
      </c>
      <c r="G766" s="282">
        <f>ROUND(AJ64,0)</f>
        <v>1197978</v>
      </c>
      <c r="H766" s="282">
        <f>ROUND(AJ65,0)</f>
        <v>54342</v>
      </c>
      <c r="I766" s="282">
        <f>ROUND(AJ66,0)</f>
        <v>50872618</v>
      </c>
      <c r="J766" s="282">
        <f>ROUND(AJ67,0)</f>
        <v>3568874</v>
      </c>
      <c r="K766" s="282">
        <f>ROUND(AJ68,0)</f>
        <v>761604</v>
      </c>
      <c r="L766" s="282">
        <f>ROUND(AJ70,0)</f>
        <v>1878252</v>
      </c>
      <c r="M766" s="282">
        <f>ROUND(AJ71,0)</f>
        <v>98975948</v>
      </c>
      <c r="N766" s="282">
        <f>ROUND(AJ76,0)</f>
        <v>89551</v>
      </c>
      <c r="O766" s="282">
        <f>ROUND(AJ74,0)</f>
        <v>54742694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159</v>
      </c>
      <c r="T766" s="285">
        <f>IF(AJ81&gt;0,ROUND(AJ81,2),0)</f>
        <v>0</v>
      </c>
      <c r="U766" s="282"/>
      <c r="X766" s="282"/>
      <c r="Y766" s="282"/>
      <c r="Z766" s="282">
        <f t="shared" si="22"/>
        <v>0</v>
      </c>
    </row>
    <row r="767" spans="1:26" ht="12.65" customHeight="1" x14ac:dyDescent="0.35">
      <c r="A767" s="209" t="str">
        <f>RIGHT($C$84,3)&amp;"*"&amp;RIGHT($C$83,4)&amp;"*"&amp;AK$55&amp;"*"&amp;"A"</f>
        <v>nce*204*7310*A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2"/>
        <v>31823807</v>
      </c>
    </row>
    <row r="768" spans="1:26" ht="12.65" customHeight="1" x14ac:dyDescent="0.35">
      <c r="A768" s="209" t="str">
        <f>RIGHT($C$84,3)&amp;"*"&amp;RIGHT($C$83,4)&amp;"*"&amp;AL$55&amp;"*"&amp;"A"</f>
        <v>nce*204*7320*A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2"/>
        <v>0</v>
      </c>
    </row>
    <row r="769" spans="1:26" ht="12.65" customHeight="1" x14ac:dyDescent="0.35">
      <c r="A769" s="209" t="str">
        <f>RIGHT($C$84,3)&amp;"*"&amp;RIGHT($C$83,4)&amp;"*"&amp;AM$55&amp;"*"&amp;"A"</f>
        <v>nce*204*7330*A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2"/>
        <v>0</v>
      </c>
    </row>
    <row r="770" spans="1:26" ht="12.65" customHeight="1" x14ac:dyDescent="0.35">
      <c r="A770" s="209" t="str">
        <f>RIGHT($C$84,3)&amp;"*"&amp;RIGHT($C$83,4)&amp;"*"&amp;AN$55&amp;"*"&amp;"A"</f>
        <v>nce*204*7340*A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2"/>
        <v>0</v>
      </c>
    </row>
    <row r="771" spans="1:26" ht="12.65" customHeight="1" x14ac:dyDescent="0.35">
      <c r="A771" s="209" t="str">
        <f>RIGHT($C$84,3)&amp;"*"&amp;RIGHT($C$83,4)&amp;"*"&amp;AO$55&amp;"*"&amp;"A"</f>
        <v>nce*204*7350*A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2"/>
        <v>0</v>
      </c>
    </row>
    <row r="772" spans="1:26" ht="12.65" customHeight="1" x14ac:dyDescent="0.35">
      <c r="A772" s="209" t="str">
        <f>RIGHT($C$84,3)&amp;"*"&amp;RIGHT($C$83,4)&amp;"*"&amp;AP$55&amp;"*"&amp;"A"</f>
        <v>nce*204*7380*A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2"/>
        <v>0</v>
      </c>
    </row>
    <row r="773" spans="1:26" ht="12.65" customHeight="1" x14ac:dyDescent="0.35">
      <c r="A773" s="209" t="str">
        <f>RIGHT($C$84,3)&amp;"*"&amp;RIGHT($C$83,4)&amp;"*"&amp;AQ$55&amp;"*"&amp;"A"</f>
        <v>nce*204*7390*A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2"/>
        <v>0</v>
      </c>
    </row>
    <row r="774" spans="1:26" ht="12.65" customHeight="1" x14ac:dyDescent="0.35">
      <c r="A774" s="209" t="str">
        <f>RIGHT($C$84,3)&amp;"*"&amp;RIGHT($C$83,4)&amp;"*"&amp;AR$55&amp;"*"&amp;"A"</f>
        <v>nce*204*7400*A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2"/>
        <v>0</v>
      </c>
    </row>
    <row r="775" spans="1:26" ht="12.65" customHeight="1" x14ac:dyDescent="0.35">
      <c r="A775" s="209" t="str">
        <f>RIGHT($C$84,3)&amp;"*"&amp;RIGHT($C$83,4)&amp;"*"&amp;AS$55&amp;"*"&amp;"A"</f>
        <v>nce*204*7410*A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2"/>
        <v>0</v>
      </c>
    </row>
    <row r="776" spans="1:26" ht="12.65" customHeight="1" x14ac:dyDescent="0.35">
      <c r="A776" s="209" t="str">
        <f>RIGHT($C$84,3)&amp;"*"&amp;RIGHT($C$83,4)&amp;"*"&amp;AT$55&amp;"*"&amp;"A"</f>
        <v>nce*204*7420*A</v>
      </c>
      <c r="B776" s="282">
        <f>ROUND(AT59,0)</f>
        <v>379</v>
      </c>
      <c r="C776" s="285">
        <f>ROUND(AT60,2)</f>
        <v>28.24</v>
      </c>
      <c r="D776" s="282">
        <f>ROUND(AT61,0)</f>
        <v>1893921</v>
      </c>
      <c r="E776" s="282">
        <f>ROUND(AT62,0)</f>
        <v>524776</v>
      </c>
      <c r="F776" s="282">
        <f>ROUND(AT63,0)</f>
        <v>7020</v>
      </c>
      <c r="G776" s="282">
        <f>ROUND(AT64,0)</f>
        <v>4617</v>
      </c>
      <c r="H776" s="282">
        <f>ROUND(AT65,0)</f>
        <v>727</v>
      </c>
      <c r="I776" s="282">
        <f>ROUND(AT66,0)</f>
        <v>13391364</v>
      </c>
      <c r="J776" s="282">
        <f>ROUND(AT67,0)</f>
        <v>75720</v>
      </c>
      <c r="K776" s="282">
        <f>ROUND(AT68,0)</f>
        <v>0</v>
      </c>
      <c r="L776" s="282">
        <f>ROUND(AT70,0)</f>
        <v>8970098</v>
      </c>
      <c r="M776" s="282">
        <f>ROUND(AT71,0)</f>
        <v>7011269</v>
      </c>
      <c r="N776" s="282">
        <f>ROUND(AT76,0)</f>
        <v>1900</v>
      </c>
      <c r="O776" s="282">
        <f>ROUND(AT74,0)</f>
        <v>12872953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2"/>
        <v>0</v>
      </c>
    </row>
    <row r="777" spans="1:26" ht="12.65" customHeight="1" x14ac:dyDescent="0.35">
      <c r="A777" s="209" t="str">
        <f>RIGHT($C$84,3)&amp;"*"&amp;RIGHT($C$83,4)&amp;"*"&amp;AU$55&amp;"*"&amp;"A"</f>
        <v>nce*204*7430*A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2"/>
        <v>2045686</v>
      </c>
    </row>
    <row r="778" spans="1:26" ht="12.65" customHeight="1" x14ac:dyDescent="0.35">
      <c r="A778" s="209" t="str">
        <f>RIGHT($C$84,3)&amp;"*"&amp;RIGHT($C$83,4)&amp;"*"&amp;AV$55&amp;"*"&amp;"A"</f>
        <v>nce*204*7490*A</v>
      </c>
      <c r="B778" s="282"/>
      <c r="C778" s="285">
        <f>ROUND(AV60,2)</f>
        <v>40.75</v>
      </c>
      <c r="D778" s="282">
        <f>ROUND(AV61,0)</f>
        <v>3758590</v>
      </c>
      <c r="E778" s="282">
        <f>ROUND(AV62,0)</f>
        <v>1033244</v>
      </c>
      <c r="F778" s="282">
        <f>ROUND(AV63,0)</f>
        <v>0</v>
      </c>
      <c r="G778" s="282">
        <f>ROUND(AV64,0)</f>
        <v>549435</v>
      </c>
      <c r="H778" s="282">
        <f>ROUND(AV65,0)</f>
        <v>3410</v>
      </c>
      <c r="I778" s="282">
        <f>ROUND(AV66,0)</f>
        <v>323206</v>
      </c>
      <c r="J778" s="282">
        <f>ROUND(AV67,0)</f>
        <v>288044</v>
      </c>
      <c r="K778" s="282">
        <f>ROUND(AV68,0)</f>
        <v>0</v>
      </c>
      <c r="L778" s="282">
        <f>ROUND(AV70,0)</f>
        <v>639696</v>
      </c>
      <c r="M778" s="282">
        <f>ROUND(AV71,0)</f>
        <v>5614716</v>
      </c>
      <c r="N778" s="282">
        <f>ROUND(AV76,0)</f>
        <v>7228</v>
      </c>
      <c r="O778" s="282">
        <f>ROUND(AV74,0)</f>
        <v>28361013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43</v>
      </c>
      <c r="T778" s="285">
        <f>IF(AV81&gt;0,ROUND(AV81,2),0)</f>
        <v>0</v>
      </c>
      <c r="U778" s="282"/>
      <c r="X778" s="282"/>
      <c r="Y778" s="282"/>
      <c r="Z778" s="282">
        <f t="shared" si="22"/>
        <v>0</v>
      </c>
    </row>
    <row r="779" spans="1:26" ht="12.65" customHeight="1" x14ac:dyDescent="0.35">
      <c r="A779" s="209" t="str">
        <f>RIGHT($C$84,3)&amp;"*"&amp;RIGHT($C$83,4)&amp;"*"&amp;AW$55&amp;"*"&amp;"A"</f>
        <v>nce*204*8200*A</v>
      </c>
      <c r="B779" s="282"/>
      <c r="C779" s="285">
        <f>ROUND(AW60,2)</f>
        <v>0</v>
      </c>
      <c r="D779" s="282">
        <f>ROUND(AW61,0)</f>
        <v>-9112</v>
      </c>
      <c r="E779" s="282">
        <f>ROUND(AW62,0)</f>
        <v>0</v>
      </c>
      <c r="F779" s="282">
        <f>ROUND(AW63,0)</f>
        <v>0</v>
      </c>
      <c r="G779" s="282">
        <f>ROUND(AW64,0)</f>
        <v>-46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-13797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nce*204*8310*A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nce*204*8320*A</v>
      </c>
      <c r="B781" s="282">
        <f>ROUND(AY59,0)</f>
        <v>0</v>
      </c>
      <c r="C781" s="285">
        <f>ROUND(AY60,2)</f>
        <v>8.49</v>
      </c>
      <c r="D781" s="282">
        <f>ROUND(AY61,0)</f>
        <v>730205</v>
      </c>
      <c r="E781" s="282">
        <f>ROUND(AY62,0)</f>
        <v>201620</v>
      </c>
      <c r="F781" s="282">
        <f>ROUND(AY63,0)</f>
        <v>0</v>
      </c>
      <c r="G781" s="282">
        <f>ROUND(AY64,0)</f>
        <v>583</v>
      </c>
      <c r="H781" s="282">
        <f>ROUND(AY65,0)</f>
        <v>2909</v>
      </c>
      <c r="I781" s="282">
        <f>ROUND(AY66,0)</f>
        <v>107</v>
      </c>
      <c r="J781" s="282">
        <f>ROUND(AY67,0)</f>
        <v>5799</v>
      </c>
      <c r="K781" s="282">
        <f>ROUND(AY68,0)</f>
        <v>0</v>
      </c>
      <c r="L781" s="282">
        <f>ROUND(AY70,0)</f>
        <v>450</v>
      </c>
      <c r="M781" s="282">
        <f>ROUND(AY71,0)</f>
        <v>945080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nce*204*8330*A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276581</v>
      </c>
      <c r="H782" s="282">
        <f>ROUND(AZ65,0)</f>
        <v>0</v>
      </c>
      <c r="I782" s="282">
        <f>ROUND(AZ66,0)</f>
        <v>660</v>
      </c>
      <c r="J782" s="282">
        <f>ROUND(AZ67,0)</f>
        <v>84801</v>
      </c>
      <c r="K782" s="282">
        <f>ROUND(AZ68,0)</f>
        <v>0</v>
      </c>
      <c r="L782" s="282">
        <f>ROUND(AZ70,0)</f>
        <v>0</v>
      </c>
      <c r="M782" s="282">
        <f>ROUND(AZ71,0)</f>
        <v>875151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nce*204*8350*A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0</v>
      </c>
      <c r="J783" s="282">
        <f>ROUND(BA67,0)</f>
        <v>0</v>
      </c>
      <c r="K783" s="282">
        <f>ROUND(BA68,0)</f>
        <v>0</v>
      </c>
      <c r="L783" s="282">
        <f>ROUND(BA70,0)</f>
        <v>0</v>
      </c>
      <c r="M783" s="282">
        <f>ROUND(BA71,0)</f>
        <v>0</v>
      </c>
      <c r="N783" s="282"/>
      <c r="O783" s="282"/>
      <c r="P783" s="282">
        <f>IF(BA77&gt;0,ROUND(BA77,0),0)</f>
        <v>0</v>
      </c>
      <c r="Q783" s="282">
        <f>IF(BA78&gt;0,ROUND(BA78,0),0)</f>
        <v>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nce*204*8360*A</v>
      </c>
      <c r="B784" s="282"/>
      <c r="C784" s="285">
        <f>ROUND(BB60,2)</f>
        <v>25.46</v>
      </c>
      <c r="D784" s="282">
        <f>ROUND(BB61,0)</f>
        <v>2184464</v>
      </c>
      <c r="E784" s="282">
        <f>ROUND(BB62,0)</f>
        <v>602344</v>
      </c>
      <c r="F784" s="282">
        <f>ROUND(BB63,0)</f>
        <v>10268</v>
      </c>
      <c r="G784" s="282">
        <f>ROUND(BB64,0)</f>
        <v>4501</v>
      </c>
      <c r="H784" s="282">
        <f>ROUND(BB65,0)</f>
        <v>4666</v>
      </c>
      <c r="I784" s="282">
        <f>ROUND(BB66,0)</f>
        <v>1865264</v>
      </c>
      <c r="J784" s="282">
        <f>ROUND(BB67,0)</f>
        <v>46870</v>
      </c>
      <c r="K784" s="282">
        <f>ROUND(BB68,0)</f>
        <v>17535</v>
      </c>
      <c r="L784" s="282">
        <f>ROUND(BB70,0)</f>
        <v>59990</v>
      </c>
      <c r="M784" s="282">
        <f>ROUND(BB71,0)</f>
        <v>4268775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nce*204*8370*A</v>
      </c>
      <c r="B785" s="282"/>
      <c r="C785" s="285">
        <f>ROUND(BC60,2)</f>
        <v>3.29</v>
      </c>
      <c r="D785" s="282">
        <f>ROUND(BC61,0)</f>
        <v>220316</v>
      </c>
      <c r="E785" s="282">
        <f>ROUND(BC62,0)</f>
        <v>62309</v>
      </c>
      <c r="F785" s="282">
        <f>ROUND(BC63,0)</f>
        <v>11235</v>
      </c>
      <c r="G785" s="282">
        <f>ROUND(BC64,0)</f>
        <v>358</v>
      </c>
      <c r="H785" s="282">
        <f>ROUND(BC65,0)</f>
        <v>489</v>
      </c>
      <c r="I785" s="282">
        <f>ROUND(BC66,0)</f>
        <v>784333</v>
      </c>
      <c r="J785" s="282">
        <f>ROUND(BC67,0)</f>
        <v>8161</v>
      </c>
      <c r="K785" s="282">
        <f>ROUND(BC68,0)</f>
        <v>2034593</v>
      </c>
      <c r="L785" s="282">
        <f>ROUND(BC70,0)</f>
        <v>1177088</v>
      </c>
      <c r="M785" s="282">
        <f>ROUND(BC71,0)</f>
        <v>2107672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nce*204*8420*A</v>
      </c>
      <c r="B786" s="282"/>
      <c r="C786" s="285">
        <f>ROUND(BD60,2)</f>
        <v>35.880000000000003</v>
      </c>
      <c r="D786" s="282">
        <f>ROUND(BD61,0)</f>
        <v>1825608</v>
      </c>
      <c r="E786" s="282">
        <f>ROUND(BD62,0)</f>
        <v>508442</v>
      </c>
      <c r="F786" s="282">
        <f>ROUND(BD63,0)</f>
        <v>0</v>
      </c>
      <c r="G786" s="282">
        <f>ROUND(BD64,0)</f>
        <v>719260</v>
      </c>
      <c r="H786" s="282">
        <f>ROUND(BD65,0)</f>
        <v>11072</v>
      </c>
      <c r="I786" s="282">
        <f>ROUND(BD66,0)</f>
        <v>422756</v>
      </c>
      <c r="J786" s="282">
        <f>ROUND(BD67,0)</f>
        <v>68491</v>
      </c>
      <c r="K786" s="282">
        <f>ROUND(BD68,0)</f>
        <v>0</v>
      </c>
      <c r="L786" s="282">
        <f>ROUND(BD70,0)</f>
        <v>70946</v>
      </c>
      <c r="M786" s="282">
        <f>ROUND(BD71,0)</f>
        <v>3770506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nce*204*8430*A</v>
      </c>
      <c r="B787" s="282">
        <f>ROUND(BE59,0)</f>
        <v>542239</v>
      </c>
      <c r="C787" s="285">
        <f>ROUND(BE60,2)</f>
        <v>9.18</v>
      </c>
      <c r="D787" s="282">
        <f>ROUND(BE61,0)</f>
        <v>627685</v>
      </c>
      <c r="E787" s="282">
        <f>ROUND(BE62,0)</f>
        <v>172588</v>
      </c>
      <c r="F787" s="282">
        <f>ROUND(BE63,0)</f>
        <v>1714343</v>
      </c>
      <c r="G787" s="282">
        <f>ROUND(BE64,0)</f>
        <v>743667</v>
      </c>
      <c r="H787" s="282">
        <f>ROUND(BE65,0)</f>
        <v>1108186</v>
      </c>
      <c r="I787" s="282">
        <f>ROUND(BE66,0)</f>
        <v>4757400</v>
      </c>
      <c r="J787" s="282">
        <f>ROUND(BE67,0)</f>
        <v>4640289</v>
      </c>
      <c r="K787" s="282">
        <f>ROUND(BE68,0)</f>
        <v>17749</v>
      </c>
      <c r="L787" s="282">
        <f>ROUND(BE70,0)</f>
        <v>0</v>
      </c>
      <c r="M787" s="282">
        <f>ROUND(BE71,0)</f>
        <v>15274331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nce*204*8460*A</v>
      </c>
      <c r="B788" s="282"/>
      <c r="C788" s="285">
        <f>ROUND(BF60,2)</f>
        <v>0</v>
      </c>
      <c r="D788" s="282">
        <f>ROUND(BF61,0)</f>
        <v>0</v>
      </c>
      <c r="E788" s="282">
        <f>ROUND(BF62,0)</f>
        <v>0</v>
      </c>
      <c r="F788" s="282">
        <f>ROUND(BF63,0)</f>
        <v>0</v>
      </c>
      <c r="G788" s="282">
        <f>ROUND(BF64,0)</f>
        <v>0</v>
      </c>
      <c r="H788" s="282">
        <f>ROUND(BF65,0)</f>
        <v>0</v>
      </c>
      <c r="I788" s="282">
        <f>ROUND(BF66,0)</f>
        <v>0</v>
      </c>
      <c r="J788" s="282">
        <f>ROUND(BF67,0)</f>
        <v>0</v>
      </c>
      <c r="K788" s="282">
        <f>ROUND(BF68,0)</f>
        <v>0</v>
      </c>
      <c r="L788" s="282">
        <f>ROUND(BF70,0)</f>
        <v>0</v>
      </c>
      <c r="M788" s="282">
        <f>ROUND(BF71,0)</f>
        <v>0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nce*204*8470*A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nce*204*8480*A</v>
      </c>
      <c r="B790" s="282"/>
      <c r="C790" s="285">
        <f>ROUND(BH60,2)</f>
        <v>0</v>
      </c>
      <c r="D790" s="282">
        <f>ROUND(BH61,0)</f>
        <v>0</v>
      </c>
      <c r="E790" s="282">
        <f>ROUND(BH62,0)</f>
        <v>0</v>
      </c>
      <c r="F790" s="282">
        <f>ROUND(BH63,0)</f>
        <v>0</v>
      </c>
      <c r="G790" s="282">
        <f>ROUND(BH64,0)</f>
        <v>0</v>
      </c>
      <c r="H790" s="282">
        <f>ROUND(BH65,0)</f>
        <v>0</v>
      </c>
      <c r="I790" s="282">
        <f>ROUND(BH66,0)</f>
        <v>0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0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nce*204*8490*A</v>
      </c>
      <c r="B791" s="282"/>
      <c r="C791" s="285">
        <f>ROUND(BI60,2)</f>
        <v>1.18</v>
      </c>
      <c r="D791" s="282">
        <f>ROUND(BI61,0)</f>
        <v>52804</v>
      </c>
      <c r="E791" s="282">
        <f>ROUND(BI62,0)</f>
        <v>15062</v>
      </c>
      <c r="F791" s="282">
        <f>ROUND(BI63,0)</f>
        <v>922</v>
      </c>
      <c r="G791" s="282">
        <f>ROUND(BI64,0)</f>
        <v>194713</v>
      </c>
      <c r="H791" s="282">
        <f>ROUND(BI65,0)</f>
        <v>2471</v>
      </c>
      <c r="I791" s="282">
        <f>ROUND(BI66,0)</f>
        <v>182809</v>
      </c>
      <c r="J791" s="282">
        <f>ROUND(BI67,0)</f>
        <v>10524</v>
      </c>
      <c r="K791" s="282">
        <f>ROUND(BI68,0)</f>
        <v>0</v>
      </c>
      <c r="L791" s="282">
        <f>ROUND(BI70,0)</f>
        <v>471953</v>
      </c>
      <c r="M791" s="282">
        <f>ROUND(BI71,0)</f>
        <v>17869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nce*204*8510*A</v>
      </c>
      <c r="B792" s="282"/>
      <c r="C792" s="285">
        <f>ROUND(BJ60,2)</f>
        <v>25.18</v>
      </c>
      <c r="D792" s="282">
        <f>ROUND(BJ61,0)</f>
        <v>1967721</v>
      </c>
      <c r="E792" s="282">
        <f>ROUND(BJ62,0)</f>
        <v>541217</v>
      </c>
      <c r="F792" s="282">
        <f>ROUND(BJ63,0)</f>
        <v>584208</v>
      </c>
      <c r="G792" s="282">
        <f>ROUND(BJ64,0)</f>
        <v>10484</v>
      </c>
      <c r="H792" s="282">
        <f>ROUND(BJ65,0)</f>
        <v>1478</v>
      </c>
      <c r="I792" s="282">
        <f>ROUND(BJ66,0)</f>
        <v>219552</v>
      </c>
      <c r="J792" s="282">
        <f>ROUND(BJ67,0)</f>
        <v>117025</v>
      </c>
      <c r="K792" s="282">
        <f>ROUND(BJ68,0)</f>
        <v>0</v>
      </c>
      <c r="L792" s="282">
        <f>ROUND(BJ70,0)</f>
        <v>4920</v>
      </c>
      <c r="M792" s="282">
        <f>ROUND(BJ71,0)</f>
        <v>3560498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nce*204*8530*A</v>
      </c>
      <c r="B793" s="282"/>
      <c r="C793" s="285">
        <f>ROUND(BK60,2)</f>
        <v>58.92</v>
      </c>
      <c r="D793" s="282">
        <f>ROUND(BK61,0)</f>
        <v>1542579</v>
      </c>
      <c r="E793" s="282">
        <f>ROUND(BK62,0)</f>
        <v>432698</v>
      </c>
      <c r="F793" s="282">
        <f>ROUND(BK63,0)</f>
        <v>0</v>
      </c>
      <c r="G793" s="282">
        <f>ROUND(BK64,0)</f>
        <v>17020</v>
      </c>
      <c r="H793" s="282">
        <f>ROUND(BK65,0)</f>
        <v>12810</v>
      </c>
      <c r="I793" s="282">
        <f>ROUND(BK66,0)</f>
        <v>557967</v>
      </c>
      <c r="J793" s="282">
        <f>ROUND(BK67,0)</f>
        <v>174020</v>
      </c>
      <c r="K793" s="282">
        <f>ROUND(BK68,0)</f>
        <v>0</v>
      </c>
      <c r="L793" s="282">
        <f>ROUND(BK70,0)</f>
        <v>179430</v>
      </c>
      <c r="M793" s="282">
        <f>ROUND(BK71,0)</f>
        <v>2598593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nce*204*8560*A</v>
      </c>
      <c r="B794" s="282"/>
      <c r="C794" s="285">
        <f>ROUND(BL60,2)</f>
        <v>28.58</v>
      </c>
      <c r="D794" s="282">
        <f>ROUND(BL61,0)</f>
        <v>3477113</v>
      </c>
      <c r="E794" s="282">
        <f>ROUND(BL62,0)</f>
        <v>969358</v>
      </c>
      <c r="F794" s="282">
        <f>ROUND(BL63,0)</f>
        <v>0</v>
      </c>
      <c r="G794" s="282">
        <f>ROUND(BL64,0)</f>
        <v>42989</v>
      </c>
      <c r="H794" s="282">
        <f>ROUND(BL65,0)</f>
        <v>2183</v>
      </c>
      <c r="I794" s="282">
        <f>ROUND(BL66,0)</f>
        <v>269482</v>
      </c>
      <c r="J794" s="282">
        <f>ROUND(BL67,0)</f>
        <v>247056</v>
      </c>
      <c r="K794" s="282">
        <f>ROUND(BL68,0)</f>
        <v>0</v>
      </c>
      <c r="L794" s="282">
        <f>ROUND(BL70,0)</f>
        <v>931586</v>
      </c>
      <c r="M794" s="282">
        <f>ROUND(BL71,0)</f>
        <v>4222219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nce*204*8590*A</v>
      </c>
      <c r="B795" s="282"/>
      <c r="C795" s="285">
        <f>ROUND(BM60,2)</f>
        <v>35.64</v>
      </c>
      <c r="D795" s="282">
        <f>ROUND(BM61,0)</f>
        <v>4138220</v>
      </c>
      <c r="E795" s="282">
        <f>ROUND(BM62,0)</f>
        <v>1136639</v>
      </c>
      <c r="F795" s="282">
        <f>ROUND(BM63,0)</f>
        <v>570415</v>
      </c>
      <c r="G795" s="282">
        <f>ROUND(BM64,0)</f>
        <v>1999</v>
      </c>
      <c r="H795" s="282">
        <f>ROUND(BM65,0)</f>
        <v>4671</v>
      </c>
      <c r="I795" s="282">
        <f>ROUND(BM66,0)</f>
        <v>539727</v>
      </c>
      <c r="J795" s="282">
        <f>ROUND(BM67,0)</f>
        <v>88230</v>
      </c>
      <c r="K795" s="282">
        <f>ROUND(BM68,0)</f>
        <v>0</v>
      </c>
      <c r="L795" s="282">
        <f>ROUND(BM70,0)</f>
        <v>46125</v>
      </c>
      <c r="M795" s="282">
        <f>ROUND(BM71,0)</f>
        <v>6646813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nce*204*8610*A</v>
      </c>
      <c r="B796" s="282"/>
      <c r="C796" s="285">
        <f>ROUND(BN60,2)</f>
        <v>98.26</v>
      </c>
      <c r="D796" s="282">
        <f>ROUND(BN61,0)</f>
        <v>15805981</v>
      </c>
      <c r="E796" s="282">
        <f>ROUND(BN62,0)</f>
        <v>4420863</v>
      </c>
      <c r="F796" s="282">
        <f>ROUND(BN63,0)</f>
        <v>4840395</v>
      </c>
      <c r="G796" s="282">
        <f>ROUND(BN64,0)</f>
        <v>68395</v>
      </c>
      <c r="H796" s="282">
        <f>ROUND(BN65,0)</f>
        <v>46096</v>
      </c>
      <c r="I796" s="282">
        <f>ROUND(BN66,0)</f>
        <v>2394966</v>
      </c>
      <c r="J796" s="282">
        <f>ROUND(BN67,0)</f>
        <v>449675</v>
      </c>
      <c r="K796" s="282">
        <f>ROUND(BN68,0)</f>
        <v>13373</v>
      </c>
      <c r="L796" s="282">
        <f>ROUND(BN70,0)</f>
        <v>1453262</v>
      </c>
      <c r="M796" s="282">
        <f>ROUND(BN71,0)</f>
        <v>30088500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nce*204*8620*A</v>
      </c>
      <c r="B797" s="282"/>
      <c r="C797" s="285">
        <f>ROUND(BO60,2)</f>
        <v>7.29</v>
      </c>
      <c r="D797" s="282">
        <f>ROUND(BO61,0)</f>
        <v>607131</v>
      </c>
      <c r="E797" s="282">
        <f>ROUND(BO62,0)</f>
        <v>164949</v>
      </c>
      <c r="F797" s="282">
        <f>ROUND(BO63,0)</f>
        <v>1050</v>
      </c>
      <c r="G797" s="282">
        <f>ROUND(BO64,0)</f>
        <v>17906</v>
      </c>
      <c r="H797" s="282">
        <f>ROUND(BO65,0)</f>
        <v>420353</v>
      </c>
      <c r="I797" s="282">
        <f>ROUND(BO66,0)</f>
        <v>764250</v>
      </c>
      <c r="J797" s="282">
        <f>ROUND(BO67,0)</f>
        <v>46778</v>
      </c>
      <c r="K797" s="282">
        <f>ROUND(BO68,0)</f>
        <v>0</v>
      </c>
      <c r="L797" s="282">
        <f>ROUND(BO70,0)</f>
        <v>0</v>
      </c>
      <c r="M797" s="282">
        <f>ROUND(BO71,0)</f>
        <v>2046853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nce*204*8630*A</v>
      </c>
      <c r="B798" s="282"/>
      <c r="C798" s="285">
        <f>ROUND(BP60,2)</f>
        <v>15.13</v>
      </c>
      <c r="D798" s="282">
        <f>ROUND(BP61,0)</f>
        <v>1417507</v>
      </c>
      <c r="E798" s="282">
        <f>ROUND(BP62,0)</f>
        <v>386704</v>
      </c>
      <c r="F798" s="282">
        <f>ROUND(BP63,0)</f>
        <v>1064568</v>
      </c>
      <c r="G798" s="282">
        <f>ROUND(BP64,0)</f>
        <v>3082</v>
      </c>
      <c r="H798" s="282">
        <f>ROUND(BP65,0)</f>
        <v>4622</v>
      </c>
      <c r="I798" s="282">
        <f>ROUND(BP66,0)</f>
        <v>199766</v>
      </c>
      <c r="J798" s="282">
        <f>ROUND(BP67,0)</f>
        <v>126826</v>
      </c>
      <c r="K798" s="282">
        <f>ROUND(BP68,0)</f>
        <v>8168</v>
      </c>
      <c r="L798" s="282">
        <f>ROUND(BP70,0)</f>
        <v>2008949</v>
      </c>
      <c r="M798" s="282">
        <f>ROUND(BP71,0)</f>
        <v>8139025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nce*204*8640*A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nce*204*8650*A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nce*204*8660*A</v>
      </c>
      <c r="B801" s="282"/>
      <c r="C801" s="285">
        <f>ROUND(BS60,2)</f>
        <v>3.78</v>
      </c>
      <c r="D801" s="282">
        <f>ROUND(BS61,0)</f>
        <v>302784</v>
      </c>
      <c r="E801" s="282">
        <f>ROUND(BS62,0)</f>
        <v>83694</v>
      </c>
      <c r="F801" s="282">
        <f>ROUND(BS63,0)</f>
        <v>0</v>
      </c>
      <c r="G801" s="282">
        <f>ROUND(BS64,0)</f>
        <v>449</v>
      </c>
      <c r="H801" s="282">
        <f>ROUND(BS65,0)</f>
        <v>0</v>
      </c>
      <c r="I801" s="282">
        <f>ROUND(BS66,0)</f>
        <v>0</v>
      </c>
      <c r="J801" s="282">
        <f>ROUND(BS67,0)</f>
        <v>13437</v>
      </c>
      <c r="K801" s="282">
        <f>ROUND(BS68,0)</f>
        <v>0</v>
      </c>
      <c r="L801" s="282">
        <f>ROUND(BS70,0)</f>
        <v>49</v>
      </c>
      <c r="M801" s="282">
        <f>ROUND(BS71,0)</f>
        <v>436695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nce*204*8670*A</v>
      </c>
      <c r="B802" s="282"/>
      <c r="C802" s="285">
        <f>ROUND(BT60,2)</f>
        <v>4.54</v>
      </c>
      <c r="D802" s="282">
        <f>ROUND(BT61,0)</f>
        <v>376418</v>
      </c>
      <c r="E802" s="282">
        <f>ROUND(BT62,0)</f>
        <v>104387</v>
      </c>
      <c r="F802" s="282">
        <f>ROUND(BT63,0)</f>
        <v>0</v>
      </c>
      <c r="G802" s="282">
        <f>ROUND(BT64,0)</f>
        <v>3711</v>
      </c>
      <c r="H802" s="282">
        <f>ROUND(BT65,0)</f>
        <v>0</v>
      </c>
      <c r="I802" s="282">
        <f>ROUND(BT66,0)</f>
        <v>60147</v>
      </c>
      <c r="J802" s="282">
        <f>ROUND(BT67,0)</f>
        <v>22834</v>
      </c>
      <c r="K802" s="282">
        <f>ROUND(BT68,0)</f>
        <v>0</v>
      </c>
      <c r="L802" s="282">
        <f>ROUND(BT70,0)</f>
        <v>51</v>
      </c>
      <c r="M802" s="282">
        <f>ROUND(BT71,0)</f>
        <v>570917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nce*204*8680*A</v>
      </c>
      <c r="B803" s="282"/>
      <c r="C803" s="285">
        <f>ROUND(BU60,2)</f>
        <v>2.69</v>
      </c>
      <c r="D803" s="282">
        <f>ROUND(BU61,0)</f>
        <v>220296</v>
      </c>
      <c r="E803" s="282">
        <f>ROUND(BU62,0)</f>
        <v>62517</v>
      </c>
      <c r="F803" s="282">
        <f>ROUND(BU63,0)</f>
        <v>0</v>
      </c>
      <c r="G803" s="282">
        <f>ROUND(BU64,0)</f>
        <v>1850</v>
      </c>
      <c r="H803" s="282">
        <f>ROUND(BU65,0)</f>
        <v>0</v>
      </c>
      <c r="I803" s="282">
        <f>ROUND(BU66,0)</f>
        <v>0</v>
      </c>
      <c r="J803" s="282">
        <f>ROUND(BU67,0)</f>
        <v>48832</v>
      </c>
      <c r="K803" s="282">
        <f>ROUND(BU68,0)</f>
        <v>0</v>
      </c>
      <c r="L803" s="282">
        <f>ROUND(BU70,0)</f>
        <v>0</v>
      </c>
      <c r="M803" s="282">
        <f>ROUND(BU71,0)</f>
        <v>340039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nce*204*8690*A</v>
      </c>
      <c r="B804" s="282"/>
      <c r="C804" s="285">
        <f>ROUND(BV60,2)</f>
        <v>66.83</v>
      </c>
      <c r="D804" s="282">
        <f>ROUND(BV61,0)</f>
        <v>4658271</v>
      </c>
      <c r="E804" s="282">
        <f>ROUND(BV62,0)</f>
        <v>1292864</v>
      </c>
      <c r="F804" s="282">
        <f>ROUND(BV63,0)</f>
        <v>85448</v>
      </c>
      <c r="G804" s="282">
        <f>ROUND(BV64,0)</f>
        <v>44136</v>
      </c>
      <c r="H804" s="282">
        <f>ROUND(BV65,0)</f>
        <v>6669</v>
      </c>
      <c r="I804" s="282">
        <f>ROUND(BV66,0)</f>
        <v>778930</v>
      </c>
      <c r="J804" s="282">
        <f>ROUND(BV67,0)</f>
        <v>187099</v>
      </c>
      <c r="K804" s="282">
        <f>ROUND(BV68,0)</f>
        <v>0</v>
      </c>
      <c r="L804" s="282">
        <f>ROUND(BV70,0)</f>
        <v>122928</v>
      </c>
      <c r="M804" s="282">
        <f>ROUND(BV71,0)</f>
        <v>7066716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nce*204*8700*A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nce*204*8710*A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nce*204*8720*A</v>
      </c>
      <c r="B807" s="282"/>
      <c r="C807" s="285">
        <f>ROUND(BY60,2)</f>
        <v>18.18</v>
      </c>
      <c r="D807" s="282">
        <f>ROUND(BY61,0)</f>
        <v>2308015</v>
      </c>
      <c r="E807" s="282">
        <f>ROUND(BY62,0)</f>
        <v>614118</v>
      </c>
      <c r="F807" s="282">
        <f>ROUND(BY63,0)</f>
        <v>24658</v>
      </c>
      <c r="G807" s="282">
        <f>ROUND(BY64,0)</f>
        <v>72204</v>
      </c>
      <c r="H807" s="282">
        <f>ROUND(BY65,0)</f>
        <v>32414</v>
      </c>
      <c r="I807" s="282">
        <f>ROUND(BY66,0)</f>
        <v>1185267</v>
      </c>
      <c r="J807" s="282">
        <f>ROUND(BY67,0)</f>
        <v>91181</v>
      </c>
      <c r="K807" s="282">
        <f>ROUND(BY68,0)</f>
        <v>908757</v>
      </c>
      <c r="L807" s="282">
        <f>ROUND(BY70,0)</f>
        <v>411138</v>
      </c>
      <c r="M807" s="282">
        <f>ROUND(BY71,0)</f>
        <v>5095903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nce*204*8730*A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nce*204*8740*A</v>
      </c>
      <c r="B809" s="282"/>
      <c r="C809" s="285">
        <f>ROUND(CA60,2)</f>
        <v>20.85</v>
      </c>
      <c r="D809" s="282">
        <f>ROUND(CA61,0)</f>
        <v>1789417</v>
      </c>
      <c r="E809" s="282">
        <f>ROUND(CA62,0)</f>
        <v>493786</v>
      </c>
      <c r="F809" s="282">
        <f>ROUND(CA63,0)</f>
        <v>5890</v>
      </c>
      <c r="G809" s="282">
        <f>ROUND(CA64,0)</f>
        <v>3957</v>
      </c>
      <c r="H809" s="282">
        <f>ROUND(CA65,0)</f>
        <v>7448</v>
      </c>
      <c r="I809" s="282">
        <f>ROUND(CA66,0)</f>
        <v>7888</v>
      </c>
      <c r="J809" s="282">
        <f>ROUND(CA67,0)</f>
        <v>54952</v>
      </c>
      <c r="K809" s="282">
        <f>ROUND(CA68,0)</f>
        <v>0</v>
      </c>
      <c r="L809" s="282">
        <f>ROUND(CA70,0)</f>
        <v>60591</v>
      </c>
      <c r="M809" s="282">
        <f>ROUND(CA71,0)</f>
        <v>2573889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nce*204*8770*A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nce*204*8790*A</v>
      </c>
      <c r="B811" s="282"/>
      <c r="C811" s="285">
        <f>ROUND(CC60,2)</f>
        <v>150.69999999999999</v>
      </c>
      <c r="D811" s="282">
        <f>ROUND(CC61,0)</f>
        <v>14237492</v>
      </c>
      <c r="E811" s="282">
        <f>ROUND(CC62,0)</f>
        <v>4336565</v>
      </c>
      <c r="F811" s="282">
        <f>ROUND(CC63,0)</f>
        <v>2271570</v>
      </c>
      <c r="G811" s="282">
        <f>ROUND(CC64,0)</f>
        <v>167570</v>
      </c>
      <c r="H811" s="282">
        <f>ROUND(CC65,0)</f>
        <v>1187295</v>
      </c>
      <c r="I811" s="282">
        <f>ROUND(CC66,0)</f>
        <v>27936286</v>
      </c>
      <c r="J811" s="282">
        <f>ROUND(CC67,0)</f>
        <v>7100217</v>
      </c>
      <c r="K811" s="282">
        <f>ROUND(CC68,0)</f>
        <v>8725775</v>
      </c>
      <c r="L811" s="282">
        <f>ROUND(CC70,0)</f>
        <v>4211917</v>
      </c>
      <c r="M811" s="282">
        <f>ROUND(CC71,0)</f>
        <v>69269442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nce*204*9000*A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14573535</v>
      </c>
      <c r="V812" s="180">
        <f>ROUND(CD69,0)</f>
        <v>5863541</v>
      </c>
      <c r="W812" s="180">
        <f>ROUND(CD71,0)</f>
        <v>-8709994</v>
      </c>
      <c r="X812" s="282">
        <f>ROUND(CE73,0)</f>
        <v>97937329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3">SUM(C733:C812)</f>
        <v>1587.5500000000004</v>
      </c>
      <c r="D814" s="180">
        <f t="shared" si="23"/>
        <v>138868991</v>
      </c>
      <c r="E814" s="180">
        <f t="shared" si="23"/>
        <v>38692700</v>
      </c>
      <c r="F814" s="180">
        <f t="shared" si="23"/>
        <v>11232867</v>
      </c>
      <c r="G814" s="180">
        <f t="shared" si="23"/>
        <v>277647033</v>
      </c>
      <c r="H814" s="180">
        <f t="shared" si="23"/>
        <v>2963728</v>
      </c>
      <c r="I814" s="180">
        <f t="shared" si="23"/>
        <v>191368052</v>
      </c>
      <c r="J814" s="180">
        <f t="shared" si="23"/>
        <v>21609944</v>
      </c>
      <c r="K814" s="180">
        <f t="shared" si="23"/>
        <v>14669990</v>
      </c>
      <c r="L814" s="180">
        <f>SUM(L733:L812)+SUM(U733:U812)</f>
        <v>116045902</v>
      </c>
      <c r="M814" s="180">
        <f>SUM(M733:M812)+SUM(W733:W812)</f>
        <v>618887798</v>
      </c>
      <c r="N814" s="180">
        <f t="shared" ref="N814:Z814" si="24">SUM(N733:N812)</f>
        <v>215603</v>
      </c>
      <c r="O814" s="180">
        <f t="shared" si="24"/>
        <v>1230291815</v>
      </c>
      <c r="P814" s="180">
        <f t="shared" si="24"/>
        <v>1</v>
      </c>
      <c r="Q814" s="180">
        <f t="shared" si="24"/>
        <v>1</v>
      </c>
      <c r="R814" s="180">
        <f t="shared" si="24"/>
        <v>1</v>
      </c>
      <c r="S814" s="180">
        <f t="shared" si="24"/>
        <v>299</v>
      </c>
      <c r="T814" s="263">
        <f t="shared" si="24"/>
        <v>0</v>
      </c>
      <c r="U814" s="180">
        <f t="shared" si="24"/>
        <v>14573535</v>
      </c>
      <c r="V814" s="180">
        <f t="shared" si="24"/>
        <v>5863541</v>
      </c>
      <c r="W814" s="180">
        <f t="shared" si="24"/>
        <v>-8709994</v>
      </c>
      <c r="X814" s="180">
        <f t="shared" si="24"/>
        <v>97937329</v>
      </c>
      <c r="Y814" s="180">
        <f t="shared" si="24"/>
        <v>0</v>
      </c>
      <c r="Z814" s="180">
        <f t="shared" si="24"/>
        <v>157505466</v>
      </c>
    </row>
    <row r="815" spans="1:26" ht="12.65" customHeight="1" x14ac:dyDescent="0.35">
      <c r="B815" s="180" t="s">
        <v>1005</v>
      </c>
      <c r="C815" s="263">
        <f>CE60</f>
        <v>1587.5500000000004</v>
      </c>
      <c r="D815" s="180">
        <f>CE61</f>
        <v>138868989.79000002</v>
      </c>
      <c r="E815" s="180">
        <f>CE62</f>
        <v>38692700</v>
      </c>
      <c r="F815" s="180">
        <f>CE63</f>
        <v>11232866.279999997</v>
      </c>
      <c r="G815" s="180">
        <f>CE64</f>
        <v>277647031.51000005</v>
      </c>
      <c r="H815" s="240">
        <f>CE65</f>
        <v>2963728.8200000003</v>
      </c>
      <c r="I815" s="240">
        <f>CE66</f>
        <v>191368050.44999999</v>
      </c>
      <c r="J815" s="240">
        <f>CE67</f>
        <v>21609944</v>
      </c>
      <c r="K815" s="240">
        <f>CE68</f>
        <v>14669991.25</v>
      </c>
      <c r="L815" s="240">
        <f>CE70</f>
        <v>116045901.38000001</v>
      </c>
      <c r="M815" s="240">
        <f>CE71</f>
        <v>618887797.88999999</v>
      </c>
      <c r="N815" s="180">
        <f>CE76</f>
        <v>542238.96</v>
      </c>
      <c r="O815" s="180">
        <f>CE74</f>
        <v>1230291813.2199998</v>
      </c>
      <c r="P815" s="180">
        <f>CE77</f>
        <v>1</v>
      </c>
      <c r="Q815" s="180">
        <f>CE78</f>
        <v>1</v>
      </c>
      <c r="R815" s="180">
        <f>CE79</f>
        <v>1</v>
      </c>
      <c r="S815" s="180">
        <f>CE80</f>
        <v>299.20999999999998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161191696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138868990</v>
      </c>
      <c r="G816" s="240">
        <f>C379</f>
        <v>38692700</v>
      </c>
      <c r="H816" s="240">
        <f>C380</f>
        <v>11232866</v>
      </c>
      <c r="I816" s="240">
        <f>C381</f>
        <v>277647032</v>
      </c>
      <c r="J816" s="240">
        <f>C382</f>
        <v>2963729</v>
      </c>
      <c r="K816" s="240">
        <f>C383</f>
        <v>191368050</v>
      </c>
      <c r="L816" s="240">
        <f>C384+C385+C386+C388</f>
        <v>40841058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42" sqref="B4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Seattle Cancer Care Alliance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825 Eastlake Ave E.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P.O. Box 19023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98109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1279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1280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1023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1024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1281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1023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0" zoomScale="75" workbookViewId="0">
      <selection activeCell="B34" sqref="B34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1025</v>
      </c>
      <c r="H1" s="7"/>
    </row>
    <row r="2" spans="1:13" ht="20.149999999999999" customHeight="1" x14ac:dyDescent="0.35">
      <c r="A2" s="6" t="s">
        <v>1026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H-204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Seattle Cancer Care Alliance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1027</v>
      </c>
      <c r="C7" s="24"/>
      <c r="D7" s="127" t="str">
        <f>"  "&amp;data!C89</f>
        <v xml:space="preserve">  Aaron Crane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1028</v>
      </c>
      <c r="C8" s="24"/>
      <c r="D8" s="127" t="str">
        <f>"  "&amp;data!C90</f>
        <v xml:space="preserve">  Steven D. Huebner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1029</v>
      </c>
      <c r="C9" s="24"/>
      <c r="D9" s="127" t="str">
        <f>"  "&amp;data!C91</f>
        <v xml:space="preserve">  Paula Rosput Reynolds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1030</v>
      </c>
      <c r="C10" s="24"/>
      <c r="D10" s="127" t="str">
        <f>"  "&amp;data!C92</f>
        <v xml:space="preserve">  (206) 606-1060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1031</v>
      </c>
      <c r="C11" s="24"/>
      <c r="D11" s="127" t="str">
        <f>"  "&amp;data!C93</f>
        <v xml:space="preserve">  (206) 606-6643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1032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1033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1034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1035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1036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1037</v>
      </c>
      <c r="C23" s="38"/>
      <c r="D23" s="38"/>
      <c r="E23" s="38"/>
      <c r="F23" s="13">
        <f>data!C111</f>
        <v>585</v>
      </c>
      <c r="G23" s="21">
        <f>data!D111</f>
        <v>6362</v>
      </c>
      <c r="H23" s="7"/>
    </row>
    <row r="24" spans="1:9" ht="20.149999999999999" customHeight="1" x14ac:dyDescent="0.35">
      <c r="A24" s="130"/>
      <c r="B24" s="49" t="s">
        <v>1038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1039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1040</v>
      </c>
      <c r="C29" s="24"/>
      <c r="D29" s="15" t="s">
        <v>167</v>
      </c>
      <c r="E29" s="97" t="s">
        <v>1040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1041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1042</v>
      </c>
      <c r="C32" s="24"/>
      <c r="D32" s="21">
        <f>data!C118</f>
        <v>20</v>
      </c>
      <c r="E32" s="49" t="s">
        <v>1043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1044</v>
      </c>
      <c r="C33" s="24"/>
      <c r="D33" s="21">
        <f>data!C119</f>
        <v>0</v>
      </c>
      <c r="E33" s="49" t="s">
        <v>1045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1046</v>
      </c>
      <c r="C34" s="24"/>
      <c r="D34" s="21">
        <f>data!C120</f>
        <v>0</v>
      </c>
      <c r="E34" s="49" t="s">
        <v>291</v>
      </c>
      <c r="F34" s="24"/>
      <c r="G34" s="21">
        <f>data!E127</f>
        <v>20</v>
      </c>
      <c r="H34" s="7"/>
    </row>
    <row r="35" spans="1:8" ht="20.149999999999999" customHeight="1" x14ac:dyDescent="0.35">
      <c r="A35" s="130"/>
      <c r="B35" s="97" t="s">
        <v>1047</v>
      </c>
      <c r="C35" s="24"/>
      <c r="D35" s="21">
        <f>data!C121</f>
        <v>0</v>
      </c>
      <c r="E35" s="49" t="s">
        <v>1048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1049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34" sqref="B34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1050</v>
      </c>
      <c r="B1" s="8"/>
      <c r="C1" s="8"/>
      <c r="D1" s="8"/>
      <c r="E1" s="8"/>
      <c r="F1" s="8"/>
      <c r="G1" s="165" t="s">
        <v>1051</v>
      </c>
    </row>
    <row r="2" spans="1:13" ht="20.149999999999999" customHeight="1" x14ac:dyDescent="0.35">
      <c r="A2" s="105" t="str">
        <f>"Hospital Name: "&amp;data!C84</f>
        <v>Hospital Name: Seattle Cancer Care Alliance</v>
      </c>
      <c r="B2" s="8"/>
      <c r="C2" s="8"/>
      <c r="D2" s="8"/>
      <c r="E2" s="8"/>
      <c r="F2" s="11"/>
      <c r="G2" s="76" t="s">
        <v>1052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1053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1054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1055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197</v>
      </c>
      <c r="C7" s="48">
        <f>data!B139</f>
        <v>1896</v>
      </c>
      <c r="D7" s="48">
        <f>data!B140</f>
        <v>0</v>
      </c>
      <c r="E7" s="48">
        <f>data!B141</f>
        <v>23660027</v>
      </c>
      <c r="F7" s="48">
        <f>data!B142</f>
        <v>642021226.71000004</v>
      </c>
      <c r="G7" s="48">
        <f>data!B141+data!B142</f>
        <v>665681253.71000004</v>
      </c>
    </row>
    <row r="8" spans="1:13" ht="20.149999999999999" customHeight="1" x14ac:dyDescent="0.35">
      <c r="A8" s="23" t="s">
        <v>297</v>
      </c>
      <c r="B8" s="48">
        <f>data!C138</f>
        <v>86</v>
      </c>
      <c r="C8" s="48">
        <f>data!C139</f>
        <v>1175</v>
      </c>
      <c r="D8" s="48">
        <f>data!C140</f>
        <v>0</v>
      </c>
      <c r="E8" s="48">
        <f>data!C141</f>
        <v>15995437</v>
      </c>
      <c r="F8" s="48">
        <f>data!C142</f>
        <v>153076744.40000001</v>
      </c>
      <c r="G8" s="48">
        <f>data!C141+data!C142</f>
        <v>169072181.40000001</v>
      </c>
    </row>
    <row r="9" spans="1:13" ht="20.149999999999999" customHeight="1" x14ac:dyDescent="0.35">
      <c r="A9" s="23" t="s">
        <v>1056</v>
      </c>
      <c r="B9" s="48">
        <f>data!D138</f>
        <v>302</v>
      </c>
      <c r="C9" s="48">
        <f>data!D139</f>
        <v>3291</v>
      </c>
      <c r="D9" s="48">
        <f>data!D140</f>
        <v>0</v>
      </c>
      <c r="E9" s="48">
        <f>data!D141</f>
        <v>48575831</v>
      </c>
      <c r="F9" s="48">
        <f>data!D142</f>
        <v>748106608.26999998</v>
      </c>
      <c r="G9" s="48">
        <f>data!D141+data!D142</f>
        <v>796682439.26999998</v>
      </c>
    </row>
    <row r="10" spans="1:13" ht="20.149999999999999" customHeight="1" x14ac:dyDescent="0.35">
      <c r="A10" s="111" t="s">
        <v>203</v>
      </c>
      <c r="B10" s="48">
        <f>data!E138</f>
        <v>585</v>
      </c>
      <c r="C10" s="48">
        <f>data!E139</f>
        <v>6362</v>
      </c>
      <c r="D10" s="48">
        <f>data!E140</f>
        <v>0</v>
      </c>
      <c r="E10" s="48">
        <f>data!E141</f>
        <v>88231295</v>
      </c>
      <c r="F10" s="48">
        <f>data!E142</f>
        <v>1543204579.3800001</v>
      </c>
      <c r="G10" s="48">
        <f>data!E141+data!E142</f>
        <v>1631435874.3800001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1057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1054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1055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1056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1058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1054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1055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1056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1059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1060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1061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40" sqref="C40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1062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Seattle Cancer Care Alliance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1063</v>
      </c>
      <c r="C6" s="13">
        <f>data!C165</f>
        <v>12272447.49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611951.86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-31865.51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19271545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351707.57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9477514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699587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1064</v>
      </c>
      <c r="C14" s="13">
        <f>data!D173</f>
        <v>42652887.409999996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1065</v>
      </c>
      <c r="C18" s="13">
        <f>data!C175</f>
        <v>16929517</v>
      </c>
    </row>
    <row r="19" spans="1:3" ht="20.149999999999999" customHeight="1" x14ac:dyDescent="0.35">
      <c r="A19" s="13">
        <v>13</v>
      </c>
      <c r="B19" s="49" t="s">
        <v>1066</v>
      </c>
      <c r="C19" s="13">
        <f>data!C176</f>
        <v>1394635</v>
      </c>
    </row>
    <row r="20" spans="1:3" ht="20.149999999999999" customHeight="1" x14ac:dyDescent="0.35">
      <c r="A20" s="13">
        <v>14</v>
      </c>
      <c r="B20" s="49" t="s">
        <v>1067</v>
      </c>
      <c r="C20" s="13">
        <f>data!D177</f>
        <v>18324152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1068</v>
      </c>
      <c r="C24" s="104"/>
    </row>
    <row r="25" spans="1:3" ht="20.149999999999999" customHeight="1" x14ac:dyDescent="0.35">
      <c r="A25" s="13">
        <v>17</v>
      </c>
      <c r="B25" s="49" t="s">
        <v>1069</v>
      </c>
      <c r="C25" s="13">
        <f>data!C179</f>
        <v>1470827.53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1070</v>
      </c>
      <c r="C27" s="13">
        <f>data!D181</f>
        <v>1470827.53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1071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409610.52</v>
      </c>
    </row>
    <row r="32" spans="1:3" ht="20.149999999999999" customHeight="1" x14ac:dyDescent="0.35">
      <c r="A32" s="13">
        <v>22</v>
      </c>
      <c r="B32" s="49" t="s">
        <v>1072</v>
      </c>
      <c r="C32" s="13">
        <f>data!C184</f>
        <v>4500435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1073</v>
      </c>
      <c r="C34" s="13">
        <f>data!D186</f>
        <v>4910045.5199999996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1074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3804725.95</v>
      </c>
    </row>
    <row r="40" spans="1:3" ht="20.149999999999999" customHeight="1" x14ac:dyDescent="0.35">
      <c r="A40" s="13">
        <v>28</v>
      </c>
      <c r="B40" s="49" t="s">
        <v>1075</v>
      </c>
      <c r="C40" s="13">
        <f>data!D190</f>
        <v>3804725.95</v>
      </c>
    </row>
    <row r="41" spans="1:3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B34" sqref="B34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1076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Seattle Cancer Care Alliance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1077</v>
      </c>
      <c r="D5" s="47"/>
      <c r="E5" s="47"/>
      <c r="F5" s="72" t="s">
        <v>1078</v>
      </c>
    </row>
    <row r="6" spans="1:13" ht="20.149999999999999" customHeight="1" x14ac:dyDescent="0.35">
      <c r="A6" s="19"/>
      <c r="B6" s="20"/>
      <c r="C6" s="18" t="s">
        <v>1079</v>
      </c>
      <c r="D6" s="18" t="s">
        <v>329</v>
      </c>
      <c r="E6" s="18" t="s">
        <v>1080</v>
      </c>
      <c r="F6" s="18" t="s">
        <v>1079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19961533.68</v>
      </c>
      <c r="D7" s="21">
        <f>data!C195</f>
        <v>0</v>
      </c>
      <c r="E7" s="21">
        <f>data!D195</f>
        <v>0</v>
      </c>
      <c r="F7" s="21">
        <f>data!E195</f>
        <v>19961533.68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8292290.5899999999</v>
      </c>
      <c r="D8" s="21">
        <f>data!C196</f>
        <v>1029867.27</v>
      </c>
      <c r="E8" s="21">
        <f>data!D196</f>
        <v>0</v>
      </c>
      <c r="F8" s="21">
        <f>data!E196</f>
        <v>9322157.8599999994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128499089.60000001</v>
      </c>
      <c r="D9" s="21">
        <f>data!C197</f>
        <v>3107672.2530060001</v>
      </c>
      <c r="E9" s="21">
        <f>data!D197</f>
        <v>0</v>
      </c>
      <c r="F9" s="21">
        <f>data!E197</f>
        <v>131606761.85300601</v>
      </c>
    </row>
    <row r="10" spans="1:13" ht="20.149999999999999" customHeight="1" x14ac:dyDescent="0.35">
      <c r="A10" s="13">
        <v>4</v>
      </c>
      <c r="B10" s="14" t="s">
        <v>1081</v>
      </c>
      <c r="C10" s="21">
        <f>data!B198</f>
        <v>45876664.290000007</v>
      </c>
      <c r="D10" s="21">
        <f>data!C198</f>
        <v>263501.13</v>
      </c>
      <c r="E10" s="21">
        <f>data!D198</f>
        <v>0</v>
      </c>
      <c r="F10" s="21">
        <f>data!E198</f>
        <v>46140165.420000009</v>
      </c>
    </row>
    <row r="11" spans="1:13" ht="20.149999999999999" customHeight="1" x14ac:dyDescent="0.35">
      <c r="A11" s="13">
        <v>5</v>
      </c>
      <c r="B11" s="14" t="s">
        <v>1082</v>
      </c>
      <c r="C11" s="21">
        <f>data!B199</f>
        <v>5010566.82</v>
      </c>
      <c r="D11" s="21">
        <f>data!C199</f>
        <v>879124.33</v>
      </c>
      <c r="E11" s="21">
        <f>data!D199</f>
        <v>0</v>
      </c>
      <c r="F11" s="21">
        <f>data!E199</f>
        <v>5889691.1500000004</v>
      </c>
    </row>
    <row r="12" spans="1:13" ht="20.149999999999999" customHeight="1" x14ac:dyDescent="0.35">
      <c r="A12" s="13">
        <v>6</v>
      </c>
      <c r="B12" s="14" t="s">
        <v>1083</v>
      </c>
      <c r="C12" s="21">
        <f>data!B200</f>
        <v>8020152.040000001</v>
      </c>
      <c r="D12" s="21">
        <f>data!C200</f>
        <v>832463.63</v>
      </c>
      <c r="E12" s="21">
        <f>data!D200</f>
        <v>0</v>
      </c>
      <c r="F12" s="21">
        <f>data!E200</f>
        <v>8852615.6700000018</v>
      </c>
    </row>
    <row r="13" spans="1:13" ht="20.149999999999999" customHeight="1" x14ac:dyDescent="0.35">
      <c r="A13" s="13">
        <v>7</v>
      </c>
      <c r="B13" s="14" t="s">
        <v>1084</v>
      </c>
      <c r="C13" s="21">
        <f>data!B201</f>
        <v>111483656.61000001</v>
      </c>
      <c r="D13" s="21">
        <f>data!C201</f>
        <v>29429499.710000001</v>
      </c>
      <c r="E13" s="21">
        <f>data!D201</f>
        <v>1830999.24</v>
      </c>
      <c r="F13" s="21">
        <f>data!E201</f>
        <v>139082157.08000001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28850378.030000001</v>
      </c>
      <c r="D14" s="21">
        <f>data!C202</f>
        <v>13108860.960000001</v>
      </c>
      <c r="E14" s="21">
        <f>data!D202</f>
        <v>0</v>
      </c>
      <c r="F14" s="21">
        <f>data!E202</f>
        <v>41959238.990000002</v>
      </c>
    </row>
    <row r="15" spans="1:13" ht="20.149999999999999" customHeight="1" x14ac:dyDescent="0.35">
      <c r="A15" s="13">
        <v>9</v>
      </c>
      <c r="B15" s="14" t="s">
        <v>1085</v>
      </c>
      <c r="C15" s="21">
        <f>data!B203</f>
        <v>30613189.729999684</v>
      </c>
      <c r="D15" s="21">
        <f>data!C203</f>
        <v>58515386.629999995</v>
      </c>
      <c r="E15" s="21">
        <f>data!D203</f>
        <v>0</v>
      </c>
      <c r="F15" s="21">
        <f>data!E203</f>
        <v>89128576.359999686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386607521.38999963</v>
      </c>
      <c r="D16" s="21">
        <f>data!C204</f>
        <v>107166375.91300601</v>
      </c>
      <c r="E16" s="21">
        <f>data!D204</f>
        <v>1830999.24</v>
      </c>
      <c r="F16" s="21">
        <f>data!E204</f>
        <v>491942898.06300569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1077</v>
      </c>
      <c r="D21" s="76" t="s">
        <v>203</v>
      </c>
      <c r="E21" s="25"/>
      <c r="F21" s="18" t="s">
        <v>1078</v>
      </c>
    </row>
    <row r="22" spans="1:6" ht="20.149999999999999" customHeight="1" x14ac:dyDescent="0.35">
      <c r="A22" s="75"/>
      <c r="B22" s="44"/>
      <c r="C22" s="18" t="s">
        <v>1079</v>
      </c>
      <c r="D22" s="18" t="s">
        <v>1086</v>
      </c>
      <c r="E22" s="18" t="s">
        <v>1080</v>
      </c>
      <c r="F22" s="18" t="s">
        <v>1079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6491228.3700000001</v>
      </c>
      <c r="D24" s="21">
        <f>data!C209</f>
        <v>332129.02</v>
      </c>
      <c r="E24" s="21">
        <f>data!D209</f>
        <v>0</v>
      </c>
      <c r="F24" s="21">
        <f>data!E209</f>
        <v>6823357.3900000006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56564378.710000008</v>
      </c>
      <c r="D25" s="21">
        <f>data!C210</f>
        <v>6162860.9900000002</v>
      </c>
      <c r="E25" s="21">
        <f>data!D210</f>
        <v>0</v>
      </c>
      <c r="F25" s="21">
        <f>data!E210</f>
        <v>62727239.70000001</v>
      </c>
    </row>
    <row r="26" spans="1:6" ht="20.149999999999999" customHeight="1" x14ac:dyDescent="0.35">
      <c r="A26" s="13">
        <v>14</v>
      </c>
      <c r="B26" s="14" t="s">
        <v>1081</v>
      </c>
      <c r="C26" s="21">
        <f>data!B211</f>
        <v>30530785.620000001</v>
      </c>
      <c r="D26" s="21">
        <f>data!C211</f>
        <v>2168630.52</v>
      </c>
      <c r="E26" s="21">
        <f>data!D211</f>
        <v>0</v>
      </c>
      <c r="F26" s="21">
        <f>data!E211</f>
        <v>32699416.140000001</v>
      </c>
    </row>
    <row r="27" spans="1:6" ht="20.149999999999999" customHeight="1" x14ac:dyDescent="0.35">
      <c r="A27" s="13">
        <v>15</v>
      </c>
      <c r="B27" s="14" t="s">
        <v>1082</v>
      </c>
      <c r="C27" s="21">
        <f>data!B212</f>
        <v>2238583.66</v>
      </c>
      <c r="D27" s="21">
        <f>data!C212</f>
        <v>476239.57</v>
      </c>
      <c r="E27" s="21">
        <f>data!D212</f>
        <v>0</v>
      </c>
      <c r="F27" s="21">
        <f>data!E212</f>
        <v>2714823.23</v>
      </c>
    </row>
    <row r="28" spans="1:6" ht="20.149999999999999" customHeight="1" x14ac:dyDescent="0.35">
      <c r="A28" s="13">
        <v>16</v>
      </c>
      <c r="B28" s="14" t="s">
        <v>1083</v>
      </c>
      <c r="C28" s="21">
        <f>data!B213</f>
        <v>6589922.9700000007</v>
      </c>
      <c r="D28" s="21">
        <f>data!C213</f>
        <v>277845.68</v>
      </c>
      <c r="E28" s="21">
        <f>data!D213</f>
        <v>0</v>
      </c>
      <c r="F28" s="21">
        <f>data!E213</f>
        <v>6867768.6500000004</v>
      </c>
    </row>
    <row r="29" spans="1:6" ht="20.149999999999999" customHeight="1" x14ac:dyDescent="0.35">
      <c r="A29" s="13">
        <v>17</v>
      </c>
      <c r="B29" s="14" t="s">
        <v>1084</v>
      </c>
      <c r="C29" s="21">
        <f>data!B214</f>
        <v>76716986.729999989</v>
      </c>
      <c r="D29" s="21">
        <f>data!C214</f>
        <v>12211330.449999999</v>
      </c>
      <c r="E29" s="21">
        <f>data!D214</f>
        <v>1663820.49</v>
      </c>
      <c r="F29" s="21">
        <f>data!E214</f>
        <v>87264496.689999998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9992949.2400000002</v>
      </c>
      <c r="D30" s="21">
        <f>data!C215</f>
        <v>3509323.71</v>
      </c>
      <c r="E30" s="21">
        <f>data!D215</f>
        <v>0</v>
      </c>
      <c r="F30" s="21">
        <f>data!E215</f>
        <v>13502272.949999999</v>
      </c>
    </row>
    <row r="31" spans="1:6" ht="20.149999999999999" customHeight="1" x14ac:dyDescent="0.35">
      <c r="A31" s="13">
        <v>19</v>
      </c>
      <c r="B31" s="14" t="s">
        <v>1085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189124835.30000001</v>
      </c>
      <c r="D32" s="21">
        <f>data!C217</f>
        <v>25138359.939999998</v>
      </c>
      <c r="E32" s="21">
        <f>data!D217</f>
        <v>1663820.49</v>
      </c>
      <c r="F32" s="21">
        <f>data!E217</f>
        <v>212599374.75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B34" sqref="B34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1087</v>
      </c>
      <c r="B1" s="6"/>
      <c r="C1" s="6"/>
      <c r="D1" s="169" t="s">
        <v>1088</v>
      </c>
    </row>
    <row r="2" spans="1:13" ht="20.149999999999999" customHeight="1" x14ac:dyDescent="0.35">
      <c r="A2" s="29" t="str">
        <f>"Hospital: "&amp;data!C84</f>
        <v>Hospital: Seattle Cancer Care Alliance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1089</v>
      </c>
      <c r="C4" s="41" t="s">
        <v>1090</v>
      </c>
      <c r="D4" s="54"/>
    </row>
    <row r="5" spans="1:13" ht="20.149999999999999" customHeight="1" x14ac:dyDescent="0.35">
      <c r="A5" s="102">
        <v>1</v>
      </c>
      <c r="B5" s="55"/>
      <c r="C5" s="22" t="s">
        <v>1252</v>
      </c>
      <c r="D5" s="14">
        <f>data!D221</f>
        <v>3622233.55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424439166.42999995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137373044.47999999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1091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233254005.89000002</v>
      </c>
    </row>
    <row r="13" spans="1:13" ht="20.149999999999999" customHeight="1" x14ac:dyDescent="0.35">
      <c r="A13" s="23">
        <v>9</v>
      </c>
      <c r="B13" s="24"/>
      <c r="C13" s="14" t="s">
        <v>1092</v>
      </c>
      <c r="D13" s="14">
        <f>data!D229</f>
        <v>795066216.79999995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1093</v>
      </c>
      <c r="D16" s="140">
        <f>+data!C231</f>
        <v>2182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31026</v>
      </c>
    </row>
    <row r="19" spans="1:4" ht="20.149999999999999" customHeight="1" x14ac:dyDescent="0.35">
      <c r="A19" s="61">
        <v>15</v>
      </c>
      <c r="B19" s="55">
        <v>5910</v>
      </c>
      <c r="C19" s="22" t="s">
        <v>1094</v>
      </c>
      <c r="D19" s="14">
        <f>data!C234</f>
        <v>13203482.039999999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1095</v>
      </c>
      <c r="D22" s="14">
        <f>data!D236</f>
        <v>13234508.039999999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1096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1097</v>
      </c>
      <c r="C27" s="56"/>
      <c r="D27" s="14">
        <f>data!D242</f>
        <v>811922958.38999987</v>
      </c>
    </row>
    <row r="28" spans="1:4" ht="20.149999999999999" customHeight="1" x14ac:dyDescent="0.35">
      <c r="A28" s="126">
        <v>24</v>
      </c>
      <c r="B28" s="65" t="s">
        <v>1098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67" zoomScale="75" workbookViewId="0">
      <selection activeCell="B34" sqref="B34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1099</v>
      </c>
      <c r="B1" s="5"/>
      <c r="C1" s="6"/>
    </row>
    <row r="2" spans="1:13" ht="20.149999999999999" customHeight="1" x14ac:dyDescent="0.35">
      <c r="A2" s="4"/>
      <c r="B2" s="5"/>
      <c r="C2" s="167" t="s">
        <v>1100</v>
      </c>
    </row>
    <row r="3" spans="1:13" ht="20.149999999999999" customHeight="1" x14ac:dyDescent="0.35">
      <c r="A3" s="29" t="str">
        <f>"HOSPITAL: "&amp;data!C84</f>
        <v>HOSPITAL: Seattle Cancer Care Alliance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1101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232456980.14500001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330062461.80000001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316181708.78000003</v>
      </c>
    </row>
    <row r="9" spans="1:13" ht="20.149999999999999" customHeight="1" x14ac:dyDescent="0.35">
      <c r="A9" s="13">
        <v>5</v>
      </c>
      <c r="B9" s="14" t="s">
        <v>1102</v>
      </c>
      <c r="C9" s="21">
        <f>data!C253</f>
        <v>175402130.93599999</v>
      </c>
    </row>
    <row r="10" spans="1:13" ht="20.149999999999999" customHeight="1" x14ac:dyDescent="0.35">
      <c r="A10" s="13">
        <v>6</v>
      </c>
      <c r="B10" s="14" t="s">
        <v>1103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1104</v>
      </c>
      <c r="C11" s="21">
        <f>data!C255</f>
        <v>14558555.640000001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8674.2100000000009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18973013.039999999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7539724.0490000006</v>
      </c>
    </row>
    <row r="15" spans="1:13" ht="20.149999999999999" customHeight="1" x14ac:dyDescent="0.35">
      <c r="A15" s="13">
        <v>11</v>
      </c>
      <c r="B15" s="14" t="s">
        <v>1105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1106</v>
      </c>
      <c r="C16" s="21">
        <f>data!D260</f>
        <v>744378986.72800016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1107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75000000</v>
      </c>
    </row>
    <row r="22" spans="1:3" ht="20.149999999999999" customHeight="1" x14ac:dyDescent="0.35">
      <c r="A22" s="13">
        <v>18</v>
      </c>
      <c r="B22" s="14" t="s">
        <v>1108</v>
      </c>
      <c r="C22" s="21">
        <f>data!D265</f>
        <v>75000000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1109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19961533.68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9322157.8599999994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131606761.85300601</v>
      </c>
    </row>
    <row r="28" spans="1:3" ht="20.149999999999999" customHeight="1" x14ac:dyDescent="0.35">
      <c r="A28" s="13">
        <v>24</v>
      </c>
      <c r="B28" s="14" t="s">
        <v>1110</v>
      </c>
      <c r="C28" s="21">
        <f>data!C270</f>
        <v>46140165.420000009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5889691.1500000004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147934772.75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41959238.990000002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89128576.359999686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491942898.06300569</v>
      </c>
    </row>
    <row r="34" spans="1:3" ht="20.149999999999999" customHeight="1" x14ac:dyDescent="0.35">
      <c r="A34" s="13">
        <v>30</v>
      </c>
      <c r="B34" s="14" t="s">
        <v>1111</v>
      </c>
      <c r="C34" s="21">
        <f>data!C276</f>
        <v>212599374.75</v>
      </c>
    </row>
    <row r="35" spans="1:3" ht="20.149999999999999" customHeight="1" x14ac:dyDescent="0.35">
      <c r="A35" s="13">
        <v>31</v>
      </c>
      <c r="B35" s="14" t="s">
        <v>1112</v>
      </c>
      <c r="C35" s="21">
        <f>data!D277</f>
        <v>279343523.31300569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1113</v>
      </c>
      <c r="C37" s="36"/>
    </row>
    <row r="38" spans="1:3" ht="20.149999999999999" customHeight="1" x14ac:dyDescent="0.35">
      <c r="A38" s="13">
        <v>34</v>
      </c>
      <c r="B38" s="14" t="s">
        <v>1114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1115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209212295.505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218521974.73000002</v>
      </c>
    </row>
    <row r="42" spans="1:3" ht="20.149999999999999" customHeight="1" x14ac:dyDescent="0.35">
      <c r="A42" s="13">
        <v>38</v>
      </c>
      <c r="B42" s="14" t="s">
        <v>1116</v>
      </c>
      <c r="C42" s="21">
        <f>data!D283</f>
        <v>427734270.23500001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1117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1118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9013888.4699999988</v>
      </c>
    </row>
    <row r="49" spans="1:3" ht="20.149999999999999" customHeight="1" x14ac:dyDescent="0.35">
      <c r="A49" s="13">
        <v>45</v>
      </c>
      <c r="B49" s="14" t="s">
        <v>1119</v>
      </c>
      <c r="C49" s="21">
        <f>data!D290</f>
        <v>9013888.4699999988</v>
      </c>
    </row>
    <row r="50" spans="1:3" ht="20.149999999999999" customHeight="1" x14ac:dyDescent="0.35">
      <c r="A50" s="40">
        <v>46</v>
      </c>
      <c r="B50" s="41" t="s">
        <v>1120</v>
      </c>
      <c r="C50" s="21">
        <f>data!D292</f>
        <v>1535470668.7460058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1121</v>
      </c>
      <c r="B53" s="5"/>
      <c r="C53" s="6"/>
    </row>
    <row r="54" spans="1:3" ht="20.149999999999999" customHeight="1" x14ac:dyDescent="0.35">
      <c r="A54" s="4"/>
      <c r="B54" s="5"/>
      <c r="C54" s="167" t="s">
        <v>1122</v>
      </c>
    </row>
    <row r="55" spans="1:3" ht="20.149999999999999" customHeight="1" x14ac:dyDescent="0.35">
      <c r="A55" s="29" t="str">
        <f>"HOSPITAL: "&amp;data!C84</f>
        <v>HOSPITAL: Seattle Cancer Care Alliance</v>
      </c>
      <c r="B55" s="30"/>
      <c r="C55" s="31" t="str">
        <f>"FYE: "&amp;data!C82</f>
        <v>FYE: 06/30/2021</v>
      </c>
    </row>
    <row r="56" spans="1:3" ht="20.149999999999999" customHeight="1" x14ac:dyDescent="0.35">
      <c r="A56" s="42"/>
      <c r="B56" s="43" t="s">
        <v>1123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1124</v>
      </c>
      <c r="C59" s="21">
        <f>data!C305</f>
        <v>29708019.02</v>
      </c>
    </row>
    <row r="60" spans="1:3" ht="20.149999999999999" customHeight="1" x14ac:dyDescent="0.35">
      <c r="A60" s="13">
        <v>4</v>
      </c>
      <c r="B60" s="14" t="s">
        <v>1125</v>
      </c>
      <c r="C60" s="21">
        <f>data!C306</f>
        <v>23975892.039999999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38333743.289999999</v>
      </c>
    </row>
    <row r="62" spans="1:3" ht="20.149999999999999" customHeight="1" x14ac:dyDescent="0.35">
      <c r="A62" s="13">
        <v>6</v>
      </c>
      <c r="B62" s="14" t="s">
        <v>1126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1127</v>
      </c>
      <c r="C63" s="21">
        <f>data!C309</f>
        <v>41358831.439999998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17177307.030000001</v>
      </c>
    </row>
    <row r="67" spans="1:3" ht="20.149999999999999" customHeight="1" x14ac:dyDescent="0.35">
      <c r="A67" s="13">
        <v>11</v>
      </c>
      <c r="B67" s="14" t="s">
        <v>1128</v>
      </c>
      <c r="C67" s="21">
        <f>data!C313</f>
        <v>3415000</v>
      </c>
    </row>
    <row r="68" spans="1:3" ht="20.149999999999999" customHeight="1" x14ac:dyDescent="0.35">
      <c r="A68" s="13">
        <v>12</v>
      </c>
      <c r="B68" s="14" t="s">
        <v>1129</v>
      </c>
      <c r="C68" s="21">
        <f>data!D314</f>
        <v>153968792.81999999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1130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1131</v>
      </c>
      <c r="C72" s="21">
        <f>data!C317</f>
        <v>260865.19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1132</v>
      </c>
      <c r="C74" s="21">
        <f>data!D319</f>
        <v>260865.19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1133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6869311.1699999999</v>
      </c>
    </row>
    <row r="80" spans="1:3" ht="20.149999999999999" customHeight="1" x14ac:dyDescent="0.35">
      <c r="A80" s="13">
        <v>24</v>
      </c>
      <c r="B80" s="14" t="s">
        <v>1134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392462692.21000004</v>
      </c>
    </row>
    <row r="82" spans="1:3" ht="20.149999999999999" customHeight="1" x14ac:dyDescent="0.35">
      <c r="A82" s="13">
        <v>26</v>
      </c>
      <c r="B82" s="14" t="s">
        <v>1135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195842307.49000001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595174310.87000012</v>
      </c>
    </row>
    <row r="85" spans="1:3" ht="20.149999999999999" customHeight="1" x14ac:dyDescent="0.35">
      <c r="A85" s="13">
        <v>29</v>
      </c>
      <c r="B85" s="14" t="s">
        <v>1136</v>
      </c>
      <c r="C85" s="21">
        <f>data!D329</f>
        <v>3415000</v>
      </c>
    </row>
    <row r="86" spans="1:3" ht="20.149999999999999" customHeight="1" x14ac:dyDescent="0.35">
      <c r="A86" s="13">
        <v>30</v>
      </c>
      <c r="B86" s="14" t="s">
        <v>1137</v>
      </c>
      <c r="C86" s="21">
        <f>data!D330</f>
        <v>591759310.87000012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1138</v>
      </c>
      <c r="C88" s="21">
        <f>data!C332</f>
        <v>789481699.85000002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1139</v>
      </c>
      <c r="C90" s="36"/>
    </row>
    <row r="91" spans="1:3" ht="20.149999999999999" customHeight="1" x14ac:dyDescent="0.35">
      <c r="A91" s="13">
        <v>35</v>
      </c>
      <c r="B91" s="14" t="s">
        <v>1140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1141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1142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1143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1144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1145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1146</v>
      </c>
      <c r="C101" s="21">
        <f>data!C332+data!C334+data!C335+data!C336+data!C337-data!C338</f>
        <v>789481699.85000002</v>
      </c>
    </row>
    <row r="102" spans="1:3" ht="20.149999999999999" customHeight="1" x14ac:dyDescent="0.35">
      <c r="A102" s="13">
        <v>46</v>
      </c>
      <c r="B102" s="14" t="s">
        <v>1147</v>
      </c>
      <c r="C102" s="21">
        <f>data!D339</f>
        <v>1535470668.73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1148</v>
      </c>
      <c r="B105" s="5"/>
      <c r="C105" s="6"/>
    </row>
    <row r="106" spans="1:3" ht="20.149999999999999" customHeight="1" x14ac:dyDescent="0.35">
      <c r="A106" s="45"/>
      <c r="B106" s="8"/>
      <c r="C106" s="167" t="s">
        <v>1149</v>
      </c>
    </row>
    <row r="107" spans="1:3" ht="20.149999999999999" customHeight="1" x14ac:dyDescent="0.35">
      <c r="A107" s="29" t="str">
        <f>"HOSPITAL: "&amp;data!C84</f>
        <v>HOSPITAL: Seattle Cancer Care Alliance</v>
      </c>
      <c r="B107" s="30"/>
      <c r="C107" s="31" t="str">
        <f>" FYE: "&amp;data!C82</f>
        <v xml:space="preserve"> FYE: 06/30/2021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1150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88231294.5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1543204579.4300003</v>
      </c>
    </row>
    <row r="112" spans="1:3" ht="20.149999999999999" customHeight="1" x14ac:dyDescent="0.35">
      <c r="A112" s="13">
        <v>4</v>
      </c>
      <c r="B112" s="14" t="s">
        <v>1151</v>
      </c>
      <c r="C112" s="21">
        <f>data!D361</f>
        <v>1631435873.9300003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1152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3622233.55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795066216.79999995</v>
      </c>
    </row>
    <row r="117" spans="1:3" ht="20.149999999999999" customHeight="1" x14ac:dyDescent="0.35">
      <c r="A117" s="13">
        <v>9</v>
      </c>
      <c r="B117" s="14" t="s">
        <v>1153</v>
      </c>
      <c r="C117" s="48">
        <f>data!C365</f>
        <v>13234508.099999998</v>
      </c>
    </row>
    <row r="118" spans="1:3" ht="20.149999999999999" customHeight="1" x14ac:dyDescent="0.35">
      <c r="A118" s="13">
        <v>10</v>
      </c>
      <c r="B118" s="14" t="s">
        <v>1154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1097</v>
      </c>
      <c r="C119" s="48">
        <f>data!D367</f>
        <v>811922958.44999993</v>
      </c>
    </row>
    <row r="120" spans="1:3" ht="20.149999999999999" customHeight="1" x14ac:dyDescent="0.35">
      <c r="A120" s="13">
        <v>12</v>
      </c>
      <c r="B120" s="14" t="s">
        <v>1155</v>
      </c>
      <c r="C120" s="48">
        <f>data!D368</f>
        <v>819512915.48000038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104440416.22999999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1156</v>
      </c>
      <c r="C125" s="48">
        <f>data!D372</f>
        <v>104440416.22999999</v>
      </c>
    </row>
    <row r="126" spans="1:3" ht="20.149999999999999" customHeight="1" x14ac:dyDescent="0.35">
      <c r="A126" s="13">
        <v>18</v>
      </c>
      <c r="B126" s="14" t="s">
        <v>1157</v>
      </c>
      <c r="C126" s="48">
        <f>data!D373</f>
        <v>923953331.7100004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1158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158276305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42652887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10276939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340568588</v>
      </c>
    </row>
    <row r="133" spans="1:3" ht="20.149999999999999" customHeight="1" x14ac:dyDescent="0.35">
      <c r="A133" s="13">
        <v>25</v>
      </c>
      <c r="B133" s="14" t="s">
        <v>1159</v>
      </c>
      <c r="C133" s="48">
        <f>data!C382</f>
        <v>3873947</v>
      </c>
    </row>
    <row r="134" spans="1:3" ht="20.149999999999999" customHeight="1" x14ac:dyDescent="0.35">
      <c r="A134" s="13">
        <v>26</v>
      </c>
      <c r="B134" s="14" t="s">
        <v>1160</v>
      </c>
      <c r="C134" s="48">
        <f>data!C383</f>
        <v>198295399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25138359.940000001</v>
      </c>
    </row>
    <row r="136" spans="1:3" ht="20.149999999999999" customHeight="1" x14ac:dyDescent="0.35">
      <c r="A136" s="13">
        <v>28</v>
      </c>
      <c r="B136" s="14" t="s">
        <v>1161</v>
      </c>
      <c r="C136" s="48">
        <f>data!C385</f>
        <v>18324152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1470828</v>
      </c>
    </row>
    <row r="138" spans="1:3" ht="20.149999999999999" customHeight="1" x14ac:dyDescent="0.35">
      <c r="A138" s="13">
        <v>30</v>
      </c>
      <c r="B138" s="14" t="s">
        <v>1162</v>
      </c>
      <c r="C138" s="48">
        <f>data!C387</f>
        <v>4910046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3804726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33255480</v>
      </c>
    </row>
    <row r="141" spans="1:3" ht="20.149999999999999" customHeight="1" x14ac:dyDescent="0.35">
      <c r="A141" s="13">
        <v>34</v>
      </c>
      <c r="B141" s="14" t="s">
        <v>1163</v>
      </c>
      <c r="C141" s="48">
        <f>data!D390</f>
        <v>840847656.94000006</v>
      </c>
    </row>
    <row r="142" spans="1:3" ht="20.149999999999999" customHeight="1" x14ac:dyDescent="0.35">
      <c r="A142" s="13">
        <v>35</v>
      </c>
      <c r="B142" s="14" t="s">
        <v>1164</v>
      </c>
      <c r="C142" s="48">
        <f>data!D391</f>
        <v>83105674.770000339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1165</v>
      </c>
      <c r="C144" s="48">
        <f>data!C392</f>
        <v>68180538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1166</v>
      </c>
      <c r="C146" s="21">
        <f>data!D393</f>
        <v>151286212.77000034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1167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1168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1169</v>
      </c>
      <c r="C151" s="48">
        <f>data!D396</f>
        <v>151286212.77000034</v>
      </c>
    </row>
    <row r="152" spans="1:3" ht="20.149999999999999" customHeight="1" x14ac:dyDescent="0.35">
      <c r="A152" s="40">
        <v>45</v>
      </c>
      <c r="B152" s="49" t="s">
        <v>1170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6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4" zoomScale="80" zoomScaleNormal="80" workbookViewId="0">
      <selection activeCell="B34" sqref="B34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1171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1172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Seattle Cancer Care Alliance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1173</v>
      </c>
      <c r="C6" s="88" t="s">
        <v>92</v>
      </c>
      <c r="D6" s="18" t="s">
        <v>1174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1175</v>
      </c>
      <c r="E7" s="18" t="s">
        <v>163</v>
      </c>
      <c r="F7" s="18" t="s">
        <v>1176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1177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6362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275892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72625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7870300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49678630.07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2082157.5000000002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1178</v>
      </c>
      <c r="C21" s="14">
        <f>data!C71</f>
        <v>59979604.57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1179</v>
      </c>
      <c r="C23" s="48">
        <f>+data!M668</f>
        <v>17997019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1180</v>
      </c>
      <c r="C24" s="14">
        <f>data!C73</f>
        <v>88231295.059999987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1181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1182</v>
      </c>
      <c r="C26" s="14">
        <f>data!C75</f>
        <v>88231295.059999987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1183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1184</v>
      </c>
      <c r="C28" s="14">
        <f>data!C76</f>
        <v>15445.996695310001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1185</v>
      </c>
      <c r="C29" s="14">
        <f>data!C77</f>
        <v>1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1186</v>
      </c>
      <c r="C30" s="14">
        <f>data!C78</f>
        <v>1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1187</v>
      </c>
      <c r="C31" s="14">
        <f>data!C79</f>
        <v>1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1171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1188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Seattle Cancer Care Alliance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1173</v>
      </c>
      <c r="C38" s="25"/>
      <c r="D38" s="18" t="s">
        <v>100</v>
      </c>
      <c r="E38" s="18" t="s">
        <v>101</v>
      </c>
      <c r="F38" s="18" t="s">
        <v>1189</v>
      </c>
      <c r="G38" s="18" t="s">
        <v>103</v>
      </c>
      <c r="H38" s="18" t="s">
        <v>1190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1177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1178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1179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1180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1181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1182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1183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1184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1185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1186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1187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1171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1191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Seattle Cancer Care Alliance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1173</v>
      </c>
      <c r="C70" s="18" t="s">
        <v>106</v>
      </c>
      <c r="D70" s="25"/>
      <c r="E70" s="18" t="s">
        <v>108</v>
      </c>
      <c r="F70" s="18" t="s">
        <v>1192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1193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1177</v>
      </c>
      <c r="C72" s="15" t="s">
        <v>1194</v>
      </c>
      <c r="D72" s="89" t="s">
        <v>1195</v>
      </c>
      <c r="E72" s="212"/>
      <c r="F72" s="212"/>
      <c r="G72" s="89" t="s">
        <v>1196</v>
      </c>
      <c r="H72" s="89" t="s">
        <v>1196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682515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130.94999999999999</v>
      </c>
      <c r="G74" s="26">
        <f>data!U60</f>
        <v>175.01</v>
      </c>
      <c r="H74" s="26">
        <f>data!V60</f>
        <v>0</v>
      </c>
      <c r="I74" s="26">
        <f>data!W60</f>
        <v>6.706676245210728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11937662.58</v>
      </c>
      <c r="G75" s="14">
        <f>data!U61</f>
        <v>14034727.050000003</v>
      </c>
      <c r="H75" s="14">
        <f>data!V61</f>
        <v>0</v>
      </c>
      <c r="I75" s="14">
        <f>data!W61</f>
        <v>696938.04999999993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3217463</v>
      </c>
      <c r="G76" s="14">
        <f>data!U62</f>
        <v>3775158</v>
      </c>
      <c r="H76" s="14">
        <f>data!V62</f>
        <v>0</v>
      </c>
      <c r="I76" s="14">
        <f>data!W62</f>
        <v>185642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13905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4044133.9299999992</v>
      </c>
      <c r="F78" s="14">
        <f>data!T64</f>
        <v>2859202.14</v>
      </c>
      <c r="G78" s="14">
        <f>data!U64</f>
        <v>4709069.5199999996</v>
      </c>
      <c r="H78" s="14" t="str">
        <f>data!V64</f>
        <v/>
      </c>
      <c r="I78" s="14">
        <f>data!W64</f>
        <v>249712.90000000011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7757.2999999999993</v>
      </c>
      <c r="G79" s="14">
        <f>data!U65</f>
        <v>13793.840000000002</v>
      </c>
      <c r="H79" s="14" t="str">
        <f>data!V65</f>
        <v/>
      </c>
      <c r="I79" s="14">
        <f>data!W65</f>
        <v>239.64000000000001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6615080.7199999997</v>
      </c>
      <c r="G80" s="14">
        <f>data!U66</f>
        <v>12979487.670000006</v>
      </c>
      <c r="H80" s="14" t="str">
        <f>data!V66</f>
        <v/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1095880</v>
      </c>
      <c r="G81" s="14">
        <f>data!U67</f>
        <v>1366104</v>
      </c>
      <c r="H81" s="14">
        <f>data!V67</f>
        <v>0</v>
      </c>
      <c r="I81" s="14">
        <f>data!W67</f>
        <v>78027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189460.19999999992</v>
      </c>
      <c r="H82" s="14" t="str">
        <f>data!V68</f>
        <v/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55040.31</v>
      </c>
      <c r="F83" s="14">
        <f>data!T69</f>
        <v>512182.73000000016</v>
      </c>
      <c r="G83" s="14">
        <f>data!U69</f>
        <v>1302419.7300000004</v>
      </c>
      <c r="H83" s="14" t="str">
        <f>data!V69</f>
        <v/>
      </c>
      <c r="I83" s="14">
        <f>data!W69</f>
        <v>442671.87000000011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-153575.5</v>
      </c>
      <c r="F84" s="14">
        <f>-data!T70</f>
        <v>-2577293.7100000004</v>
      </c>
      <c r="G84" s="14">
        <f>-data!U70</f>
        <v>-10135350.35</v>
      </c>
      <c r="H84" s="14">
        <f>-data!V70</f>
        <v>0</v>
      </c>
      <c r="I84" s="14">
        <f>-data!W70</f>
        <v>-554364.55000000005</v>
      </c>
    </row>
    <row r="85" spans="1:9" ht="20.149999999999999" customHeight="1" x14ac:dyDescent="0.35">
      <c r="A85" s="23">
        <v>16</v>
      </c>
      <c r="B85" s="48" t="s">
        <v>1178</v>
      </c>
      <c r="C85" s="14">
        <f>data!Q71</f>
        <v>0</v>
      </c>
      <c r="D85" s="14">
        <f>data!R71</f>
        <v>0</v>
      </c>
      <c r="E85" s="14">
        <f>data!S71</f>
        <v>3945598.7399999993</v>
      </c>
      <c r="F85" s="14">
        <f>data!T71</f>
        <v>23667934.759999998</v>
      </c>
      <c r="G85" s="14">
        <f>data!U71</f>
        <v>28248774.660000019</v>
      </c>
      <c r="H85" s="14">
        <f>data!V71</f>
        <v>0</v>
      </c>
      <c r="I85" s="14">
        <f>data!W71</f>
        <v>1098866.9099999999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1179</v>
      </c>
      <c r="C87" s="48">
        <f>+data!M682</f>
        <v>0</v>
      </c>
      <c r="D87" s="48">
        <f>+data!M683</f>
        <v>0</v>
      </c>
      <c r="E87" s="48">
        <f>+data!M684</f>
        <v>1920286</v>
      </c>
      <c r="F87" s="48">
        <f>+data!M685</f>
        <v>15752768</v>
      </c>
      <c r="G87" s="48">
        <f>+data!M686</f>
        <v>13795170</v>
      </c>
      <c r="H87" s="48">
        <f>+data!M687</f>
        <v>0</v>
      </c>
      <c r="I87" s="48">
        <f>+data!M688</f>
        <v>1386304</v>
      </c>
    </row>
    <row r="88" spans="1:9" ht="20.149999999999999" customHeight="1" x14ac:dyDescent="0.35">
      <c r="A88" s="23">
        <v>19</v>
      </c>
      <c r="B88" s="48" t="s">
        <v>1180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1181</v>
      </c>
      <c r="C89" s="14">
        <f>data!Q74</f>
        <v>0</v>
      </c>
      <c r="D89" s="14">
        <f>data!R74</f>
        <v>0</v>
      </c>
      <c r="E89" s="14">
        <f>data!S74</f>
        <v>37196861.789999999</v>
      </c>
      <c r="F89" s="14">
        <f>data!T74</f>
        <v>145732161.49999997</v>
      </c>
      <c r="G89" s="14">
        <f>data!U74</f>
        <v>152799373.62</v>
      </c>
      <c r="H89" s="14">
        <f>data!V74</f>
        <v>0</v>
      </c>
      <c r="I89" s="14">
        <f>data!W74</f>
        <v>36581253.280000001</v>
      </c>
    </row>
    <row r="90" spans="1:9" ht="20.149999999999999" customHeight="1" x14ac:dyDescent="0.35">
      <c r="A90" s="23">
        <v>21</v>
      </c>
      <c r="B90" s="48" t="s">
        <v>1182</v>
      </c>
      <c r="C90" s="14">
        <f>data!Q75</f>
        <v>0</v>
      </c>
      <c r="D90" s="14">
        <f>data!R75</f>
        <v>0</v>
      </c>
      <c r="E90" s="14">
        <f>data!S75</f>
        <v>37196861.789999999</v>
      </c>
      <c r="F90" s="14">
        <f>data!T75</f>
        <v>145732161.49999997</v>
      </c>
      <c r="G90" s="14">
        <f>data!U75</f>
        <v>152799373.62</v>
      </c>
      <c r="H90" s="14">
        <f>data!V75</f>
        <v>0</v>
      </c>
      <c r="I90" s="14">
        <f>data!W75</f>
        <v>36581253.280000001</v>
      </c>
    </row>
    <row r="91" spans="1:9" ht="20.149999999999999" customHeight="1" x14ac:dyDescent="0.35">
      <c r="A91" s="23" t="s">
        <v>1183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1184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25682.605326694393</v>
      </c>
      <c r="G92" s="14">
        <f>data!U76</f>
        <v>32015.477056075502</v>
      </c>
      <c r="H92" s="14">
        <f>data!V76</f>
        <v>0</v>
      </c>
      <c r="I92" s="14">
        <f>data!W76</f>
        <v>1828.6065911800001</v>
      </c>
    </row>
    <row r="93" spans="1:9" ht="20.149999999999999" customHeight="1" x14ac:dyDescent="0.35">
      <c r="A93" s="23">
        <v>23</v>
      </c>
      <c r="B93" s="14" t="s">
        <v>1185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1186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1187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83.94</v>
      </c>
      <c r="G96" s="84">
        <f>data!U80</f>
        <v>5.56</v>
      </c>
      <c r="H96" s="84">
        <f>data!V80</f>
        <v>0</v>
      </c>
      <c r="I96" s="84">
        <f>data!W80</f>
        <v>0.09</v>
      </c>
    </row>
    <row r="97" spans="1:9" ht="20.149999999999999" customHeight="1" x14ac:dyDescent="0.35">
      <c r="A97" s="4" t="s">
        <v>1171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1197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Seattle Cancer Care Alliance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1173</v>
      </c>
      <c r="C102" s="18" t="s">
        <v>1198</v>
      </c>
      <c r="D102" s="18" t="s">
        <v>1199</v>
      </c>
      <c r="E102" s="18" t="s">
        <v>1199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1177</v>
      </c>
      <c r="C104" s="89" t="s">
        <v>224</v>
      </c>
      <c r="D104" s="15" t="s">
        <v>1200</v>
      </c>
      <c r="E104" s="15" t="s">
        <v>1200</v>
      </c>
      <c r="F104" s="15" t="s">
        <v>1200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27070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13.441743295019155</v>
      </c>
      <c r="D106" s="26">
        <f>data!Y60</f>
        <v>58.628884099616855</v>
      </c>
      <c r="E106" s="26">
        <f>data!Z60</f>
        <v>44.181039272030652</v>
      </c>
      <c r="F106" s="26">
        <f>data!AA60</f>
        <v>2.3230890804597699</v>
      </c>
      <c r="G106" s="26">
        <f>data!AB60</f>
        <v>62.588362068965516</v>
      </c>
      <c r="H106" s="26">
        <f>data!AC60</f>
        <v>2.3985871647509578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1504683.2399999998</v>
      </c>
      <c r="D107" s="14">
        <f>data!Y61</f>
        <v>4916071.2499999972</v>
      </c>
      <c r="E107" s="14">
        <f>data!Z61</f>
        <v>8231416.9300000016</v>
      </c>
      <c r="F107" s="14">
        <f>data!AA61</f>
        <v>269301.22000000003</v>
      </c>
      <c r="G107" s="14">
        <f>data!AB61</f>
        <v>4594835.1299999952</v>
      </c>
      <c r="H107" s="14">
        <f>data!AC61</f>
        <v>182808.14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400996</v>
      </c>
      <c r="D108" s="14">
        <f>data!Y62</f>
        <v>1321701</v>
      </c>
      <c r="E108" s="14">
        <f>data!Z62</f>
        <v>2073738</v>
      </c>
      <c r="F108" s="14">
        <f>data!AA62</f>
        <v>71856</v>
      </c>
      <c r="G108" s="14">
        <f>data!AB62</f>
        <v>1235099</v>
      </c>
      <c r="H108" s="14">
        <f>data!AC62</f>
        <v>49178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410679.93</v>
      </c>
      <c r="F109" s="14">
        <f>data!AA63</f>
        <v>0</v>
      </c>
      <c r="G109" s="14">
        <f>data!AB63</f>
        <v>12250.000000000015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782029.38999999955</v>
      </c>
      <c r="D110" s="14">
        <f>data!Y64</f>
        <v>372796.30999999994</v>
      </c>
      <c r="E110" s="14">
        <f>data!Z64</f>
        <v>993231.70000000054</v>
      </c>
      <c r="F110" s="14">
        <f>data!AA64</f>
        <v>7960558.6799999997</v>
      </c>
      <c r="G110" s="14">
        <f>data!AB64</f>
        <v>304021060.18000001</v>
      </c>
      <c r="H110" s="14">
        <f>data!AC64</f>
        <v>70584.009999999995</v>
      </c>
      <c r="I110" s="14" t="str">
        <f>data!AD64</f>
        <v/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674.31</v>
      </c>
      <c r="D111" s="14">
        <f>data!Y65</f>
        <v>25462.639999999989</v>
      </c>
      <c r="E111" s="14">
        <f>data!Z65</f>
        <v>286482.98</v>
      </c>
      <c r="F111" s="14">
        <f>data!AA65</f>
        <v>1336.62</v>
      </c>
      <c r="G111" s="14">
        <f>data!AB65</f>
        <v>5211.7699999999995</v>
      </c>
      <c r="H111" s="14">
        <f>data!AC65</f>
        <v>0</v>
      </c>
      <c r="I111" s="14" t="str">
        <f>data!AD65</f>
        <v/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113775.34999999999</v>
      </c>
      <c r="D112" s="14">
        <f>data!Y66</f>
        <v>534615.83000000019</v>
      </c>
      <c r="E112" s="14">
        <f>data!Z66</f>
        <v>2449145.98</v>
      </c>
      <c r="F112" s="14">
        <f>data!AA66</f>
        <v>34498.570000000007</v>
      </c>
      <c r="G112" s="14">
        <f>data!AB66</f>
        <v>12198641.719999999</v>
      </c>
      <c r="H112" s="14">
        <f>data!AC66</f>
        <v>0</v>
      </c>
      <c r="I112" s="14" t="str">
        <f>data!AD66</f>
        <v/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70824</v>
      </c>
      <c r="D113" s="14">
        <f>data!Y67</f>
        <v>495104</v>
      </c>
      <c r="E113" s="14">
        <f>data!Z67</f>
        <v>2027171</v>
      </c>
      <c r="F113" s="14">
        <f>data!AA67</f>
        <v>58284</v>
      </c>
      <c r="G113" s="14">
        <f>data!AB67</f>
        <v>454495</v>
      </c>
      <c r="H113" s="14">
        <f>data!AC67</f>
        <v>27014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138012.67999999996</v>
      </c>
      <c r="E114" s="14">
        <f>data!Z68</f>
        <v>1656260.0000000009</v>
      </c>
      <c r="F114" s="14">
        <f>data!AA68</f>
        <v>0</v>
      </c>
      <c r="G114" s="14">
        <f>data!AB68</f>
        <v>279485.46999999997</v>
      </c>
      <c r="H114" s="14">
        <f>data!AC68</f>
        <v>0</v>
      </c>
      <c r="I114" s="14" t="str">
        <f>data!AD68</f>
        <v/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906876.27000000014</v>
      </c>
      <c r="D115" s="14">
        <f>data!Y69</f>
        <v>900602.51000000047</v>
      </c>
      <c r="E115" s="14">
        <f>data!Z69</f>
        <v>5530926.3699999973</v>
      </c>
      <c r="F115" s="14">
        <f>data!AA69</f>
        <v>54496.87</v>
      </c>
      <c r="G115" s="14">
        <f>data!AB69</f>
        <v>1271575.7299999995</v>
      </c>
      <c r="H115" s="14">
        <f>data!AC69</f>
        <v>14660.9</v>
      </c>
      <c r="I115" s="14" t="str">
        <f>data!AD69</f>
        <v/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-7399182.8300000001</v>
      </c>
      <c r="D116" s="14">
        <f>-data!Y70</f>
        <v>-430159.33000000019</v>
      </c>
      <c r="E116" s="14">
        <f>-data!Z70</f>
        <v>-137568.81</v>
      </c>
      <c r="F116" s="14">
        <f>-data!AA70</f>
        <v>-503361.09</v>
      </c>
      <c r="G116" s="14">
        <f>-data!AB70</f>
        <v>-72953139.800000012</v>
      </c>
      <c r="H116" s="14">
        <f>-data!AC70</f>
        <v>-22519.75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1178</v>
      </c>
      <c r="C117" s="14">
        <f>data!X71</f>
        <v>-3619324.2700000005</v>
      </c>
      <c r="D117" s="14">
        <f>data!Y71</f>
        <v>8274206.8899999969</v>
      </c>
      <c r="E117" s="14">
        <f>data!Z71</f>
        <v>23521484.080000002</v>
      </c>
      <c r="F117" s="14">
        <f>data!AA71</f>
        <v>7946970.8699999992</v>
      </c>
      <c r="G117" s="14">
        <f>data!AB71</f>
        <v>251119514.19999999</v>
      </c>
      <c r="H117" s="14">
        <f>data!AC71</f>
        <v>321725.30000000005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1179</v>
      </c>
      <c r="C119" s="48">
        <f>+data!M689</f>
        <v>3180201</v>
      </c>
      <c r="D119" s="48">
        <f>+data!M690</f>
        <v>3951999</v>
      </c>
      <c r="E119" s="48">
        <f>+data!M691</f>
        <v>13406875</v>
      </c>
      <c r="F119" s="48">
        <f>+data!M692</f>
        <v>2477650</v>
      </c>
      <c r="G119" s="48">
        <f>+data!M693</f>
        <v>80976609</v>
      </c>
      <c r="H119" s="48">
        <f>+data!M694</f>
        <v>182233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1180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1181</v>
      </c>
      <c r="C121" s="14">
        <f>data!X74</f>
        <v>142822744.89000002</v>
      </c>
      <c r="D121" s="14">
        <f>data!Y74</f>
        <v>23567824.979999997</v>
      </c>
      <c r="E121" s="14">
        <f>data!Z74</f>
        <v>144321229.43000001</v>
      </c>
      <c r="F121" s="14">
        <f>data!AA74</f>
        <v>17416757.259999998</v>
      </c>
      <c r="G121" s="14">
        <f>data!AB74</f>
        <v>712464497.18999994</v>
      </c>
      <c r="H121" s="14">
        <f>data!AC74</f>
        <v>1873243.5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1182</v>
      </c>
      <c r="C122" s="14">
        <f>data!X75</f>
        <v>142822744.89000002</v>
      </c>
      <c r="D122" s="14">
        <f>data!Y75</f>
        <v>23567824.979999997</v>
      </c>
      <c r="E122" s="14">
        <f>data!Z75</f>
        <v>144321229.43000001</v>
      </c>
      <c r="F122" s="14">
        <f>data!AA75</f>
        <v>17416757.259999998</v>
      </c>
      <c r="G122" s="14">
        <f>data!AB75</f>
        <v>712464497.18999994</v>
      </c>
      <c r="H122" s="14">
        <f>data!AC75</f>
        <v>1873243.5</v>
      </c>
      <c r="I122" s="14">
        <f>data!AD75</f>
        <v>0</v>
      </c>
    </row>
    <row r="123" spans="1:9" ht="20.149999999999999" customHeight="1" x14ac:dyDescent="0.35">
      <c r="A123" s="23" t="s">
        <v>1183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1184</v>
      </c>
      <c r="C124" s="14">
        <f>data!X76</f>
        <v>1659.8083210699999</v>
      </c>
      <c r="D124" s="14">
        <f>data!Y76</f>
        <v>11603.060556015998</v>
      </c>
      <c r="E124" s="14">
        <f>data!Z76</f>
        <v>47507.967900505006</v>
      </c>
      <c r="F124" s="14">
        <f>data!AA76</f>
        <v>1365.91634107</v>
      </c>
      <c r="G124" s="14">
        <f>data!AB76</f>
        <v>10651.355489198255</v>
      </c>
      <c r="H124" s="14">
        <f>data!AC76</f>
        <v>633.09484128999998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1185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1186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1187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7.24</v>
      </c>
      <c r="E128" s="26">
        <f>data!Z80</f>
        <v>6.63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1171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1201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Seattle Cancer Care Alliance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1173</v>
      </c>
      <c r="C134" s="18" t="s">
        <v>96</v>
      </c>
      <c r="D134" s="18" t="s">
        <v>97</v>
      </c>
      <c r="E134" s="18" t="s">
        <v>118</v>
      </c>
      <c r="F134" s="25"/>
      <c r="G134" s="18" t="s">
        <v>1202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1177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1203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103233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9.0399999999999991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484.84830316091956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1006299.9500000002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39737062.699999988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268436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10695093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23188.46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9370.34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1509729.57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59546.710000000006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348.73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54664560.149999984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59307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3794928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13216.5</v>
      </c>
      <c r="D146" s="14" t="str">
        <f>data!AF68</f>
        <v/>
      </c>
      <c r="E146" s="14" t="str">
        <f>data!AG68</f>
        <v/>
      </c>
      <c r="F146" s="14" t="str">
        <f>data!AH68</f>
        <v/>
      </c>
      <c r="G146" s="14" t="str">
        <f>data!AI68</f>
        <v/>
      </c>
      <c r="H146" s="14">
        <f>data!AJ68</f>
        <v>714661.2699999999</v>
      </c>
      <c r="I146" s="14" t="str">
        <f>data!AK68</f>
        <v/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13198.369999999999</v>
      </c>
      <c r="D147" s="14" t="str">
        <f>data!AF69</f>
        <v/>
      </c>
      <c r="E147" s="14" t="str">
        <f>data!AG69</f>
        <v/>
      </c>
      <c r="F147" s="14" t="str">
        <f>data!AH69</f>
        <v/>
      </c>
      <c r="G147" s="14" t="str">
        <f>data!AI69</f>
        <v/>
      </c>
      <c r="H147" s="14">
        <f>data!AJ69</f>
        <v>1151352.2899999996</v>
      </c>
      <c r="I147" s="14" t="str">
        <f>data!AK69</f>
        <v/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-10251.06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-2428863.1099999985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1178</v>
      </c>
      <c r="C149" s="14">
        <f>data!AE71</f>
        <v>1359925.8300000003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109921259.03999998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1179</v>
      </c>
      <c r="C151" s="48">
        <f>+data!M696</f>
        <v>510395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44323166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1180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1181</v>
      </c>
      <c r="C153" s="14">
        <f>data!AE74</f>
        <v>2616381.5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89828750.629999995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1182</v>
      </c>
      <c r="C154" s="14">
        <f>data!AE75</f>
        <v>2616381.5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89828750.629999995</v>
      </c>
      <c r="I154" s="14">
        <f>data!AK75</f>
        <v>0</v>
      </c>
    </row>
    <row r="155" spans="1:9" ht="20.149999999999999" customHeight="1" x14ac:dyDescent="0.35">
      <c r="A155" s="23" t="s">
        <v>1183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1184</v>
      </c>
      <c r="C156" s="14">
        <f>data!AE76</f>
        <v>1389.8945845540406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88936.414261459504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1185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1186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1187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184.27</v>
      </c>
      <c r="I160" s="26">
        <f>data!AK80</f>
        <v>0</v>
      </c>
    </row>
    <row r="161" spans="1:9" ht="20.149999999999999" customHeight="1" x14ac:dyDescent="0.35">
      <c r="A161" s="4" t="s">
        <v>1171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1204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Seattle Cancer Care Alliance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1173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1205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1206</v>
      </c>
      <c r="F167" s="18" t="s">
        <v>182</v>
      </c>
      <c r="G167" s="18" t="s">
        <v>121</v>
      </c>
      <c r="H167" s="88" t="s">
        <v>1207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1177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 t="str">
        <f>data!AL68</f>
        <v/>
      </c>
      <c r="D178" s="14" t="str">
        <f>data!AM68</f>
        <v/>
      </c>
      <c r="E178" s="14" t="str">
        <f>data!AN68</f>
        <v/>
      </c>
      <c r="F178" s="14" t="str">
        <f>data!AO68</f>
        <v/>
      </c>
      <c r="G178" s="14" t="str">
        <f>data!AP68</f>
        <v/>
      </c>
      <c r="H178" s="14" t="str">
        <f>data!AQ68</f>
        <v/>
      </c>
      <c r="I178" s="14" t="str">
        <f>data!AR68</f>
        <v/>
      </c>
    </row>
    <row r="179" spans="1:9" ht="20.149999999999999" customHeight="1" x14ac:dyDescent="0.35">
      <c r="A179" s="23">
        <v>14</v>
      </c>
      <c r="B179" s="14" t="s">
        <v>241</v>
      </c>
      <c r="C179" s="14" t="str">
        <f>data!AL69</f>
        <v/>
      </c>
      <c r="D179" s="14" t="str">
        <f>data!AM69</f>
        <v/>
      </c>
      <c r="E179" s="14" t="str">
        <f>data!AN69</f>
        <v/>
      </c>
      <c r="F179" s="14" t="str">
        <f>data!AO69</f>
        <v/>
      </c>
      <c r="G179" s="14" t="str">
        <f>data!AP69</f>
        <v/>
      </c>
      <c r="H179" s="14" t="str">
        <f>data!AQ69</f>
        <v/>
      </c>
      <c r="I179" s="14" t="str">
        <f>data!AR69</f>
        <v/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1178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1179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1180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1181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1182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1183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1184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1185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1186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1187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1171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1208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Seattle Cancer Care Alliance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1173</v>
      </c>
      <c r="C198" s="25"/>
      <c r="D198" s="18" t="s">
        <v>130</v>
      </c>
      <c r="E198" s="18" t="s">
        <v>131</v>
      </c>
      <c r="F198" s="18" t="s">
        <v>132</v>
      </c>
      <c r="G198" s="18" t="s">
        <v>1209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1210</v>
      </c>
      <c r="E199" s="18" t="s">
        <v>1211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1177</v>
      </c>
      <c r="C200" s="15" t="s">
        <v>226</v>
      </c>
      <c r="D200" s="15" t="s">
        <v>1210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442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29.3</v>
      </c>
      <c r="E202" s="26">
        <f>data!AU60</f>
        <v>0</v>
      </c>
      <c r="F202" s="26">
        <f>data!AV60</f>
        <v>41.602772988505748</v>
      </c>
      <c r="G202" s="26">
        <f>data!AW60</f>
        <v>0</v>
      </c>
      <c r="H202" s="26">
        <f>data!AX60</f>
        <v>0</v>
      </c>
      <c r="I202" s="26">
        <f>data!AY60</f>
        <v>9.4499999999999993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2058672.37</v>
      </c>
      <c r="E203" s="14">
        <f>data!AU61</f>
        <v>0</v>
      </c>
      <c r="F203" s="14">
        <f>data!AV61</f>
        <v>4103564.4600000014</v>
      </c>
      <c r="G203" s="14">
        <f>data!AW61</f>
        <v>0</v>
      </c>
      <c r="H203" s="14">
        <f>data!AX61</f>
        <v>0</v>
      </c>
      <c r="I203" s="14">
        <f>data!AY61</f>
        <v>813986.02999999968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554931</v>
      </c>
      <c r="E204" s="14">
        <f>data!AU62</f>
        <v>0</v>
      </c>
      <c r="F204" s="14">
        <f>data!AV62</f>
        <v>1099971</v>
      </c>
      <c r="G204" s="14">
        <f>data!AW62</f>
        <v>0</v>
      </c>
      <c r="H204" s="14">
        <f>data!AX62</f>
        <v>0</v>
      </c>
      <c r="I204" s="14">
        <f>data!AY62</f>
        <v>219200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3595.57</v>
      </c>
      <c r="E206" s="14" t="str">
        <f>data!AU64</f>
        <v/>
      </c>
      <c r="F206" s="14">
        <f>data!AV64</f>
        <v>769108.81000000017</v>
      </c>
      <c r="G206" s="14" t="str">
        <f>data!AW64</f>
        <v/>
      </c>
      <c r="H206" s="14" t="str">
        <f>data!AX64</f>
        <v/>
      </c>
      <c r="I206" s="14">
        <f>data!AY64</f>
        <v>914.8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729.35</v>
      </c>
      <c r="E207" s="14" t="str">
        <f>data!AU65</f>
        <v/>
      </c>
      <c r="F207" s="14">
        <f>data!AV65</f>
        <v>3536.0699999999993</v>
      </c>
      <c r="G207" s="14" t="str">
        <f>data!AW65</f>
        <v/>
      </c>
      <c r="H207" s="14" t="str">
        <f>data!AX65</f>
        <v/>
      </c>
      <c r="I207" s="14">
        <f>data!AY65</f>
        <v>2752.35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12476873.379999999</v>
      </c>
      <c r="E208" s="14" t="str">
        <f>data!AU66</f>
        <v/>
      </c>
      <c r="F208" s="14">
        <f>data!AV66</f>
        <v>164292.26999999999</v>
      </c>
      <c r="G208" s="14" t="str">
        <f>data!AW66</f>
        <v/>
      </c>
      <c r="H208" s="14" t="str">
        <f>data!AX66</f>
        <v/>
      </c>
      <c r="I208" s="14">
        <f>data!AY66</f>
        <v>150.47000000000003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81072</v>
      </c>
      <c r="E209" s="14">
        <f>data!AU67</f>
        <v>0</v>
      </c>
      <c r="F209" s="14">
        <f>data!AV67</f>
        <v>306774</v>
      </c>
      <c r="G209" s="14">
        <f>data!AW67</f>
        <v>0</v>
      </c>
      <c r="H209" s="14">
        <f>data!AX67</f>
        <v>0</v>
      </c>
      <c r="I209" s="14">
        <f>data!AY67</f>
        <v>6209</v>
      </c>
    </row>
    <row r="210" spans="1:9" ht="20.149999999999999" customHeight="1" x14ac:dyDescent="0.35">
      <c r="A210" s="23">
        <v>13</v>
      </c>
      <c r="B210" s="14" t="s">
        <v>474</v>
      </c>
      <c r="C210" s="14" t="str">
        <f>data!AS68</f>
        <v/>
      </c>
      <c r="D210" s="14">
        <f>data!AT68</f>
        <v>0</v>
      </c>
      <c r="E210" s="14" t="str">
        <f>data!AU68</f>
        <v/>
      </c>
      <c r="F210" s="14">
        <f>data!AV68</f>
        <v>0</v>
      </c>
      <c r="G210" s="14" t="str">
        <f>data!AW68</f>
        <v/>
      </c>
      <c r="H210" s="14" t="str">
        <f>data!AX68</f>
        <v/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 t="str">
        <f>data!AS69</f>
        <v/>
      </c>
      <c r="D211" s="14">
        <f>data!AT69</f>
        <v>55857.220000000008</v>
      </c>
      <c r="E211" s="14" t="str">
        <f>data!AU69</f>
        <v/>
      </c>
      <c r="F211" s="14">
        <f>data!AV69</f>
        <v>233491.18999999994</v>
      </c>
      <c r="G211" s="14" t="str">
        <f>data!AW69</f>
        <v/>
      </c>
      <c r="H211" s="14" t="str">
        <f>data!AX69</f>
        <v/>
      </c>
      <c r="I211" s="14">
        <f>data!AY69</f>
        <v>3722.2200000000007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-7009528.0000000009</v>
      </c>
      <c r="E212" s="14">
        <f>-data!AU70</f>
        <v>0</v>
      </c>
      <c r="F212" s="14">
        <f>-data!AV70</f>
        <v>-1431940.8699999999</v>
      </c>
      <c r="G212" s="14">
        <f>-data!AW70</f>
        <v>0</v>
      </c>
      <c r="H212" s="14">
        <f>-data!AX70</f>
        <v>0</v>
      </c>
      <c r="I212" s="14">
        <f>-data!AY70</f>
        <v>-625.51</v>
      </c>
    </row>
    <row r="213" spans="1:9" ht="20.149999999999999" customHeight="1" x14ac:dyDescent="0.35">
      <c r="A213" s="23">
        <v>16</v>
      </c>
      <c r="B213" s="48" t="s">
        <v>1178</v>
      </c>
      <c r="C213" s="14">
        <f>data!AS71</f>
        <v>0</v>
      </c>
      <c r="D213" s="14">
        <f>data!AT71</f>
        <v>8222202.8899999978</v>
      </c>
      <c r="E213" s="14">
        <f>data!AU71</f>
        <v>0</v>
      </c>
      <c r="F213" s="14">
        <f>data!AV71</f>
        <v>5248796.9300000006</v>
      </c>
      <c r="G213" s="14">
        <f>data!AW71</f>
        <v>0</v>
      </c>
      <c r="H213" s="14">
        <f>data!AX71</f>
        <v>0</v>
      </c>
      <c r="I213" s="14">
        <f>data!AY71</f>
        <v>1046309.3599999996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1179</v>
      </c>
      <c r="C215" s="48">
        <f>+data!M710</f>
        <v>0</v>
      </c>
      <c r="D215" s="48">
        <f>+data!M711</f>
        <v>2378617</v>
      </c>
      <c r="E215" s="48">
        <f>+data!M712</f>
        <v>0</v>
      </c>
      <c r="F215" s="48">
        <f>+data!M713</f>
        <v>4910407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1180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1181</v>
      </c>
      <c r="C217" s="14">
        <f>data!AS74</f>
        <v>0</v>
      </c>
      <c r="D217" s="14">
        <f>data!AT74</f>
        <v>13383990.210000001</v>
      </c>
      <c r="E217" s="14">
        <f>data!AU74</f>
        <v>0</v>
      </c>
      <c r="F217" s="14">
        <f>data!AV74</f>
        <v>22599509.600000001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1182</v>
      </c>
      <c r="C218" s="14">
        <f>data!AS75</f>
        <v>0</v>
      </c>
      <c r="D218" s="14">
        <f>data!AT75</f>
        <v>13383990.210000001</v>
      </c>
      <c r="E218" s="14">
        <f>data!AU75</f>
        <v>0</v>
      </c>
      <c r="F218" s="14">
        <f>data!AV75</f>
        <v>22599509.600000001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1183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1184</v>
      </c>
      <c r="C220" s="14">
        <f>data!AS76</f>
        <v>0</v>
      </c>
      <c r="D220" s="14">
        <f>data!AT76</f>
        <v>1899.9801458331999</v>
      </c>
      <c r="E220" s="14">
        <f>data!AU76</f>
        <v>0</v>
      </c>
      <c r="F220" s="14">
        <f>data!AV76</f>
        <v>7189.4277485764987</v>
      </c>
      <c r="G220" s="14">
        <f>data!AW76</f>
        <v>0</v>
      </c>
      <c r="H220" s="14">
        <f>data!AX76</f>
        <v>0</v>
      </c>
      <c r="I220" s="85">
        <f>data!AY76</f>
        <v>145.50154470200002</v>
      </c>
    </row>
    <row r="221" spans="1:9" ht="20.149999999999999" customHeight="1" x14ac:dyDescent="0.35">
      <c r="A221" s="23">
        <v>23</v>
      </c>
      <c r="B221" s="14" t="s">
        <v>1185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1186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1187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49.04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1171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1212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Seattle Cancer Care Alliance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1173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1213</v>
      </c>
      <c r="F231" s="18" t="s">
        <v>1214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1177</v>
      </c>
      <c r="C232" s="15" t="s">
        <v>1215</v>
      </c>
      <c r="D232" s="15" t="s">
        <v>1216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589132.54733370664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26.964683908045977</v>
      </c>
      <c r="F234" s="26">
        <f>data!BC60</f>
        <v>1</v>
      </c>
      <c r="G234" s="26">
        <f>data!BD60</f>
        <v>46.796048850574699</v>
      </c>
      <c r="H234" s="26">
        <f>data!BE60</f>
        <v>9.9566379310344821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2353793.2100000023</v>
      </c>
      <c r="F235" s="14">
        <f>data!BC61</f>
        <v>72265.159999999916</v>
      </c>
      <c r="G235" s="14">
        <f>data!BD61</f>
        <v>2476816.1899999981</v>
      </c>
      <c r="H235" s="14">
        <f>data!BE61</f>
        <v>975015.47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611646</v>
      </c>
      <c r="F236" s="14">
        <f>data!BC62</f>
        <v>19477</v>
      </c>
      <c r="G236" s="14">
        <f>data!BD62</f>
        <v>672346</v>
      </c>
      <c r="H236" s="14">
        <f>data!BE62</f>
        <v>260458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82.58</v>
      </c>
      <c r="D237" s="14">
        <f>data!BA63</f>
        <v>0</v>
      </c>
      <c r="E237" s="14">
        <f>data!BB63</f>
        <v>3020</v>
      </c>
      <c r="F237" s="14">
        <f>data!BC63</f>
        <v>0</v>
      </c>
      <c r="G237" s="14">
        <f>data!BD63</f>
        <v>332.2</v>
      </c>
      <c r="H237" s="14">
        <f>data!BE63</f>
        <v>-698.0600000000004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285706.99000000005</v>
      </c>
      <c r="D238" s="14">
        <f>data!BA64</f>
        <v>0</v>
      </c>
      <c r="E238" s="14">
        <f>data!BB64</f>
        <v>3177.1900000000005</v>
      </c>
      <c r="F238" s="14">
        <f>data!BC64</f>
        <v>4118.9300000000012</v>
      </c>
      <c r="G238" s="14">
        <f>data!BD64</f>
        <v>2577171.8500000006</v>
      </c>
      <c r="H238" s="14">
        <f>data!BE64</f>
        <v>726242.98999999987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3851.98</v>
      </c>
      <c r="F239" s="14">
        <f>data!BC65</f>
        <v>331.3</v>
      </c>
      <c r="G239" s="14">
        <f>data!BD65</f>
        <v>14108.489999999998</v>
      </c>
      <c r="H239" s="14">
        <f>data!BE65</f>
        <v>1363396.3800000004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1274.8499999999999</v>
      </c>
      <c r="D240" s="14">
        <f>data!BA66</f>
        <v>0</v>
      </c>
      <c r="E240" s="14">
        <f>data!BB66</f>
        <v>1984132.06</v>
      </c>
      <c r="F240" s="14">
        <f>data!BC66</f>
        <v>1796655.99</v>
      </c>
      <c r="G240" s="14">
        <f>data!BD66</f>
        <v>553631.28999999992</v>
      </c>
      <c r="H240" s="14">
        <f>data!BE66</f>
        <v>5032130.7200000016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90795</v>
      </c>
      <c r="D241" s="14">
        <f>data!BA67</f>
        <v>0</v>
      </c>
      <c r="E241" s="14">
        <f>data!BB67</f>
        <v>50183</v>
      </c>
      <c r="F241" s="14">
        <f>data!BC67</f>
        <v>9847</v>
      </c>
      <c r="G241" s="14">
        <f>data!BD67</f>
        <v>73332</v>
      </c>
      <c r="H241" s="14">
        <f>data!BE67</f>
        <v>5633142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2032.71</v>
      </c>
      <c r="F242" s="14">
        <f>data!BC68</f>
        <v>2139332.0499999998</v>
      </c>
      <c r="G242" s="14">
        <f>data!BD68</f>
        <v>0</v>
      </c>
      <c r="H242" s="14">
        <f>data!BE68</f>
        <v>139688.95000000001</v>
      </c>
      <c r="I242" s="14" t="str">
        <f>data!BF68</f>
        <v/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720996.31999999972</v>
      </c>
      <c r="D243" s="14">
        <f>data!BA69</f>
        <v>6076.09</v>
      </c>
      <c r="E243" s="14">
        <f>data!BB69</f>
        <v>241547.67</v>
      </c>
      <c r="F243" s="14">
        <f>data!BC69</f>
        <v>337234.19000000006</v>
      </c>
      <c r="G243" s="14">
        <f>data!BD69</f>
        <v>186291.71999999994</v>
      </c>
      <c r="H243" s="14">
        <f>data!BE69</f>
        <v>1333732.8800000008</v>
      </c>
      <c r="I243" s="14" t="str">
        <f>data!BF69</f>
        <v/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-103860.53999999998</v>
      </c>
      <c r="F244" s="14">
        <f>-data!BC70</f>
        <v>-1494715.9600000002</v>
      </c>
      <c r="G244" s="14">
        <f>-data!BD70</f>
        <v>-90326.540000000008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1178</v>
      </c>
      <c r="C245" s="14">
        <f>data!AZ71</f>
        <v>1098855.7399999998</v>
      </c>
      <c r="D245" s="14">
        <f>data!BA71</f>
        <v>6076.09</v>
      </c>
      <c r="E245" s="14">
        <f>data!BB71</f>
        <v>5149523.2800000021</v>
      </c>
      <c r="F245" s="14">
        <f>data!BC71</f>
        <v>2884545.66</v>
      </c>
      <c r="G245" s="14">
        <f>data!BD71</f>
        <v>6463703.1999999983</v>
      </c>
      <c r="H245" s="14">
        <f>data!BE71</f>
        <v>15463109.330000002</v>
      </c>
      <c r="I245" s="14">
        <f>data!BF71</f>
        <v>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1179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1180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1181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1182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1183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1184</v>
      </c>
      <c r="C252" s="85">
        <f>data!AZ76</f>
        <v>2127.8414095518747</v>
      </c>
      <c r="D252" s="85">
        <f>data!BA76</f>
        <v>0</v>
      </c>
      <c r="E252" s="85">
        <f>data!BB76</f>
        <v>1176.0671627202285</v>
      </c>
      <c r="F252" s="85">
        <f>data!BC76</f>
        <v>230.76526386600003</v>
      </c>
      <c r="G252" s="85">
        <f>data!BD76</f>
        <v>1718.5858616700002</v>
      </c>
      <c r="H252" s="85">
        <f>data!BE76</f>
        <v>132016.06096096407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1185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1186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1187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1171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1217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Seattle Cancer Care Alliance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1173</v>
      </c>
      <c r="C262" s="18" t="s">
        <v>1218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1219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1220</v>
      </c>
    </row>
    <row r="264" spans="1:9" ht="20.149999999999999" customHeight="1" x14ac:dyDescent="0.35">
      <c r="A264" s="23">
        <v>3</v>
      </c>
      <c r="B264" s="14" t="s">
        <v>1177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1.1096455938697318</v>
      </c>
      <c r="F266" s="26">
        <f>data!BJ60</f>
        <v>23.68564655172414</v>
      </c>
      <c r="G266" s="26">
        <f>data!BK60</f>
        <v>67.960852490421459</v>
      </c>
      <c r="H266" s="26">
        <f>data!BL60</f>
        <v>31.096853448275862</v>
      </c>
      <c r="I266" s="26">
        <f>data!BM60</f>
        <v>13.81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56095.75</v>
      </c>
      <c r="F267" s="14">
        <f>data!BJ61</f>
        <v>1982485.6600000004</v>
      </c>
      <c r="G267" s="14">
        <f>data!BK61</f>
        <v>3571817.3700000006</v>
      </c>
      <c r="H267" s="14">
        <f>data!BL61</f>
        <v>2259126.5300000003</v>
      </c>
      <c r="I267" s="14">
        <f>data!BM61</f>
        <v>1525391.17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15175</v>
      </c>
      <c r="F268" s="14">
        <f>data!BJ62</f>
        <v>534004</v>
      </c>
      <c r="G268" s="14">
        <f>data!BK62</f>
        <v>963027</v>
      </c>
      <c r="H268" s="14">
        <f>data!BL62</f>
        <v>607703</v>
      </c>
      <c r="I268" s="14">
        <f>data!BM62</f>
        <v>406228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735.46</v>
      </c>
      <c r="F269" s="14">
        <f>data!BJ63</f>
        <v>352083.30000000005</v>
      </c>
      <c r="G269" s="14">
        <f>data!BK63</f>
        <v>4287104.09</v>
      </c>
      <c r="H269" s="14">
        <f>data!BL63</f>
        <v>0</v>
      </c>
      <c r="I269" s="14">
        <f>data!BM63</f>
        <v>422508.75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60429.790000000008</v>
      </c>
      <c r="F270" s="14">
        <f>data!BJ64</f>
        <v>3591.67</v>
      </c>
      <c r="G270" s="14">
        <f>data!BK64</f>
        <v>9387.6700000000037</v>
      </c>
      <c r="H270" s="14">
        <f>data!BL64</f>
        <v>20214.439999999995</v>
      </c>
      <c r="I270" s="14">
        <f>data!BM64</f>
        <v>21.99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3023.099999999999</v>
      </c>
      <c r="F271" s="14">
        <f>data!BJ65</f>
        <v>748.98</v>
      </c>
      <c r="G271" s="14">
        <f>data!BK65</f>
        <v>1831.7700000000002</v>
      </c>
      <c r="H271" s="14">
        <f>data!BL65</f>
        <v>2077.9700000000003</v>
      </c>
      <c r="I271" s="14">
        <f>data!BM65</f>
        <v>3095.31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120337.54999999996</v>
      </c>
      <c r="F272" s="14">
        <f>data!BJ66</f>
        <v>539363.94999999995</v>
      </c>
      <c r="G272" s="14">
        <f>data!BK66</f>
        <v>900323.30999999994</v>
      </c>
      <c r="H272" s="14">
        <f>data!BL66</f>
        <v>238103.29000000004</v>
      </c>
      <c r="I272" s="14">
        <f>data!BM66</f>
        <v>1524000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11268</v>
      </c>
      <c r="F273" s="14">
        <f>data!BJ67</f>
        <v>95890</v>
      </c>
      <c r="G273" s="14">
        <f>data!BK67</f>
        <v>246356</v>
      </c>
      <c r="H273" s="14">
        <f>data!BL67</f>
        <v>291030</v>
      </c>
      <c r="I273" s="14">
        <f>data!BM67</f>
        <v>41351</v>
      </c>
    </row>
    <row r="274" spans="1:9" ht="20.149999999999999" customHeight="1" x14ac:dyDescent="0.35">
      <c r="A274" s="23">
        <v>13</v>
      </c>
      <c r="B274" s="14" t="s">
        <v>474</v>
      </c>
      <c r="C274" s="14" t="str">
        <f>data!BG68</f>
        <v/>
      </c>
      <c r="D274" s="14" t="str">
        <f>data!BH68</f>
        <v/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 t="str">
        <f>data!BG69</f>
        <v/>
      </c>
      <c r="D275" s="14" t="str">
        <f>data!BH69</f>
        <v/>
      </c>
      <c r="E275" s="14">
        <f>data!BI69</f>
        <v>15583.009999999989</v>
      </c>
      <c r="F275" s="14">
        <f>data!BJ69</f>
        <v>176077.86999999994</v>
      </c>
      <c r="G275" s="14">
        <f>data!BK69</f>
        <v>38643.040000000008</v>
      </c>
      <c r="H275" s="14">
        <f>data!BL69</f>
        <v>102345.26000000001</v>
      </c>
      <c r="I275" s="14">
        <f>data!BM69</f>
        <v>173598.94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-137182.27999999997</v>
      </c>
      <c r="F276" s="14">
        <f>-data!BJ70</f>
        <v>0</v>
      </c>
      <c r="G276" s="14">
        <f>-data!BK70</f>
        <v>-314948.70000000007</v>
      </c>
      <c r="H276" s="14">
        <f>-data!BL70</f>
        <v>-762171.12</v>
      </c>
      <c r="I276" s="14">
        <f>-data!BM70</f>
        <v>-47092.56</v>
      </c>
    </row>
    <row r="277" spans="1:9" ht="20.149999999999999" customHeight="1" x14ac:dyDescent="0.35">
      <c r="A277" s="23">
        <v>16</v>
      </c>
      <c r="B277" s="48" t="s">
        <v>1178</v>
      </c>
      <c r="C277" s="14">
        <f>data!BG71</f>
        <v>0</v>
      </c>
      <c r="D277" s="14">
        <f>data!BH71</f>
        <v>0</v>
      </c>
      <c r="E277" s="14">
        <f>data!BI71</f>
        <v>145465.38</v>
      </c>
      <c r="F277" s="14">
        <f>data!BJ71</f>
        <v>3684245.4299999997</v>
      </c>
      <c r="G277" s="14">
        <f>data!BK71</f>
        <v>9703541.5500000007</v>
      </c>
      <c r="H277" s="14">
        <f>data!BL71</f>
        <v>2758429.37</v>
      </c>
      <c r="I277" s="14">
        <f>data!BM71</f>
        <v>4049102.6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1179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1180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1181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1182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1183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1184</v>
      </c>
      <c r="C284" s="85">
        <f>data!BG76</f>
        <v>0</v>
      </c>
      <c r="D284" s="85">
        <f>data!BH76</f>
        <v>0</v>
      </c>
      <c r="E284" s="85">
        <f>data!BI76</f>
        <v>264.07023406000002</v>
      </c>
      <c r="F284" s="85">
        <f>data!BJ76</f>
        <v>2247.243122308133</v>
      </c>
      <c r="G284" s="85">
        <f>data!BK76</f>
        <v>5773.4935310522997</v>
      </c>
      <c r="H284" s="85">
        <f>data!BL76</f>
        <v>6820.4685310704081</v>
      </c>
      <c r="I284" s="85">
        <f>data!BM76</f>
        <v>969.07413184299605</v>
      </c>
    </row>
    <row r="285" spans="1:9" ht="20.149999999999999" customHeight="1" x14ac:dyDescent="0.35">
      <c r="A285" s="23">
        <v>23</v>
      </c>
      <c r="B285" s="14" t="s">
        <v>1185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1186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1187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1171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1221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Seattle Cancer Care Alliance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1173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1222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1177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104.31914272030652</v>
      </c>
      <c r="D298" s="26">
        <f>data!BO60</f>
        <v>10.48088601532567</v>
      </c>
      <c r="E298" s="26">
        <f>data!BP60</f>
        <v>15.613304597701148</v>
      </c>
      <c r="F298" s="26">
        <f>data!BQ60</f>
        <v>0</v>
      </c>
      <c r="G298" s="26">
        <f>data!BR60</f>
        <v>0</v>
      </c>
      <c r="H298" s="26">
        <f>data!BS60</f>
        <v>3.5906321839080459</v>
      </c>
      <c r="I298" s="26">
        <f>data!BT60</f>
        <v>4.5367959770114936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16688710.059999991</v>
      </c>
      <c r="D299" s="14">
        <f>data!BO61</f>
        <v>967092.24000000011</v>
      </c>
      <c r="E299" s="14">
        <f>data!BP61</f>
        <v>1514779.5800000003</v>
      </c>
      <c r="F299" s="14">
        <f>data!BQ61</f>
        <v>0</v>
      </c>
      <c r="G299" s="14">
        <f>data!BR61</f>
        <v>0</v>
      </c>
      <c r="H299" s="14">
        <f>data!BS61</f>
        <v>300686.14</v>
      </c>
      <c r="I299" s="14">
        <f>data!BT61</f>
        <v>386010.60000000015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4766544</v>
      </c>
      <c r="D300" s="14">
        <f>data!BO62</f>
        <v>258001</v>
      </c>
      <c r="E300" s="14">
        <f>data!BP62</f>
        <v>406047</v>
      </c>
      <c r="F300" s="14">
        <f>data!BQ62</f>
        <v>0</v>
      </c>
      <c r="G300" s="14">
        <f>data!BR62</f>
        <v>0</v>
      </c>
      <c r="H300" s="14">
        <f>data!BS62</f>
        <v>80475</v>
      </c>
      <c r="I300" s="14">
        <f>data!BT62</f>
        <v>103887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3192827.9699999997</v>
      </c>
      <c r="D301" s="14">
        <f>data!BO63</f>
        <v>293.75</v>
      </c>
      <c r="E301" s="14">
        <f>data!BP63</f>
        <v>526578.86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74065.859999999986</v>
      </c>
      <c r="D302" s="14">
        <f>data!BO64</f>
        <v>244541.64999999997</v>
      </c>
      <c r="E302" s="14">
        <f>data!BP64</f>
        <v>2138.9</v>
      </c>
      <c r="F302" s="14">
        <f>data!BQ64</f>
        <v>0</v>
      </c>
      <c r="G302" s="14">
        <f>data!BR64</f>
        <v>0</v>
      </c>
      <c r="H302" s="14">
        <f>data!BS64</f>
        <v>763.34999999999991</v>
      </c>
      <c r="I302" s="14">
        <f>data!BT64</f>
        <v>2749.85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43867.549999999996</v>
      </c>
      <c r="D303" s="14">
        <f>data!BO65</f>
        <v>714163.33</v>
      </c>
      <c r="E303" s="14">
        <f>data!BP65</f>
        <v>2988.5299999999997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1807004.2500000007</v>
      </c>
      <c r="D304" s="14">
        <f>data!BO66</f>
        <v>63429.42</v>
      </c>
      <c r="E304" s="14">
        <f>data!BP66</f>
        <v>189159.48000000004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55856.340000000011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529773</v>
      </c>
      <c r="D305" s="14">
        <f>data!BO67</f>
        <v>50085</v>
      </c>
      <c r="E305" s="14">
        <f>data!BP67</f>
        <v>77570</v>
      </c>
      <c r="F305" s="14">
        <f>data!BQ67</f>
        <v>0</v>
      </c>
      <c r="G305" s="14">
        <f>data!BR67</f>
        <v>0</v>
      </c>
      <c r="H305" s="14">
        <f>data!BS67</f>
        <v>14387</v>
      </c>
      <c r="I305" s="14">
        <f>data!BT67</f>
        <v>24448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 t="str">
        <f>data!BQ68</f>
        <v/>
      </c>
      <c r="G306" s="14" t="str">
        <f>data!BR68</f>
        <v/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3998079.5500000054</v>
      </c>
      <c r="D307" s="14">
        <f>data!BO69</f>
        <v>94618.139999999985</v>
      </c>
      <c r="E307" s="14">
        <f>data!BP69</f>
        <v>4946247.8400000017</v>
      </c>
      <c r="F307" s="14" t="str">
        <f>data!BQ69</f>
        <v/>
      </c>
      <c r="G307" s="14" t="str">
        <f>data!BR69</f>
        <v/>
      </c>
      <c r="H307" s="14">
        <f>data!BS69</f>
        <v>10333.459999999999</v>
      </c>
      <c r="I307" s="14">
        <f>data!BT69</f>
        <v>2536.5500000000011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-1397296.6000000003</v>
      </c>
      <c r="D308" s="14">
        <f>-data!BO70</f>
        <v>0</v>
      </c>
      <c r="E308" s="14">
        <f>-data!BP70</f>
        <v>-967901.76</v>
      </c>
      <c r="F308" s="14">
        <f>-data!BQ70</f>
        <v>0</v>
      </c>
      <c r="G308" s="14">
        <f>-data!BR70</f>
        <v>0</v>
      </c>
      <c r="H308" s="14">
        <f>-data!BS70</f>
        <v>-453.17</v>
      </c>
      <c r="I308" s="14">
        <f>-data!BT70</f>
        <v>-913.94</v>
      </c>
    </row>
    <row r="309" spans="1:9" ht="20.149999999999999" customHeight="1" x14ac:dyDescent="0.35">
      <c r="A309" s="23">
        <v>16</v>
      </c>
      <c r="B309" s="48" t="s">
        <v>1178</v>
      </c>
      <c r="C309" s="14">
        <f>data!BN71</f>
        <v>29703575.639999993</v>
      </c>
      <c r="D309" s="14">
        <f>data!BO71</f>
        <v>2392224.5300000003</v>
      </c>
      <c r="E309" s="14">
        <f>data!BP71</f>
        <v>6697608.4300000016</v>
      </c>
      <c r="F309" s="14">
        <f>data!BQ71</f>
        <v>0</v>
      </c>
      <c r="G309" s="14">
        <f>data!BR71</f>
        <v>0</v>
      </c>
      <c r="H309" s="14">
        <f>data!BS71</f>
        <v>406191.78</v>
      </c>
      <c r="I309" s="14">
        <f>data!BT71</f>
        <v>574574.40000000026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1179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1180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1181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1182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1183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1184</v>
      </c>
      <c r="C316" s="85">
        <f>data!BN76</f>
        <v>12415.543170295727</v>
      </c>
      <c r="D316" s="85">
        <f>data!BO76</f>
        <v>1173.7688015675001</v>
      </c>
      <c r="E316" s="85">
        <f>data!BP76</f>
        <v>1817.9056142750001</v>
      </c>
      <c r="F316" s="85">
        <f>data!BQ76</f>
        <v>0</v>
      </c>
      <c r="G316" s="85">
        <f>data!BR76</f>
        <v>0</v>
      </c>
      <c r="H316" s="85">
        <f>data!BS76</f>
        <v>337.17183087997176</v>
      </c>
      <c r="I316" s="85">
        <f>data!BT76</f>
        <v>572.95325583264059</v>
      </c>
    </row>
    <row r="317" spans="1:9" ht="20.149999999999999" customHeight="1" x14ac:dyDescent="0.35">
      <c r="A317" s="23">
        <v>23</v>
      </c>
      <c r="B317" s="14" t="s">
        <v>1185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1186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1187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1171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1223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Seattle Cancer Care Alliance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1173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1222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1177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2.1487116858237547</v>
      </c>
      <c r="D330" s="26">
        <f>data!BV60</f>
        <v>68.514952107279697</v>
      </c>
      <c r="E330" s="26">
        <f>data!BW60</f>
        <v>0</v>
      </c>
      <c r="F330" s="26">
        <f>data!BX60</f>
        <v>0</v>
      </c>
      <c r="G330" s="26">
        <f>data!BY60</f>
        <v>42.707586206896558</v>
      </c>
      <c r="H330" s="26">
        <f>data!BZ60</f>
        <v>0</v>
      </c>
      <c r="I330" s="26">
        <f>data!CA60</f>
        <v>21.398136973180076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192593.59000000003</v>
      </c>
      <c r="D331" s="86">
        <f>data!BV61</f>
        <v>4933856.149999992</v>
      </c>
      <c r="E331" s="86">
        <f>data!BW61</f>
        <v>0</v>
      </c>
      <c r="F331" s="86">
        <f>data!BX61</f>
        <v>0</v>
      </c>
      <c r="G331" s="86">
        <f>data!BY61</f>
        <v>4946638.1900000004</v>
      </c>
      <c r="H331" s="86">
        <f>data!BZ61</f>
        <v>0</v>
      </c>
      <c r="I331" s="86">
        <f>data!CA61</f>
        <v>1782255.37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52230</v>
      </c>
      <c r="D332" s="86">
        <f>data!BV62</f>
        <v>1329166</v>
      </c>
      <c r="E332" s="86">
        <f>data!BW62</f>
        <v>0</v>
      </c>
      <c r="F332" s="86">
        <f>data!BX62</f>
        <v>0</v>
      </c>
      <c r="G332" s="86">
        <f>data!BY62</f>
        <v>1318729</v>
      </c>
      <c r="H332" s="86">
        <f>data!BZ62</f>
        <v>0</v>
      </c>
      <c r="I332" s="86">
        <f>data!CA62</f>
        <v>479017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1162.5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1552.5700000000002</v>
      </c>
      <c r="D334" s="86">
        <f>data!BV64</f>
        <v>30674.590000000007</v>
      </c>
      <c r="E334" s="86" t="str">
        <f>data!BW64</f>
        <v/>
      </c>
      <c r="F334" s="86" t="str">
        <f>data!BX64</f>
        <v/>
      </c>
      <c r="G334" s="86">
        <f>data!BY64</f>
        <v>154331.75999999995</v>
      </c>
      <c r="H334" s="86" t="str">
        <f>data!BZ64</f>
        <v/>
      </c>
      <c r="I334" s="86">
        <f>data!CA64</f>
        <v>2066.63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393.51</v>
      </c>
      <c r="D335" s="86">
        <f>data!BV65</f>
        <v>7769</v>
      </c>
      <c r="E335" s="86" t="str">
        <f>data!BW65</f>
        <v/>
      </c>
      <c r="F335" s="86" t="str">
        <f>data!BX65</f>
        <v/>
      </c>
      <c r="G335" s="86">
        <f>data!BY65</f>
        <v>22826.739999999998</v>
      </c>
      <c r="H335" s="86" t="str">
        <f>data!BZ65</f>
        <v/>
      </c>
      <c r="I335" s="86">
        <f>data!CA65</f>
        <v>6874.5300000000016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1001373.4700000002</v>
      </c>
      <c r="E336" s="86" t="str">
        <f>data!BW66</f>
        <v/>
      </c>
      <c r="F336" s="86" t="str">
        <f>data!BX66</f>
        <v/>
      </c>
      <c r="G336" s="86">
        <f>data!BY66</f>
        <v>1490684.8800000013</v>
      </c>
      <c r="H336" s="86" t="str">
        <f>data!BZ66</f>
        <v/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49226</v>
      </c>
      <c r="D337" s="86">
        <f>data!BV67</f>
        <v>106796</v>
      </c>
      <c r="E337" s="86">
        <f>data!BW67</f>
        <v>0</v>
      </c>
      <c r="F337" s="86">
        <f>data!BX67</f>
        <v>0</v>
      </c>
      <c r="G337" s="86">
        <f>data!BY67</f>
        <v>196271</v>
      </c>
      <c r="H337" s="86">
        <f>data!BZ67</f>
        <v>0</v>
      </c>
      <c r="I337" s="86">
        <f>data!CA67</f>
        <v>27590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 t="str">
        <f>data!BW68</f>
        <v/>
      </c>
      <c r="F338" s="86" t="str">
        <f>data!BX68</f>
        <v/>
      </c>
      <c r="G338" s="86">
        <f>data!BY68</f>
        <v>2566336.0499999993</v>
      </c>
      <c r="H338" s="86" t="str">
        <f>data!BZ68</f>
        <v/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1083.5899999999999</v>
      </c>
      <c r="D339" s="86">
        <f>data!BV69</f>
        <v>137209.66999999998</v>
      </c>
      <c r="E339" s="86" t="str">
        <f>data!BW69</f>
        <v/>
      </c>
      <c r="F339" s="86" t="str">
        <f>data!BX69</f>
        <v/>
      </c>
      <c r="G339" s="86">
        <f>data!BY69</f>
        <v>401737.18000000005</v>
      </c>
      <c r="H339" s="86" t="str">
        <f>data!BZ69</f>
        <v/>
      </c>
      <c r="I339" s="86">
        <f>data!CA69</f>
        <v>162972.95000000001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-248195.24000000002</v>
      </c>
      <c r="E340" s="14">
        <f>-data!BW70</f>
        <v>0</v>
      </c>
      <c r="F340" s="14">
        <f>-data!BX70</f>
        <v>0</v>
      </c>
      <c r="G340" s="14">
        <f>-data!BY70</f>
        <v>-386999.96000000014</v>
      </c>
      <c r="H340" s="14">
        <f>-data!BZ70</f>
        <v>0</v>
      </c>
      <c r="I340" s="14">
        <f>-data!CA70</f>
        <v>-65275.92000000002</v>
      </c>
    </row>
    <row r="341" spans="1:9" ht="20.149999999999999" customHeight="1" x14ac:dyDescent="0.35">
      <c r="A341" s="23">
        <v>16</v>
      </c>
      <c r="B341" s="48" t="s">
        <v>1178</v>
      </c>
      <c r="C341" s="14">
        <f>data!BU71</f>
        <v>297079.26000000007</v>
      </c>
      <c r="D341" s="14">
        <f>data!BV71</f>
        <v>7298649.6399999913</v>
      </c>
      <c r="E341" s="14">
        <f>data!BW71</f>
        <v>0</v>
      </c>
      <c r="F341" s="14">
        <f>data!BX71</f>
        <v>0</v>
      </c>
      <c r="G341" s="14">
        <f>data!BY71</f>
        <v>10711717.34</v>
      </c>
      <c r="H341" s="14">
        <f>data!BZ71</f>
        <v>0</v>
      </c>
      <c r="I341" s="14">
        <f>data!CA71</f>
        <v>2395500.56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1179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1180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1181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1182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1183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1184</v>
      </c>
      <c r="C348" s="85">
        <f>data!BU76</f>
        <v>1153.6454489231251</v>
      </c>
      <c r="D348" s="85">
        <f>data!BV76</f>
        <v>2502.8206104839292</v>
      </c>
      <c r="E348" s="85">
        <f>data!BW76</f>
        <v>0</v>
      </c>
      <c r="F348" s="85">
        <f>data!BX76</f>
        <v>0</v>
      </c>
      <c r="G348" s="85">
        <f>data!BY76</f>
        <v>4599.7303867759492</v>
      </c>
      <c r="H348" s="85">
        <f>data!BZ76</f>
        <v>0</v>
      </c>
      <c r="I348" s="85">
        <f>data!CA76</f>
        <v>646.59510102937497</v>
      </c>
    </row>
    <row r="349" spans="1:9" ht="20.149999999999999" customHeight="1" x14ac:dyDescent="0.35">
      <c r="A349" s="23">
        <v>23</v>
      </c>
      <c r="B349" s="14" t="s">
        <v>1185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1186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1187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1171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1224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Seattle Cancer Care Alliance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1173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1225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1177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177.98999999999998</v>
      </c>
      <c r="E362" s="217"/>
      <c r="F362" s="211"/>
      <c r="G362" s="211"/>
      <c r="H362" s="211"/>
      <c r="I362" s="87">
        <f>data!CE60</f>
        <v>1744.1499746168586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16926955.359999999</v>
      </c>
      <c r="E363" s="218"/>
      <c r="F363" s="219"/>
      <c r="G363" s="219"/>
      <c r="H363" s="219"/>
      <c r="I363" s="86">
        <f>data!CE61</f>
        <v>158276304.88999999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4527640</v>
      </c>
      <c r="E364" s="218"/>
      <c r="F364" s="219"/>
      <c r="G364" s="219"/>
      <c r="H364" s="219"/>
      <c r="I364" s="86">
        <f>data!CE62</f>
        <v>42652887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1030883.87</v>
      </c>
      <c r="E365" s="218"/>
      <c r="F365" s="219"/>
      <c r="G365" s="219"/>
      <c r="H365" s="219"/>
      <c r="I365" s="86">
        <f>data!CE63</f>
        <v>10276938.659999998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140241.81</v>
      </c>
      <c r="E366" s="218"/>
      <c r="F366" s="219"/>
      <c r="G366" s="219"/>
      <c r="H366" s="219"/>
      <c r="I366" s="86">
        <f>data!CE64</f>
        <v>340568588.33000004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1275075.1000000001</v>
      </c>
      <c r="E367" s="218"/>
      <c r="F367" s="219"/>
      <c r="G367" s="219"/>
      <c r="H367" s="219"/>
      <c r="I367" s="86">
        <f>data!CE65</f>
        <v>3873947.15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29087837.350000001</v>
      </c>
      <c r="E368" s="218"/>
      <c r="F368" s="219"/>
      <c r="G368" s="219"/>
      <c r="H368" s="219"/>
      <c r="I368" s="86">
        <f>data!CE66</f>
        <v>198295399.10999995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7597827</v>
      </c>
      <c r="E369" s="218"/>
      <c r="F369" s="219"/>
      <c r="G369" s="219"/>
      <c r="H369" s="219"/>
      <c r="I369" s="86">
        <f>data!CE67</f>
        <v>25138360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10485665.92</v>
      </c>
      <c r="E370" s="218"/>
      <c r="F370" s="219"/>
      <c r="G370" s="219"/>
      <c r="H370" s="219"/>
      <c r="I370" s="86">
        <f>data!CE68</f>
        <v>18324151.800000001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8778157.6500000004</v>
      </c>
      <c r="E371" s="86">
        <f>data!CD69</f>
        <v>7044743.120000002</v>
      </c>
      <c r="F371" s="219"/>
      <c r="G371" s="219"/>
      <c r="H371" s="219"/>
      <c r="I371" s="86">
        <f>data!CE69</f>
        <v>43441078.770000018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-2373946.9799999995</v>
      </c>
      <c r="E372" s="228">
        <f>data!CD70</f>
        <v>-9698590.9299999997</v>
      </c>
      <c r="F372" s="220"/>
      <c r="G372" s="220"/>
      <c r="H372" s="220"/>
      <c r="I372" s="14">
        <f>-data!CE70</f>
        <v>-104440414.61000004</v>
      </c>
    </row>
    <row r="373" spans="1:9" ht="20.149999999999999" customHeight="1" x14ac:dyDescent="0.35">
      <c r="A373" s="23">
        <v>16</v>
      </c>
      <c r="B373" s="48" t="s">
        <v>1178</v>
      </c>
      <c r="C373" s="86">
        <f>data!CB71</f>
        <v>0</v>
      </c>
      <c r="D373" s="86">
        <f>data!CC71</f>
        <v>77476337.079999998</v>
      </c>
      <c r="E373" s="86">
        <f>data!CD71</f>
        <v>16743334.050000001</v>
      </c>
      <c r="F373" s="219"/>
      <c r="G373" s="219"/>
      <c r="H373" s="219"/>
      <c r="I373" s="14">
        <f>data!CE71</f>
        <v>736407241.09999979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1179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1180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88231295.059999987</v>
      </c>
    </row>
    <row r="377" spans="1:9" ht="20.149999999999999" customHeight="1" x14ac:dyDescent="0.35">
      <c r="A377" s="23">
        <v>20</v>
      </c>
      <c r="B377" s="48" t="s">
        <v>1181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1543204579.3800001</v>
      </c>
    </row>
    <row r="378" spans="1:9" ht="20.149999999999999" customHeight="1" x14ac:dyDescent="0.35">
      <c r="A378" s="23">
        <v>21</v>
      </c>
      <c r="B378" s="48" t="s">
        <v>1182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1631435874.4400001</v>
      </c>
    </row>
    <row r="379" spans="1:9" ht="20.149999999999999" customHeight="1" x14ac:dyDescent="0.35">
      <c r="A379" s="23" t="s">
        <v>1183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1184</v>
      </c>
      <c r="C380" s="85">
        <f>data!CB76</f>
        <v>0</v>
      </c>
      <c r="D380" s="85">
        <f>data!CC76</f>
        <v>162613.63550100298</v>
      </c>
      <c r="E380" s="214"/>
      <c r="F380" s="211"/>
      <c r="G380" s="211"/>
      <c r="H380" s="211"/>
      <c r="I380" s="14">
        <f>data!CE76</f>
        <v>589132.54733370664</v>
      </c>
    </row>
    <row r="381" spans="1:9" ht="20.149999999999999" customHeight="1" x14ac:dyDescent="0.35">
      <c r="A381" s="23">
        <v>23</v>
      </c>
      <c r="B381" s="14" t="s">
        <v>1185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</v>
      </c>
    </row>
    <row r="382" spans="1:9" ht="20.149999999999999" customHeight="1" x14ac:dyDescent="0.35">
      <c r="A382" s="23">
        <v>24</v>
      </c>
      <c r="B382" s="14" t="s">
        <v>1186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</v>
      </c>
    </row>
    <row r="383" spans="1:9" ht="20.149999999999999" customHeight="1" x14ac:dyDescent="0.35">
      <c r="A383" s="23">
        <v>25</v>
      </c>
      <c r="B383" s="14" t="s">
        <v>1187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336.77000000000004</v>
      </c>
    </row>
  </sheetData>
  <phoneticPr fontId="0" type="noConversion"/>
  <printOptions horizontalCentered="1" verticalCentered="1"/>
  <pageMargins left="0" right="0" top="0" bottom="0" header="0" footer="0"/>
  <pageSetup scale="80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2021-10-19T19:03:27Z</cp:lastPrinted>
  <dcterms:created xsi:type="dcterms:W3CDTF">1999-06-02T22:01:56Z</dcterms:created>
  <dcterms:modified xsi:type="dcterms:W3CDTF">2021-10-27T15:46:08Z</dcterms:modified>
</cp:coreProperties>
</file>