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13_ncr:1_{2274F08D-DEFE-4AB9-893D-F4A9B3052244}" xr6:coauthVersionLast="45" xr6:coauthVersionMax="45" xr10:uidLastSave="{00000000-0000-0000-0000-000000000000}"/>
  <bookViews>
    <workbookView xWindow="19090" yWindow="-110" windowWidth="19420" windowHeight="10420" xr2:uid="{4F1B9C34-C5A0-45BA-A505-A78D4C2F2702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3" i="1" l="1"/>
  <c r="C213" i="1"/>
  <c r="AV80" i="1" l="1"/>
  <c r="C111" i="8" l="1"/>
  <c r="C110" i="8"/>
  <c r="E59" i="1" l="1"/>
  <c r="C272" i="1" l="1"/>
  <c r="C389" i="1" l="1"/>
  <c r="C325" i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E546" i="10"/>
  <c r="D546" i="10"/>
  <c r="B546" i="10"/>
  <c r="F546" i="10" s="1"/>
  <c r="E545" i="10"/>
  <c r="D545" i="10"/>
  <c r="B545" i="10"/>
  <c r="F545" i="10" s="1"/>
  <c r="E544" i="10"/>
  <c r="D544" i="10"/>
  <c r="B544" i="10"/>
  <c r="B543" i="10"/>
  <c r="B542" i="10"/>
  <c r="B541" i="10"/>
  <c r="E540" i="10"/>
  <c r="D540" i="10"/>
  <c r="B540" i="10"/>
  <c r="F540" i="10" s="1"/>
  <c r="E539" i="10"/>
  <c r="D539" i="10"/>
  <c r="B539" i="10"/>
  <c r="F539" i="10" s="1"/>
  <c r="E538" i="10"/>
  <c r="D538" i="10"/>
  <c r="B538" i="10"/>
  <c r="E537" i="10"/>
  <c r="D537" i="10"/>
  <c r="B537" i="10"/>
  <c r="E536" i="10"/>
  <c r="D536" i="10"/>
  <c r="B536" i="10"/>
  <c r="F536" i="10" s="1"/>
  <c r="E535" i="10"/>
  <c r="D535" i="10"/>
  <c r="B535" i="10"/>
  <c r="F535" i="10" s="1"/>
  <c r="E534" i="10"/>
  <c r="D534" i="10"/>
  <c r="B534" i="10"/>
  <c r="E533" i="10"/>
  <c r="D533" i="10"/>
  <c r="B533" i="10"/>
  <c r="F533" i="10" s="1"/>
  <c r="E532" i="10"/>
  <c r="D532" i="10"/>
  <c r="B532" i="10"/>
  <c r="F532" i="10" s="1"/>
  <c r="E531" i="10"/>
  <c r="D531" i="10"/>
  <c r="B531" i="10"/>
  <c r="F531" i="10" s="1"/>
  <c r="E530" i="10"/>
  <c r="D530" i="10"/>
  <c r="B530" i="10"/>
  <c r="H530" i="10" s="1"/>
  <c r="E529" i="10"/>
  <c r="D529" i="10"/>
  <c r="B529" i="10"/>
  <c r="E528" i="10"/>
  <c r="D528" i="10"/>
  <c r="B528" i="10"/>
  <c r="E527" i="10"/>
  <c r="D527" i="10"/>
  <c r="B527" i="10"/>
  <c r="E526" i="10"/>
  <c r="D526" i="10"/>
  <c r="B526" i="10"/>
  <c r="E525" i="10"/>
  <c r="D525" i="10"/>
  <c r="B525" i="10"/>
  <c r="F525" i="10" s="1"/>
  <c r="E524" i="10"/>
  <c r="D524" i="10"/>
  <c r="B524" i="10"/>
  <c r="E523" i="10"/>
  <c r="D523" i="10"/>
  <c r="B523" i="10"/>
  <c r="F523" i="10" s="1"/>
  <c r="E522" i="10"/>
  <c r="D522" i="10"/>
  <c r="B522" i="10"/>
  <c r="B521" i="10"/>
  <c r="E520" i="10"/>
  <c r="D520" i="10"/>
  <c r="B520" i="10"/>
  <c r="E519" i="10"/>
  <c r="D519" i="10"/>
  <c r="B519" i="10"/>
  <c r="E518" i="10"/>
  <c r="D518" i="10"/>
  <c r="B518" i="10"/>
  <c r="E517" i="10"/>
  <c r="D517" i="10"/>
  <c r="B517" i="10"/>
  <c r="E516" i="10"/>
  <c r="D516" i="10"/>
  <c r="B516" i="10"/>
  <c r="F516" i="10" s="1"/>
  <c r="E515" i="10"/>
  <c r="D515" i="10"/>
  <c r="B515" i="10"/>
  <c r="F515" i="10" s="1"/>
  <c r="E514" i="10"/>
  <c r="D514" i="10"/>
  <c r="B514" i="10"/>
  <c r="B513" i="10"/>
  <c r="F513" i="10" s="1"/>
  <c r="B512" i="10"/>
  <c r="F512" i="10" s="1"/>
  <c r="E511" i="10"/>
  <c r="D511" i="10"/>
  <c r="B511" i="10"/>
  <c r="F511" i="10" s="1"/>
  <c r="E510" i="10"/>
  <c r="D510" i="10"/>
  <c r="B510" i="10"/>
  <c r="E509" i="10"/>
  <c r="D509" i="10"/>
  <c r="B509" i="10"/>
  <c r="E508" i="10"/>
  <c r="D508" i="10"/>
  <c r="F508" i="10" s="1"/>
  <c r="B508" i="10"/>
  <c r="E507" i="10"/>
  <c r="D507" i="10"/>
  <c r="B507" i="10"/>
  <c r="F507" i="10" s="1"/>
  <c r="H506" i="10"/>
  <c r="E506" i="10"/>
  <c r="D506" i="10"/>
  <c r="B506" i="10"/>
  <c r="F506" i="10" s="1"/>
  <c r="E505" i="10"/>
  <c r="D505" i="10"/>
  <c r="B505" i="10"/>
  <c r="H505" i="10" s="1"/>
  <c r="E504" i="10"/>
  <c r="D504" i="10"/>
  <c r="B504" i="10"/>
  <c r="H504" i="10" s="1"/>
  <c r="E503" i="10"/>
  <c r="D503" i="10"/>
  <c r="B503" i="10"/>
  <c r="E502" i="10"/>
  <c r="D502" i="10"/>
  <c r="B502" i="10"/>
  <c r="F502" i="10" s="1"/>
  <c r="E501" i="10"/>
  <c r="D501" i="10"/>
  <c r="B501" i="10"/>
  <c r="H501" i="10" s="1"/>
  <c r="E500" i="10"/>
  <c r="D500" i="10"/>
  <c r="B500" i="10"/>
  <c r="H500" i="10" s="1"/>
  <c r="E499" i="10"/>
  <c r="D499" i="10"/>
  <c r="B499" i="10"/>
  <c r="F499" i="10" s="1"/>
  <c r="E498" i="10"/>
  <c r="D498" i="10"/>
  <c r="B498" i="10"/>
  <c r="E497" i="10"/>
  <c r="D497" i="10"/>
  <c r="B497" i="10"/>
  <c r="H497" i="10" s="1"/>
  <c r="E496" i="10"/>
  <c r="D496" i="10"/>
  <c r="B496" i="10"/>
  <c r="G493" i="10"/>
  <c r="F493" i="10"/>
  <c r="E493" i="10"/>
  <c r="D493" i="10"/>
  <c r="C493" i="10"/>
  <c r="B493" i="10"/>
  <c r="A493" i="10"/>
  <c r="B478" i="10"/>
  <c r="B475" i="10"/>
  <c r="B474" i="10"/>
  <c r="B472" i="10"/>
  <c r="B471" i="10"/>
  <c r="B470" i="10"/>
  <c r="B469" i="10"/>
  <c r="B468" i="10"/>
  <c r="B463" i="10"/>
  <c r="C459" i="10"/>
  <c r="B459" i="10"/>
  <c r="B455" i="10"/>
  <c r="B454" i="10"/>
  <c r="B453" i="10"/>
  <c r="C447" i="10"/>
  <c r="C446" i="10"/>
  <c r="C445" i="10"/>
  <c r="C444" i="10"/>
  <c r="C438" i="10"/>
  <c r="B437" i="10"/>
  <c r="B435" i="10"/>
  <c r="B434" i="10"/>
  <c r="B433" i="10"/>
  <c r="B432" i="10"/>
  <c r="B431" i="10"/>
  <c r="B430" i="10"/>
  <c r="B429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D390" i="10" s="1"/>
  <c r="B441" i="10" s="1"/>
  <c r="C387" i="10"/>
  <c r="B438" i="10" s="1"/>
  <c r="C379" i="10"/>
  <c r="B428" i="10" s="1"/>
  <c r="C370" i="10"/>
  <c r="B458" i="10" s="1"/>
  <c r="D367" i="10"/>
  <c r="C448" i="10" s="1"/>
  <c r="C360" i="10"/>
  <c r="B464" i="10" s="1"/>
  <c r="D329" i="10"/>
  <c r="C325" i="10"/>
  <c r="D328" i="10" s="1"/>
  <c r="D319" i="10"/>
  <c r="D314" i="10"/>
  <c r="C286" i="10"/>
  <c r="D290" i="10" s="1"/>
  <c r="D283" i="10"/>
  <c r="C272" i="10"/>
  <c r="C269" i="10"/>
  <c r="C263" i="10"/>
  <c r="C262" i="10"/>
  <c r="C253" i="10"/>
  <c r="D260" i="10" s="1"/>
  <c r="D240" i="10"/>
  <c r="B447" i="10" s="1"/>
  <c r="D236" i="10"/>
  <c r="B446" i="10" s="1"/>
  <c r="D229" i="10"/>
  <c r="B445" i="10" s="1"/>
  <c r="D221" i="10"/>
  <c r="B444" i="10" s="1"/>
  <c r="E216" i="10"/>
  <c r="E215" i="10"/>
  <c r="C214" i="10"/>
  <c r="E214" i="10" s="1"/>
  <c r="D213" i="10"/>
  <c r="D217" i="10" s="1"/>
  <c r="C213" i="10"/>
  <c r="B213" i="10"/>
  <c r="E212" i="10"/>
  <c r="E211" i="10"/>
  <c r="C210" i="10"/>
  <c r="C217" i="10" s="1"/>
  <c r="D433" i="10" s="1"/>
  <c r="B210" i="10"/>
  <c r="E209" i="10"/>
  <c r="C203" i="10"/>
  <c r="E203" i="10" s="1"/>
  <c r="C475" i="10" s="1"/>
  <c r="E202" i="10"/>
  <c r="C474" i="10" s="1"/>
  <c r="E201" i="10"/>
  <c r="D200" i="10"/>
  <c r="E200" i="10" s="1"/>
  <c r="C473" i="10" s="1"/>
  <c r="C200" i="10"/>
  <c r="B200" i="10"/>
  <c r="E199" i="10"/>
  <c r="C472" i="10" s="1"/>
  <c r="E198" i="10"/>
  <c r="C471" i="10" s="1"/>
  <c r="D197" i="10"/>
  <c r="E197" i="10" s="1"/>
  <c r="C470" i="10" s="1"/>
  <c r="C197" i="10"/>
  <c r="C204" i="10" s="1"/>
  <c r="B197" i="10"/>
  <c r="B204" i="10" s="1"/>
  <c r="E196" i="10"/>
  <c r="C469" i="10" s="1"/>
  <c r="E195" i="10"/>
  <c r="C189" i="10"/>
  <c r="D190" i="10" s="1"/>
  <c r="D437" i="10" s="1"/>
  <c r="D186" i="10"/>
  <c r="D436" i="10" s="1"/>
  <c r="C184" i="10"/>
  <c r="D181" i="10"/>
  <c r="D435" i="10" s="1"/>
  <c r="D177" i="10"/>
  <c r="D434" i="10" s="1"/>
  <c r="D173" i="10"/>
  <c r="D428" i="10" s="1"/>
  <c r="C172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G612" i="10" s="1"/>
  <c r="CE76" i="10"/>
  <c r="D612" i="10" s="1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D75" i="10"/>
  <c r="C75" i="10"/>
  <c r="AV74" i="10"/>
  <c r="E74" i="10"/>
  <c r="CE74" i="10" s="1"/>
  <c r="C464" i="10" s="1"/>
  <c r="AV73" i="10"/>
  <c r="AV75" i="10" s="1"/>
  <c r="C73" i="10"/>
  <c r="CD71" i="10"/>
  <c r="C575" i="10" s="1"/>
  <c r="CE70" i="10"/>
  <c r="C458" i="10" s="1"/>
  <c r="E69" i="10"/>
  <c r="C439" i="10" s="1"/>
  <c r="CE68" i="10"/>
  <c r="C434" i="10" s="1"/>
  <c r="E66" i="10"/>
  <c r="CE66" i="10" s="1"/>
  <c r="C432" i="10" s="1"/>
  <c r="CE65" i="10"/>
  <c r="C431" i="10" s="1"/>
  <c r="AE64" i="10"/>
  <c r="E64" i="10"/>
  <c r="CE63" i="10"/>
  <c r="C429" i="10" s="1"/>
  <c r="AE61" i="10"/>
  <c r="E61" i="10"/>
  <c r="E60" i="10"/>
  <c r="CE60" i="10" s="1"/>
  <c r="H612" i="10" s="1"/>
  <c r="B53" i="10"/>
  <c r="CE51" i="10"/>
  <c r="E51" i="10"/>
  <c r="B49" i="10"/>
  <c r="CE47" i="10"/>
  <c r="H532" i="10" l="1"/>
  <c r="H499" i="10"/>
  <c r="F503" i="10"/>
  <c r="F528" i="10"/>
  <c r="H525" i="10"/>
  <c r="F496" i="10"/>
  <c r="F526" i="10"/>
  <c r="CE73" i="10"/>
  <c r="C463" i="10" s="1"/>
  <c r="D361" i="10"/>
  <c r="BJ52" i="10"/>
  <c r="BJ67" i="10" s="1"/>
  <c r="CF76" i="10"/>
  <c r="Z52" i="10"/>
  <c r="Z67" i="10" s="1"/>
  <c r="D464" i="10"/>
  <c r="F498" i="10"/>
  <c r="F504" i="10"/>
  <c r="H540" i="10"/>
  <c r="G52" i="10"/>
  <c r="G67" i="10" s="1"/>
  <c r="AB52" i="10"/>
  <c r="AB67" i="10" s="1"/>
  <c r="AM52" i="10"/>
  <c r="AM67" i="10" s="1"/>
  <c r="AY52" i="10"/>
  <c r="AY67" i="10" s="1"/>
  <c r="CE69" i="10"/>
  <c r="C440" i="10" s="1"/>
  <c r="AD52" i="10"/>
  <c r="AD67" i="10" s="1"/>
  <c r="AN52" i="10"/>
  <c r="AN67" i="10" s="1"/>
  <c r="BB52" i="10"/>
  <c r="BB67" i="10" s="1"/>
  <c r="BR52" i="10"/>
  <c r="BR67" i="10" s="1"/>
  <c r="E213" i="10"/>
  <c r="D372" i="10"/>
  <c r="H502" i="10"/>
  <c r="F518" i="10"/>
  <c r="F529" i="10"/>
  <c r="H533" i="10"/>
  <c r="F52" i="10"/>
  <c r="F67" i="10" s="1"/>
  <c r="AL52" i="10"/>
  <c r="AL67" i="10" s="1"/>
  <c r="J52" i="10"/>
  <c r="J67" i="10" s="1"/>
  <c r="T52" i="10"/>
  <c r="T67" i="10" s="1"/>
  <c r="AE52" i="10"/>
  <c r="AE67" i="10" s="1"/>
  <c r="AP52" i="10"/>
  <c r="AP67" i="10" s="1"/>
  <c r="BC52" i="10"/>
  <c r="BC67" i="10" s="1"/>
  <c r="BS52" i="10"/>
  <c r="BS67" i="10" s="1"/>
  <c r="F500" i="10"/>
  <c r="AT52" i="10"/>
  <c r="AT67" i="10" s="1"/>
  <c r="BZ52" i="10"/>
  <c r="BZ67" i="10" s="1"/>
  <c r="O52" i="10"/>
  <c r="O67" i="10" s="1"/>
  <c r="AA52" i="10"/>
  <c r="AA67" i="10" s="1"/>
  <c r="K52" i="10"/>
  <c r="K67" i="10" s="1"/>
  <c r="V52" i="10"/>
  <c r="V67" i="10" s="1"/>
  <c r="AF52" i="10"/>
  <c r="AF67" i="10" s="1"/>
  <c r="BF52" i="10"/>
  <c r="BF67" i="10" s="1"/>
  <c r="BV52" i="10"/>
  <c r="BV67" i="10" s="1"/>
  <c r="D265" i="10"/>
  <c r="D330" i="10"/>
  <c r="H507" i="10"/>
  <c r="F510" i="10"/>
  <c r="F522" i="10"/>
  <c r="F527" i="10"/>
  <c r="H536" i="10"/>
  <c r="F514" i="10"/>
  <c r="F537" i="10"/>
  <c r="F544" i="10"/>
  <c r="D368" i="10"/>
  <c r="D373" i="10" s="1"/>
  <c r="D391" i="10" s="1"/>
  <c r="D393" i="10" s="1"/>
  <c r="D396" i="10" s="1"/>
  <c r="B465" i="10"/>
  <c r="CE61" i="10"/>
  <c r="CC52" i="10"/>
  <c r="CC67" i="10" s="1"/>
  <c r="BY52" i="10"/>
  <c r="BY67" i="10" s="1"/>
  <c r="BU52" i="10"/>
  <c r="BU67" i="10" s="1"/>
  <c r="BQ52" i="10"/>
  <c r="BQ67" i="10" s="1"/>
  <c r="BM52" i="10"/>
  <c r="BM67" i="10" s="1"/>
  <c r="BI52" i="10"/>
  <c r="BI67" i="10" s="1"/>
  <c r="BE52" i="10"/>
  <c r="BE67" i="10" s="1"/>
  <c r="BA52" i="10"/>
  <c r="BA67" i="10" s="1"/>
  <c r="AW52" i="10"/>
  <c r="AW67" i="10" s="1"/>
  <c r="AS52" i="10"/>
  <c r="AS67" i="10" s="1"/>
  <c r="AO52" i="10"/>
  <c r="AO67" i="10" s="1"/>
  <c r="AK52" i="10"/>
  <c r="AK67" i="10" s="1"/>
  <c r="AG52" i="10"/>
  <c r="AG67" i="10" s="1"/>
  <c r="AC52" i="10"/>
  <c r="AC67" i="10" s="1"/>
  <c r="Y52" i="10"/>
  <c r="Y67" i="10" s="1"/>
  <c r="U52" i="10"/>
  <c r="U67" i="10" s="1"/>
  <c r="Q52" i="10"/>
  <c r="Q67" i="10" s="1"/>
  <c r="M52" i="10"/>
  <c r="M67" i="10" s="1"/>
  <c r="I52" i="10"/>
  <c r="I67" i="10" s="1"/>
  <c r="E52" i="10"/>
  <c r="E67" i="10" s="1"/>
  <c r="BP52" i="10"/>
  <c r="BP67" i="10" s="1"/>
  <c r="AZ52" i="10"/>
  <c r="AZ67" i="10" s="1"/>
  <c r="CB52" i="10"/>
  <c r="CB67" i="10" s="1"/>
  <c r="BX52" i="10"/>
  <c r="BX67" i="10" s="1"/>
  <c r="BT52" i="10"/>
  <c r="BT67" i="10" s="1"/>
  <c r="BL52" i="10"/>
  <c r="BL67" i="10" s="1"/>
  <c r="BH52" i="10"/>
  <c r="BH67" i="10" s="1"/>
  <c r="BD52" i="10"/>
  <c r="BD67" i="10" s="1"/>
  <c r="AV52" i="10"/>
  <c r="AV67" i="10" s="1"/>
  <c r="B439" i="10"/>
  <c r="B440" i="10" s="1"/>
  <c r="H538" i="10"/>
  <c r="F538" i="10"/>
  <c r="CE64" i="10"/>
  <c r="D438" i="10"/>
  <c r="E204" i="10"/>
  <c r="C476" i="10" s="1"/>
  <c r="E210" i="10"/>
  <c r="E217" i="10" s="1"/>
  <c r="C478" i="10" s="1"/>
  <c r="B217" i="10"/>
  <c r="F520" i="10"/>
  <c r="D463" i="10"/>
  <c r="D465" i="10" s="1"/>
  <c r="B473" i="10"/>
  <c r="D275" i="10"/>
  <c r="D339" i="10"/>
  <c r="C482" i="10" s="1"/>
  <c r="H534" i="10"/>
  <c r="F534" i="10"/>
  <c r="D204" i="10"/>
  <c r="D242" i="10"/>
  <c r="B448" i="10" s="1"/>
  <c r="B436" i="10"/>
  <c r="C468" i="10"/>
  <c r="F497" i="10"/>
  <c r="F501" i="10"/>
  <c r="F505" i="10"/>
  <c r="F509" i="10"/>
  <c r="F517" i="10"/>
  <c r="F519" i="10"/>
  <c r="E75" i="10"/>
  <c r="CE75" i="10" s="1"/>
  <c r="CF77" i="10"/>
  <c r="F530" i="10"/>
  <c r="F524" i="10"/>
  <c r="F521" i="10"/>
  <c r="H523" i="10"/>
  <c r="H531" i="10"/>
  <c r="H539" i="10"/>
  <c r="B575" i="1"/>
  <c r="F493" i="1"/>
  <c r="D493" i="1"/>
  <c r="B493" i="1"/>
  <c r="BG52" i="10" l="1"/>
  <c r="BG67" i="10" s="1"/>
  <c r="W52" i="10"/>
  <c r="W67" i="10" s="1"/>
  <c r="L52" i="10"/>
  <c r="L67" i="10" s="1"/>
  <c r="BW52" i="10"/>
  <c r="BW67" i="10" s="1"/>
  <c r="AH52" i="10"/>
  <c r="AH67" i="10" s="1"/>
  <c r="AR52" i="10"/>
  <c r="AR67" i="10" s="1"/>
  <c r="N52" i="10"/>
  <c r="N67" i="10" s="1"/>
  <c r="S52" i="10"/>
  <c r="S67" i="10" s="1"/>
  <c r="BN52" i="10"/>
  <c r="BN67" i="10" s="1"/>
  <c r="CA52" i="10"/>
  <c r="CA67" i="10" s="1"/>
  <c r="AX52" i="10"/>
  <c r="AX67" i="10" s="1"/>
  <c r="H52" i="10"/>
  <c r="H67" i="10" s="1"/>
  <c r="P52" i="10"/>
  <c r="P67" i="10" s="1"/>
  <c r="BK52" i="10"/>
  <c r="BK67" i="10" s="1"/>
  <c r="D52" i="10"/>
  <c r="D67" i="10" s="1"/>
  <c r="AU52" i="10"/>
  <c r="AU67" i="10" s="1"/>
  <c r="AQ52" i="10"/>
  <c r="AQ67" i="10" s="1"/>
  <c r="C52" i="10"/>
  <c r="C67" i="10" s="1"/>
  <c r="CE67" i="10" s="1"/>
  <c r="C433" i="10" s="1"/>
  <c r="R52" i="10"/>
  <c r="R67" i="10" s="1"/>
  <c r="BO52" i="10"/>
  <c r="BO67" i="10" s="1"/>
  <c r="AI52" i="10"/>
  <c r="AI67" i="10" s="1"/>
  <c r="AJ52" i="10"/>
  <c r="AJ67" i="10" s="1"/>
  <c r="X52" i="10"/>
  <c r="X67" i="10" s="1"/>
  <c r="K612" i="10"/>
  <c r="C465" i="10"/>
  <c r="D277" i="10"/>
  <c r="D292" i="10" s="1"/>
  <c r="D341" i="10" s="1"/>
  <c r="C481" i="10" s="1"/>
  <c r="B476" i="10"/>
  <c r="CB48" i="10"/>
  <c r="CB62" i="10" s="1"/>
  <c r="CB71" i="10" s="1"/>
  <c r="M810" i="10" s="1"/>
  <c r="BX48" i="10"/>
  <c r="BX62" i="10" s="1"/>
  <c r="BX71" i="10" s="1"/>
  <c r="BT48" i="10"/>
  <c r="BT62" i="10" s="1"/>
  <c r="BT71" i="10" s="1"/>
  <c r="M802" i="10" s="1"/>
  <c r="BP48" i="10"/>
  <c r="BP62" i="10" s="1"/>
  <c r="BP71" i="10" s="1"/>
  <c r="M798" i="10" s="1"/>
  <c r="BL48" i="10"/>
  <c r="BL62" i="10" s="1"/>
  <c r="BL71" i="10" s="1"/>
  <c r="BH48" i="10"/>
  <c r="BH62" i="10" s="1"/>
  <c r="BH71" i="10" s="1"/>
  <c r="M790" i="10" s="1"/>
  <c r="BD48" i="10"/>
  <c r="BD62" i="10" s="1"/>
  <c r="BD71" i="10" s="1"/>
  <c r="M786" i="10" s="1"/>
  <c r="AZ48" i="10"/>
  <c r="AZ62" i="10" s="1"/>
  <c r="AZ71" i="10" s="1"/>
  <c r="AV48" i="10"/>
  <c r="AV62" i="10" s="1"/>
  <c r="AV71" i="10" s="1"/>
  <c r="M778" i="10" s="1"/>
  <c r="AR48" i="10"/>
  <c r="AR62" i="10" s="1"/>
  <c r="AN48" i="10"/>
  <c r="AN62" i="10" s="1"/>
  <c r="AN71" i="10" s="1"/>
  <c r="AJ48" i="10"/>
  <c r="AJ62" i="10" s="1"/>
  <c r="AJ71" i="10" s="1"/>
  <c r="AF48" i="10"/>
  <c r="AF62" i="10" s="1"/>
  <c r="AF71" i="10" s="1"/>
  <c r="AB48" i="10"/>
  <c r="AB62" i="10" s="1"/>
  <c r="AB71" i="10" s="1"/>
  <c r="X48" i="10"/>
  <c r="X62" i="10" s="1"/>
  <c r="T48" i="10"/>
  <c r="T62" i="10" s="1"/>
  <c r="T71" i="10" s="1"/>
  <c r="P48" i="10"/>
  <c r="P62" i="10" s="1"/>
  <c r="P71" i="10" s="1"/>
  <c r="M746" i="10" s="1"/>
  <c r="L48" i="10"/>
  <c r="L62" i="10" s="1"/>
  <c r="L71" i="10" s="1"/>
  <c r="H48" i="10"/>
  <c r="H62" i="10" s="1"/>
  <c r="H71" i="10" s="1"/>
  <c r="M738" i="10" s="1"/>
  <c r="D48" i="10"/>
  <c r="D62" i="10" s="1"/>
  <c r="C427" i="10"/>
  <c r="CC48" i="10"/>
  <c r="CC62" i="10" s="1"/>
  <c r="CC71" i="10" s="1"/>
  <c r="M811" i="10" s="1"/>
  <c r="BW48" i="10"/>
  <c r="BW62" i="10" s="1"/>
  <c r="BW71" i="10" s="1"/>
  <c r="BR48" i="10"/>
  <c r="BR62" i="10" s="1"/>
  <c r="BR71" i="10" s="1"/>
  <c r="BM48" i="10"/>
  <c r="BM62" i="10" s="1"/>
  <c r="BM71" i="10" s="1"/>
  <c r="BG48" i="10"/>
  <c r="BG62" i="10" s="1"/>
  <c r="BG71" i="10" s="1"/>
  <c r="BB48" i="10"/>
  <c r="BB62" i="10" s="1"/>
  <c r="BB71" i="10" s="1"/>
  <c r="AW48" i="10"/>
  <c r="AW62" i="10" s="1"/>
  <c r="AW71" i="10" s="1"/>
  <c r="AQ48" i="10"/>
  <c r="AQ62" i="10" s="1"/>
  <c r="AQ71" i="10" s="1"/>
  <c r="AL48" i="10"/>
  <c r="AL62" i="10" s="1"/>
  <c r="AL71" i="10" s="1"/>
  <c r="AG48" i="10"/>
  <c r="AG62" i="10" s="1"/>
  <c r="AG71" i="10" s="1"/>
  <c r="AA48" i="10"/>
  <c r="AA62" i="10" s="1"/>
  <c r="AA71" i="10" s="1"/>
  <c r="V48" i="10"/>
  <c r="V62" i="10" s="1"/>
  <c r="V71" i="10" s="1"/>
  <c r="M752" i="10" s="1"/>
  <c r="Q48" i="10"/>
  <c r="Q62" i="10" s="1"/>
  <c r="Q71" i="10" s="1"/>
  <c r="K48" i="10"/>
  <c r="K62" i="10" s="1"/>
  <c r="K71" i="10" s="1"/>
  <c r="F48" i="10"/>
  <c r="F62" i="10" s="1"/>
  <c r="F71" i="10" s="1"/>
  <c r="BY48" i="10"/>
  <c r="BY62" i="10" s="1"/>
  <c r="BY71" i="10" s="1"/>
  <c r="M807" i="10" s="1"/>
  <c r="BN48" i="10"/>
  <c r="BN62" i="10" s="1"/>
  <c r="BN71" i="10" s="1"/>
  <c r="BI48" i="10"/>
  <c r="BI62" i="10" s="1"/>
  <c r="BI71" i="10" s="1"/>
  <c r="M791" i="10" s="1"/>
  <c r="AS48" i="10"/>
  <c r="AS62" i="10" s="1"/>
  <c r="AS71" i="10" s="1"/>
  <c r="AC48" i="10"/>
  <c r="AC62" i="10" s="1"/>
  <c r="AC71" i="10" s="1"/>
  <c r="M759" i="10" s="1"/>
  <c r="M48" i="10"/>
  <c r="M62" i="10" s="1"/>
  <c r="M71" i="10" s="1"/>
  <c r="CA48" i="10"/>
  <c r="CA62" i="10" s="1"/>
  <c r="CA71" i="10" s="1"/>
  <c r="BV48" i="10"/>
  <c r="BV62" i="10" s="1"/>
  <c r="BV71" i="10" s="1"/>
  <c r="M804" i="10" s="1"/>
  <c r="BQ48" i="10"/>
  <c r="BQ62" i="10" s="1"/>
  <c r="BQ71" i="10" s="1"/>
  <c r="BK48" i="10"/>
  <c r="BK62" i="10" s="1"/>
  <c r="BK71" i="10" s="1"/>
  <c r="M793" i="10" s="1"/>
  <c r="BF48" i="10"/>
  <c r="BF62" i="10" s="1"/>
  <c r="BF71" i="10" s="1"/>
  <c r="BA48" i="10"/>
  <c r="BA62" i="10" s="1"/>
  <c r="BA71" i="10" s="1"/>
  <c r="AU48" i="10"/>
  <c r="AU62" i="10" s="1"/>
  <c r="AU71" i="10" s="1"/>
  <c r="M777" i="10" s="1"/>
  <c r="AP48" i="10"/>
  <c r="AP62" i="10" s="1"/>
  <c r="AP71" i="10" s="1"/>
  <c r="AK48" i="10"/>
  <c r="AK62" i="10" s="1"/>
  <c r="AK71" i="10" s="1"/>
  <c r="AE48" i="10"/>
  <c r="AE62" i="10" s="1"/>
  <c r="AE71" i="10" s="1"/>
  <c r="Z48" i="10"/>
  <c r="Z62" i="10" s="1"/>
  <c r="Z71" i="10" s="1"/>
  <c r="M756" i="10" s="1"/>
  <c r="U48" i="10"/>
  <c r="U62" i="10" s="1"/>
  <c r="U71" i="10" s="1"/>
  <c r="O48" i="10"/>
  <c r="O62" i="10" s="1"/>
  <c r="O71" i="10" s="1"/>
  <c r="J48" i="10"/>
  <c r="J62" i="10" s="1"/>
  <c r="J71" i="10" s="1"/>
  <c r="E48" i="10"/>
  <c r="E62" i="10" s="1"/>
  <c r="E71" i="10" s="1"/>
  <c r="BC48" i="10"/>
  <c r="BC62" i="10" s="1"/>
  <c r="BC71" i="10" s="1"/>
  <c r="AM48" i="10"/>
  <c r="AM62" i="10" s="1"/>
  <c r="AM71" i="10" s="1"/>
  <c r="M769" i="10" s="1"/>
  <c r="R48" i="10"/>
  <c r="R62" i="10" s="1"/>
  <c r="R71" i="10" s="1"/>
  <c r="BZ48" i="10"/>
  <c r="BZ62" i="10" s="1"/>
  <c r="BZ71" i="10" s="1"/>
  <c r="BU48" i="10"/>
  <c r="BU62" i="10" s="1"/>
  <c r="BU71" i="10" s="1"/>
  <c r="BO48" i="10"/>
  <c r="BO62" i="10" s="1"/>
  <c r="BO71" i="10" s="1"/>
  <c r="BJ48" i="10"/>
  <c r="BJ62" i="10" s="1"/>
  <c r="BJ71" i="10" s="1"/>
  <c r="BE48" i="10"/>
  <c r="BE62" i="10" s="1"/>
  <c r="BE71" i="10" s="1"/>
  <c r="M787" i="10" s="1"/>
  <c r="AY48" i="10"/>
  <c r="AY62" i="10" s="1"/>
  <c r="AY71" i="10" s="1"/>
  <c r="M781" i="10" s="1"/>
  <c r="AT48" i="10"/>
  <c r="AT62" i="10" s="1"/>
  <c r="AT71" i="10" s="1"/>
  <c r="AO48" i="10"/>
  <c r="AO62" i="10" s="1"/>
  <c r="AO71" i="10" s="1"/>
  <c r="AI48" i="10"/>
  <c r="AI62" i="10" s="1"/>
  <c r="AD48" i="10"/>
  <c r="AD62" i="10" s="1"/>
  <c r="AD71" i="10" s="1"/>
  <c r="Y48" i="10"/>
  <c r="Y62" i="10" s="1"/>
  <c r="Y71" i="10" s="1"/>
  <c r="S48" i="10"/>
  <c r="S62" i="10" s="1"/>
  <c r="N48" i="10"/>
  <c r="N62" i="10" s="1"/>
  <c r="N71" i="10" s="1"/>
  <c r="I48" i="10"/>
  <c r="I62" i="10" s="1"/>
  <c r="I71" i="10" s="1"/>
  <c r="C48" i="10"/>
  <c r="BS48" i="10"/>
  <c r="BS62" i="10" s="1"/>
  <c r="BS71" i="10" s="1"/>
  <c r="AX48" i="10"/>
  <c r="AX62" i="10" s="1"/>
  <c r="AX71" i="10" s="1"/>
  <c r="M780" i="10" s="1"/>
  <c r="AH48" i="10"/>
  <c r="AH62" i="10" s="1"/>
  <c r="AH71" i="10" s="1"/>
  <c r="W48" i="10"/>
  <c r="W62" i="10" s="1"/>
  <c r="W71" i="10" s="1"/>
  <c r="G48" i="10"/>
  <c r="G62" i="10" s="1"/>
  <c r="G71" i="10" s="1"/>
  <c r="F612" i="10"/>
  <c r="C430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K814" i="10" s="1"/>
  <c r="I733" i="10"/>
  <c r="H733" i="10"/>
  <c r="G733" i="10"/>
  <c r="F733" i="10"/>
  <c r="F814" i="10" s="1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785" i="10"/>
  <c r="E801" i="10"/>
  <c r="E761" i="10"/>
  <c r="E789" i="10"/>
  <c r="E773" i="10"/>
  <c r="E742" i="10"/>
  <c r="D815" i="10"/>
  <c r="E765" i="10"/>
  <c r="E781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C448" i="1" s="1"/>
  <c r="D221" i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W48" i="1" s="1"/>
  <c r="W62" i="1" s="1"/>
  <c r="CE65" i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/>
  <c r="I75" i="1"/>
  <c r="I26" i="9" s="1"/>
  <c r="H75" i="1"/>
  <c r="G75" i="1"/>
  <c r="F75" i="1"/>
  <c r="N737" i="1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C112" i="8" s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B445" i="1" s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F12" i="6" s="1"/>
  <c r="E201" i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152" i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68" i="1"/>
  <c r="N777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C429" i="1"/>
  <c r="C431" i="1"/>
  <c r="C434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X48" i="1"/>
  <c r="X62" i="1" s="1"/>
  <c r="D330" i="1"/>
  <c r="C86" i="8" s="1"/>
  <c r="N766" i="1"/>
  <c r="N760" i="1"/>
  <c r="N743" i="1"/>
  <c r="N758" i="1"/>
  <c r="N753" i="1"/>
  <c r="N747" i="1"/>
  <c r="C469" i="1"/>
  <c r="F8" i="6"/>
  <c r="N740" i="1"/>
  <c r="C218" i="9"/>
  <c r="D366" i="9"/>
  <c r="G812" i="1"/>
  <c r="CE64" i="1"/>
  <c r="F612" i="1" s="1"/>
  <c r="D368" i="9"/>
  <c r="I812" i="1"/>
  <c r="C276" i="9"/>
  <c r="CE70" i="1"/>
  <c r="C458" i="1" s="1"/>
  <c r="P812" i="1"/>
  <c r="CE77" i="1"/>
  <c r="I381" i="9" s="1"/>
  <c r="I29" i="9"/>
  <c r="C95" i="9"/>
  <c r="CE79" i="1"/>
  <c r="J612" i="1" s="1"/>
  <c r="S748" i="1"/>
  <c r="E142" i="1"/>
  <c r="G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E722" i="1"/>
  <c r="C9" i="5"/>
  <c r="D173" i="1"/>
  <c r="F24" i="6"/>
  <c r="G48" i="1"/>
  <c r="G62" i="1" s="1"/>
  <c r="G12" i="9" s="1"/>
  <c r="AE48" i="1"/>
  <c r="AE62" i="1" s="1"/>
  <c r="CD722" i="1"/>
  <c r="CD71" i="1"/>
  <c r="AK48" i="1"/>
  <c r="AK62" i="1" s="1"/>
  <c r="E768" i="1" s="1"/>
  <c r="U48" i="1"/>
  <c r="U62" i="1" s="1"/>
  <c r="G76" i="9" s="1"/>
  <c r="BM48" i="1"/>
  <c r="BM62" i="1" s="1"/>
  <c r="AG48" i="1"/>
  <c r="AG62" i="1" s="1"/>
  <c r="E140" i="9" s="1"/>
  <c r="I48" i="1"/>
  <c r="I62" i="1" s="1"/>
  <c r="BW48" i="1"/>
  <c r="BW62" i="1" s="1"/>
  <c r="BG48" i="1"/>
  <c r="BG62" i="1" s="1"/>
  <c r="C268" i="9" s="1"/>
  <c r="AA48" i="1"/>
  <c r="AA62" i="1" s="1"/>
  <c r="F108" i="9" s="1"/>
  <c r="K48" i="1"/>
  <c r="K62" i="1" s="1"/>
  <c r="N757" i="1"/>
  <c r="K816" i="1"/>
  <c r="C615" i="1"/>
  <c r="B440" i="1"/>
  <c r="O816" i="1"/>
  <c r="E372" i="9"/>
  <c r="BY48" i="1"/>
  <c r="BY62" i="1" s="1"/>
  <c r="BX48" i="1"/>
  <c r="BX62" i="1" s="1"/>
  <c r="BR48" i="1"/>
  <c r="BR62" i="1" s="1"/>
  <c r="BL48" i="1"/>
  <c r="BL62" i="1" s="1"/>
  <c r="BJ48" i="1"/>
  <c r="BJ62" i="1" s="1"/>
  <c r="BD48" i="1"/>
  <c r="BD62" i="1" s="1"/>
  <c r="G236" i="9" s="1"/>
  <c r="BB48" i="1"/>
  <c r="BB62" i="1" s="1"/>
  <c r="AV48" i="1"/>
  <c r="AV62" i="1" s="1"/>
  <c r="AR48" i="1"/>
  <c r="AR62" i="1" s="1"/>
  <c r="I172" i="9" s="1"/>
  <c r="AN48" i="1"/>
  <c r="AN62" i="1" s="1"/>
  <c r="E172" i="9" s="1"/>
  <c r="AJ48" i="1"/>
  <c r="AJ62" i="1" s="1"/>
  <c r="E767" i="1" s="1"/>
  <c r="AF48" i="1"/>
  <c r="AF62" i="1" s="1"/>
  <c r="E763" i="1" s="1"/>
  <c r="Z48" i="1"/>
  <c r="Z62" i="1" s="1"/>
  <c r="N48" i="1"/>
  <c r="N62" i="1" s="1"/>
  <c r="J48" i="1"/>
  <c r="J62" i="1" s="1"/>
  <c r="B441" i="1"/>
  <c r="C141" i="8"/>
  <c r="I372" i="9"/>
  <c r="M816" i="1"/>
  <c r="C27" i="5" l="1"/>
  <c r="E777" i="10"/>
  <c r="AL48" i="1"/>
  <c r="AL62" i="1" s="1"/>
  <c r="BH48" i="1"/>
  <c r="BH62" i="1" s="1"/>
  <c r="CA48" i="1"/>
  <c r="CA62" i="1" s="1"/>
  <c r="N765" i="1"/>
  <c r="Q48" i="1"/>
  <c r="Q62" i="1" s="1"/>
  <c r="BQ48" i="1"/>
  <c r="BQ62" i="1" s="1"/>
  <c r="F300" i="9" s="1"/>
  <c r="L48" i="1"/>
  <c r="L62" i="1" s="1"/>
  <c r="E743" i="1" s="1"/>
  <c r="E787" i="10"/>
  <c r="AR71" i="10"/>
  <c r="M774" i="10" s="1"/>
  <c r="AW48" i="1"/>
  <c r="AW62" i="1" s="1"/>
  <c r="E780" i="1" s="1"/>
  <c r="AB48" i="1"/>
  <c r="AB62" i="1" s="1"/>
  <c r="G108" i="9" s="1"/>
  <c r="F26" i="9"/>
  <c r="S71" i="10"/>
  <c r="M749" i="10" s="1"/>
  <c r="CE52" i="10"/>
  <c r="E790" i="1"/>
  <c r="R48" i="1"/>
  <c r="R62" i="1" s="1"/>
  <c r="D76" i="9" s="1"/>
  <c r="AT48" i="1"/>
  <c r="AT62" i="1" s="1"/>
  <c r="BP48" i="1"/>
  <c r="BP62" i="1" s="1"/>
  <c r="E799" i="1" s="1"/>
  <c r="C48" i="1"/>
  <c r="C62" i="1" s="1"/>
  <c r="E734" i="1" s="1"/>
  <c r="AI48" i="1"/>
  <c r="AI62" i="1" s="1"/>
  <c r="E766" i="1" s="1"/>
  <c r="BE48" i="1"/>
  <c r="BE62" i="1" s="1"/>
  <c r="H236" i="9" s="1"/>
  <c r="O48" i="1"/>
  <c r="O62" i="1" s="1"/>
  <c r="E746" i="1" s="1"/>
  <c r="N751" i="1"/>
  <c r="N752" i="1"/>
  <c r="X71" i="10"/>
  <c r="AD48" i="1"/>
  <c r="AD62" i="1" s="1"/>
  <c r="AZ48" i="1"/>
  <c r="AZ62" i="1" s="1"/>
  <c r="BT48" i="1"/>
  <c r="BT62" i="1" s="1"/>
  <c r="E803" i="1" s="1"/>
  <c r="BO48" i="1"/>
  <c r="BO62" i="1" s="1"/>
  <c r="E48" i="1"/>
  <c r="E62" i="1" s="1"/>
  <c r="E12" i="9" s="1"/>
  <c r="BS48" i="1"/>
  <c r="BS62" i="1" s="1"/>
  <c r="D816" i="1"/>
  <c r="AS48" i="1"/>
  <c r="AS62" i="1" s="1"/>
  <c r="E735" i="10"/>
  <c r="AI71" i="10"/>
  <c r="M765" i="10" s="1"/>
  <c r="D71" i="10"/>
  <c r="M734" i="10" s="1"/>
  <c r="G612" i="1"/>
  <c r="Q816" i="1"/>
  <c r="CF77" i="1"/>
  <c r="F48" i="1"/>
  <c r="F62" i="1" s="1"/>
  <c r="F12" i="9" s="1"/>
  <c r="V48" i="1"/>
  <c r="V62" i="1" s="1"/>
  <c r="AH48" i="1"/>
  <c r="AH62" i="1" s="1"/>
  <c r="AP48" i="1"/>
  <c r="AP62" i="1" s="1"/>
  <c r="G172" i="9" s="1"/>
  <c r="AX48" i="1"/>
  <c r="AX62" i="1" s="1"/>
  <c r="BF48" i="1"/>
  <c r="BF62" i="1" s="1"/>
  <c r="E789" i="1" s="1"/>
  <c r="BN48" i="1"/>
  <c r="BN62" i="1" s="1"/>
  <c r="E797" i="1" s="1"/>
  <c r="BV48" i="1"/>
  <c r="BV62" i="1" s="1"/>
  <c r="E44" i="9"/>
  <c r="AY48" i="1"/>
  <c r="AY62" i="1" s="1"/>
  <c r="E782" i="1" s="1"/>
  <c r="CC48" i="1"/>
  <c r="CC62" i="1" s="1"/>
  <c r="E812" i="1" s="1"/>
  <c r="AO48" i="1"/>
  <c r="AO62" i="1" s="1"/>
  <c r="BU48" i="1"/>
  <c r="BU62" i="1" s="1"/>
  <c r="BA48" i="1"/>
  <c r="BA62" i="1" s="1"/>
  <c r="D236" i="9" s="1"/>
  <c r="BI48" i="1"/>
  <c r="BI62" i="1" s="1"/>
  <c r="E268" i="9" s="1"/>
  <c r="AU48" i="1"/>
  <c r="AU62" i="1" s="1"/>
  <c r="D48" i="1"/>
  <c r="D62" i="1" s="1"/>
  <c r="E735" i="1" s="1"/>
  <c r="D815" i="1"/>
  <c r="E737" i="1"/>
  <c r="C236" i="9"/>
  <c r="E783" i="1"/>
  <c r="E791" i="1"/>
  <c r="D268" i="9"/>
  <c r="E807" i="1"/>
  <c r="C12" i="9"/>
  <c r="I140" i="9"/>
  <c r="C204" i="9"/>
  <c r="E752" i="1"/>
  <c r="E776" i="1"/>
  <c r="E792" i="1"/>
  <c r="G816" i="1"/>
  <c r="I377" i="9"/>
  <c r="N755" i="1"/>
  <c r="F815" i="1"/>
  <c r="D368" i="1"/>
  <c r="C120" i="8" s="1"/>
  <c r="E757" i="1"/>
  <c r="E108" i="9"/>
  <c r="F332" i="9"/>
  <c r="G122" i="9"/>
  <c r="N762" i="1"/>
  <c r="N748" i="1"/>
  <c r="C473" i="1"/>
  <c r="E775" i="1"/>
  <c r="E749" i="1"/>
  <c r="C430" i="1"/>
  <c r="F10" i="4"/>
  <c r="I300" i="9"/>
  <c r="E787" i="1"/>
  <c r="I366" i="9"/>
  <c r="H58" i="9"/>
  <c r="N769" i="1"/>
  <c r="C417" i="1"/>
  <c r="N745" i="1"/>
  <c r="N761" i="1"/>
  <c r="B476" i="1"/>
  <c r="B10" i="4"/>
  <c r="C688" i="10"/>
  <c r="C516" i="10"/>
  <c r="B516" i="1"/>
  <c r="C62" i="10"/>
  <c r="E733" i="10" s="1"/>
  <c r="CE48" i="10"/>
  <c r="C627" i="10"/>
  <c r="C560" i="10"/>
  <c r="B560" i="1"/>
  <c r="C680" i="10"/>
  <c r="C508" i="10"/>
  <c r="B508" i="1"/>
  <c r="C551" i="10"/>
  <c r="C629" i="10"/>
  <c r="B551" i="1"/>
  <c r="C634" i="10"/>
  <c r="C554" i="10"/>
  <c r="B554" i="1"/>
  <c r="C676" i="10"/>
  <c r="C504" i="10"/>
  <c r="G504" i="10" s="1"/>
  <c r="B504" i="1"/>
  <c r="C547" i="10"/>
  <c r="C632" i="10"/>
  <c r="B547" i="1"/>
  <c r="C689" i="10"/>
  <c r="C517" i="10"/>
  <c r="B517" i="1"/>
  <c r="C705" i="10"/>
  <c r="C533" i="10"/>
  <c r="G533" i="10" s="1"/>
  <c r="B533" i="1"/>
  <c r="E809" i="10"/>
  <c r="E769" i="10"/>
  <c r="T814" i="10"/>
  <c r="H814" i="10"/>
  <c r="R814" i="10"/>
  <c r="P814" i="10"/>
  <c r="M753" i="10"/>
  <c r="M770" i="10"/>
  <c r="C699" i="10"/>
  <c r="C527" i="10"/>
  <c r="B527" i="1"/>
  <c r="C674" i="10"/>
  <c r="C502" i="10"/>
  <c r="G502" i="10" s="1"/>
  <c r="B502" i="1"/>
  <c r="C695" i="10"/>
  <c r="C523" i="10"/>
  <c r="G523" i="10" s="1"/>
  <c r="B523" i="1"/>
  <c r="C625" i="10"/>
  <c r="C544" i="10"/>
  <c r="B544" i="1"/>
  <c r="C566" i="10"/>
  <c r="C641" i="10"/>
  <c r="B566" i="1"/>
  <c r="C548" i="10"/>
  <c r="C633" i="10"/>
  <c r="B548" i="1"/>
  <c r="C686" i="10"/>
  <c r="C514" i="10"/>
  <c r="B514" i="1"/>
  <c r="C707" i="10"/>
  <c r="C535" i="10"/>
  <c r="B535" i="1"/>
  <c r="C635" i="10"/>
  <c r="C556" i="10"/>
  <c r="B556" i="1"/>
  <c r="C678" i="10"/>
  <c r="C506" i="10"/>
  <c r="G506" i="10" s="1"/>
  <c r="B506" i="1"/>
  <c r="C559" i="10"/>
  <c r="C619" i="10"/>
  <c r="B559" i="1"/>
  <c r="C682" i="10"/>
  <c r="C510" i="10"/>
  <c r="B510" i="1"/>
  <c r="C703" i="10"/>
  <c r="C531" i="10"/>
  <c r="G531" i="10" s="1"/>
  <c r="B531" i="1"/>
  <c r="C618" i="10"/>
  <c r="C552" i="10"/>
  <c r="B552" i="1"/>
  <c r="C620" i="10"/>
  <c r="C574" i="10"/>
  <c r="B574" i="1"/>
  <c r="C677" i="10"/>
  <c r="C505" i="10"/>
  <c r="G505" i="10" s="1"/>
  <c r="B505" i="1"/>
  <c r="C693" i="10"/>
  <c r="C521" i="10"/>
  <c r="B521" i="1"/>
  <c r="C709" i="10"/>
  <c r="C537" i="10"/>
  <c r="B537" i="1"/>
  <c r="C553" i="10"/>
  <c r="C636" i="10"/>
  <c r="B553" i="1"/>
  <c r="C644" i="10"/>
  <c r="C569" i="10"/>
  <c r="B569" i="1"/>
  <c r="C690" i="10"/>
  <c r="C518" i="10"/>
  <c r="B518" i="1"/>
  <c r="C711" i="10"/>
  <c r="C539" i="10"/>
  <c r="G539" i="10" s="1"/>
  <c r="B539" i="1"/>
  <c r="C704" i="10"/>
  <c r="C532" i="10"/>
  <c r="G532" i="10" s="1"/>
  <c r="B532" i="1"/>
  <c r="C702" i="10"/>
  <c r="C530" i="10"/>
  <c r="G530" i="10" s="1"/>
  <c r="B530" i="1"/>
  <c r="C647" i="10"/>
  <c r="C572" i="10"/>
  <c r="B572" i="1"/>
  <c r="C698" i="10"/>
  <c r="C526" i="10"/>
  <c r="B526" i="1"/>
  <c r="C643" i="10"/>
  <c r="C568" i="10"/>
  <c r="B568" i="1"/>
  <c r="C673" i="10"/>
  <c r="C501" i="10"/>
  <c r="G501" i="10" s="1"/>
  <c r="B501" i="1"/>
  <c r="C640" i="10"/>
  <c r="C565" i="10"/>
  <c r="B565" i="1"/>
  <c r="E797" i="10"/>
  <c r="E805" i="10"/>
  <c r="M754" i="10"/>
  <c r="M763" i="10"/>
  <c r="M767" i="10"/>
  <c r="M784" i="10"/>
  <c r="M797" i="10"/>
  <c r="M805" i="10"/>
  <c r="M809" i="10"/>
  <c r="C616" i="10"/>
  <c r="C543" i="10"/>
  <c r="B543" i="1"/>
  <c r="C679" i="10"/>
  <c r="C507" i="10"/>
  <c r="G507" i="10" s="1"/>
  <c r="B507" i="1"/>
  <c r="C528" i="10"/>
  <c r="C700" i="10"/>
  <c r="B528" i="1"/>
  <c r="C550" i="10"/>
  <c r="C614" i="10"/>
  <c r="B550" i="1"/>
  <c r="C646" i="10"/>
  <c r="C571" i="10"/>
  <c r="B571" i="1"/>
  <c r="C498" i="10"/>
  <c r="C670" i="10"/>
  <c r="B498" i="1"/>
  <c r="C691" i="10"/>
  <c r="C519" i="10"/>
  <c r="B519" i="1"/>
  <c r="C712" i="10"/>
  <c r="C540" i="10"/>
  <c r="G540" i="10" s="1"/>
  <c r="B540" i="1"/>
  <c r="C623" i="10"/>
  <c r="C562" i="10"/>
  <c r="B562" i="1"/>
  <c r="C694" i="10"/>
  <c r="C522" i="10"/>
  <c r="B522" i="1"/>
  <c r="C645" i="10"/>
  <c r="C570" i="10"/>
  <c r="B570" i="1"/>
  <c r="C687" i="10"/>
  <c r="C515" i="10"/>
  <c r="B515" i="1"/>
  <c r="C708" i="10"/>
  <c r="C536" i="10"/>
  <c r="G536" i="10" s="1"/>
  <c r="B536" i="1"/>
  <c r="C558" i="10"/>
  <c r="C638" i="10"/>
  <c r="B558" i="1"/>
  <c r="C681" i="10"/>
  <c r="C509" i="10"/>
  <c r="B509" i="1"/>
  <c r="C697" i="10"/>
  <c r="C525" i="10"/>
  <c r="G525" i="10" s="1"/>
  <c r="B525" i="1"/>
  <c r="C713" i="10"/>
  <c r="C541" i="10"/>
  <c r="B541" i="1"/>
  <c r="C557" i="10"/>
  <c r="C637" i="10"/>
  <c r="B557" i="1"/>
  <c r="C622" i="10"/>
  <c r="C573" i="10"/>
  <c r="B573" i="1"/>
  <c r="C549" i="10"/>
  <c r="C624" i="10"/>
  <c r="B549" i="1"/>
  <c r="E738" i="10"/>
  <c r="M741" i="10"/>
  <c r="M745" i="10"/>
  <c r="M755" i="10"/>
  <c r="M776" i="10"/>
  <c r="M788" i="10"/>
  <c r="C672" i="10"/>
  <c r="C500" i="10"/>
  <c r="G500" i="10" s="1"/>
  <c r="B500" i="1"/>
  <c r="C639" i="10"/>
  <c r="C564" i="10"/>
  <c r="B564" i="1"/>
  <c r="C684" i="10"/>
  <c r="C512" i="10"/>
  <c r="B512" i="1"/>
  <c r="C706" i="10"/>
  <c r="C534" i="10"/>
  <c r="G534" i="10" s="1"/>
  <c r="B534" i="1"/>
  <c r="C555" i="10"/>
  <c r="C617" i="10"/>
  <c r="B555" i="1"/>
  <c r="C683" i="10"/>
  <c r="C511" i="10"/>
  <c r="B511" i="1"/>
  <c r="C675" i="10"/>
  <c r="C503" i="10"/>
  <c r="B503" i="1"/>
  <c r="C696" i="10"/>
  <c r="C524" i="10"/>
  <c r="B524" i="1"/>
  <c r="C546" i="10"/>
  <c r="C630" i="10"/>
  <c r="B546" i="1"/>
  <c r="C567" i="10"/>
  <c r="C642" i="10"/>
  <c r="B567" i="1"/>
  <c r="C710" i="10"/>
  <c r="C538" i="10"/>
  <c r="G538" i="10" s="1"/>
  <c r="B538" i="1"/>
  <c r="C671" i="10"/>
  <c r="C499" i="10"/>
  <c r="G499" i="10" s="1"/>
  <c r="B499" i="1"/>
  <c r="C692" i="10"/>
  <c r="C520" i="10"/>
  <c r="B520" i="1"/>
  <c r="C631" i="10"/>
  <c r="C542" i="10"/>
  <c r="B542" i="1"/>
  <c r="C563" i="10"/>
  <c r="C626" i="10"/>
  <c r="B563" i="1"/>
  <c r="C669" i="10"/>
  <c r="C497" i="10"/>
  <c r="G497" i="10" s="1"/>
  <c r="B497" i="1"/>
  <c r="C685" i="10"/>
  <c r="C513" i="10"/>
  <c r="B513" i="1"/>
  <c r="C701" i="10"/>
  <c r="C529" i="10"/>
  <c r="B529" i="1"/>
  <c r="C628" i="10"/>
  <c r="C545" i="10"/>
  <c r="B545" i="1"/>
  <c r="C561" i="10"/>
  <c r="C621" i="10"/>
  <c r="B561" i="1"/>
  <c r="D140" i="9"/>
  <c r="I268" i="9"/>
  <c r="C44" i="9"/>
  <c r="E741" i="1"/>
  <c r="E779" i="1"/>
  <c r="F204" i="9"/>
  <c r="I332" i="9"/>
  <c r="E810" i="1"/>
  <c r="E742" i="1"/>
  <c r="D44" i="9"/>
  <c r="C332" i="9"/>
  <c r="E373" i="9"/>
  <c r="C575" i="1"/>
  <c r="E762" i="1"/>
  <c r="C140" i="9"/>
  <c r="E752" i="10"/>
  <c r="E771" i="1"/>
  <c r="H140" i="9"/>
  <c r="E764" i="1"/>
  <c r="C14" i="5"/>
  <c r="D428" i="1"/>
  <c r="E796" i="1"/>
  <c r="E795" i="1"/>
  <c r="H268" i="9"/>
  <c r="E740" i="1"/>
  <c r="I12" i="9"/>
  <c r="E748" i="1"/>
  <c r="C76" i="9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E765" i="1"/>
  <c r="D12" i="9"/>
  <c r="I108" i="9"/>
  <c r="E761" i="1"/>
  <c r="D204" i="9"/>
  <c r="E777" i="1"/>
  <c r="F268" i="9"/>
  <c r="E793" i="1"/>
  <c r="G332" i="9"/>
  <c r="E808" i="1"/>
  <c r="C300" i="9"/>
  <c r="E753" i="1"/>
  <c r="H76" i="9"/>
  <c r="H204" i="9"/>
  <c r="G44" i="9"/>
  <c r="E745" i="1"/>
  <c r="C172" i="9"/>
  <c r="E769" i="1"/>
  <c r="E236" i="9"/>
  <c r="E785" i="1"/>
  <c r="E801" i="1"/>
  <c r="G300" i="9"/>
  <c r="B446" i="1"/>
  <c r="D242" i="1"/>
  <c r="E779" i="10"/>
  <c r="E795" i="10"/>
  <c r="G140" i="9"/>
  <c r="E332" i="9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I204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E736" i="1" l="1"/>
  <c r="H44" i="9"/>
  <c r="E784" i="1"/>
  <c r="I236" i="9"/>
  <c r="E800" i="1"/>
  <c r="E788" i="1"/>
  <c r="E300" i="9"/>
  <c r="E802" i="1"/>
  <c r="H300" i="9"/>
  <c r="D364" i="9"/>
  <c r="E772" i="1"/>
  <c r="E805" i="1"/>
  <c r="E204" i="9"/>
  <c r="D332" i="9"/>
  <c r="F140" i="9"/>
  <c r="E778" i="1"/>
  <c r="E781" i="1"/>
  <c r="E773" i="1"/>
  <c r="F172" i="9"/>
  <c r="E804" i="1"/>
  <c r="H172" i="9"/>
  <c r="E744" i="1"/>
  <c r="D108" i="9"/>
  <c r="CE62" i="1"/>
  <c r="C428" i="1" s="1"/>
  <c r="E756" i="1"/>
  <c r="E811" i="1"/>
  <c r="CE48" i="1"/>
  <c r="C648" i="10"/>
  <c r="M716" i="10" s="1"/>
  <c r="D615" i="10"/>
  <c r="G528" i="10"/>
  <c r="H528" i="10" s="1"/>
  <c r="G535" i="10"/>
  <c r="H535" i="10"/>
  <c r="C71" i="10"/>
  <c r="CE62" i="10"/>
  <c r="G524" i="10"/>
  <c r="H524" i="10"/>
  <c r="G550" i="10"/>
  <c r="H550" i="10" s="1"/>
  <c r="G518" i="10"/>
  <c r="H518" i="10"/>
  <c r="G521" i="10"/>
  <c r="H521" i="10"/>
  <c r="G527" i="10"/>
  <c r="H527" i="10"/>
  <c r="G545" i="10"/>
  <c r="H545" i="10"/>
  <c r="G503" i="10"/>
  <c r="H503" i="10"/>
  <c r="G510" i="10"/>
  <c r="H510" i="10" s="1"/>
  <c r="G544" i="10"/>
  <c r="H544" i="10" s="1"/>
  <c r="G513" i="10"/>
  <c r="H513" i="10"/>
  <c r="G520" i="10"/>
  <c r="H520" i="10" s="1"/>
  <c r="G509" i="10"/>
  <c r="H509" i="10" s="1"/>
  <c r="G522" i="10"/>
  <c r="H522" i="10" s="1"/>
  <c r="G526" i="10"/>
  <c r="H526" i="10" s="1"/>
  <c r="G537" i="10"/>
  <c r="H537" i="10" s="1"/>
  <c r="G508" i="10"/>
  <c r="H508" i="10" s="1"/>
  <c r="G516" i="10"/>
  <c r="H516" i="10" s="1"/>
  <c r="H512" i="10"/>
  <c r="G512" i="10"/>
  <c r="G515" i="10"/>
  <c r="H515" i="10" s="1"/>
  <c r="G529" i="10"/>
  <c r="H529" i="10" s="1"/>
  <c r="H546" i="10"/>
  <c r="G546" i="10"/>
  <c r="G511" i="10"/>
  <c r="H511" i="10" s="1"/>
  <c r="H519" i="10"/>
  <c r="G519" i="10"/>
  <c r="G498" i="10"/>
  <c r="H498" i="10" s="1"/>
  <c r="G514" i="10"/>
  <c r="H514" i="10" s="1"/>
  <c r="G517" i="10"/>
  <c r="H517" i="10" s="1"/>
  <c r="F76" i="9"/>
  <c r="E751" i="1"/>
  <c r="J806" i="10"/>
  <c r="J776" i="10"/>
  <c r="J755" i="10"/>
  <c r="N815" i="1"/>
  <c r="F511" i="1"/>
  <c r="H501" i="1"/>
  <c r="F501" i="1"/>
  <c r="F497" i="1"/>
  <c r="H497" i="1"/>
  <c r="E750" i="1"/>
  <c r="E76" i="9"/>
  <c r="D172" i="9"/>
  <c r="E770" i="1"/>
  <c r="H332" i="9"/>
  <c r="E809" i="1"/>
  <c r="E760" i="1"/>
  <c r="F236" i="9"/>
  <c r="E786" i="1"/>
  <c r="I44" i="9"/>
  <c r="E747" i="1"/>
  <c r="G268" i="9"/>
  <c r="E794" i="1"/>
  <c r="D465" i="1"/>
  <c r="F505" i="1"/>
  <c r="H505" i="1"/>
  <c r="F499" i="1"/>
  <c r="H499" i="1"/>
  <c r="E739" i="1"/>
  <c r="H12" i="9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F520" i="1"/>
  <c r="D341" i="1"/>
  <c r="C481" i="1" s="1"/>
  <c r="C50" i="8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D391" i="1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F49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J771" i="10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I364" i="9" l="1"/>
  <c r="E815" i="1"/>
  <c r="E816" i="1"/>
  <c r="D710" i="10"/>
  <c r="D706" i="10"/>
  <c r="D702" i="10"/>
  <c r="D698" i="10"/>
  <c r="D694" i="10"/>
  <c r="D690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4" i="10"/>
  <c r="D680" i="10"/>
  <c r="D676" i="10"/>
  <c r="D672" i="10"/>
  <c r="D668" i="10"/>
  <c r="D705" i="10"/>
  <c r="D689" i="10"/>
  <c r="D685" i="10"/>
  <c r="D681" i="10"/>
  <c r="D677" i="10"/>
  <c r="D673" i="10"/>
  <c r="D669" i="10"/>
  <c r="D709" i="10"/>
  <c r="D693" i="10"/>
  <c r="D686" i="10"/>
  <c r="D682" i="10"/>
  <c r="D678" i="10"/>
  <c r="D674" i="10"/>
  <c r="D670" i="10"/>
  <c r="D647" i="10"/>
  <c r="D646" i="10"/>
  <c r="D645" i="10"/>
  <c r="D697" i="10"/>
  <c r="D671" i="10"/>
  <c r="D627" i="10"/>
  <c r="D713" i="10"/>
  <c r="D675" i="10"/>
  <c r="D644" i="10"/>
  <c r="D629" i="10"/>
  <c r="D626" i="10"/>
  <c r="D623" i="10"/>
  <c r="D621" i="10"/>
  <c r="D619" i="10"/>
  <c r="D617" i="10"/>
  <c r="D679" i="10"/>
  <c r="D642" i="10"/>
  <c r="D641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20" i="10"/>
  <c r="D628" i="10"/>
  <c r="D618" i="10"/>
  <c r="D683" i="10"/>
  <c r="D640" i="10"/>
  <c r="D616" i="10"/>
  <c r="D643" i="10"/>
  <c r="D622" i="10"/>
  <c r="C428" i="10"/>
  <c r="C441" i="10" s="1"/>
  <c r="CE71" i="10"/>
  <c r="C668" i="10"/>
  <c r="C715" i="10" s="1"/>
  <c r="C496" i="10"/>
  <c r="B496" i="1"/>
  <c r="F496" i="1" s="1"/>
  <c r="M733" i="10"/>
  <c r="M814" i="10" s="1"/>
  <c r="F517" i="1"/>
  <c r="F515" i="1"/>
  <c r="F522" i="1"/>
  <c r="F510" i="1"/>
  <c r="F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G496" i="10" l="1"/>
  <c r="H496" i="10" s="1"/>
  <c r="E612" i="10"/>
  <c r="C716" i="10"/>
  <c r="M815" i="10"/>
  <c r="D715" i="10"/>
  <c r="E623" i="10"/>
  <c r="J733" i="10"/>
  <c r="J814" i="10" s="1"/>
  <c r="F545" i="1"/>
  <c r="H525" i="1"/>
  <c r="F525" i="1"/>
  <c r="F529" i="1"/>
  <c r="C146" i="8"/>
  <c r="D396" i="1"/>
  <c r="C151" i="8" s="1"/>
  <c r="F521" i="1"/>
  <c r="F535" i="1"/>
  <c r="H533" i="1"/>
  <c r="F533" i="1"/>
  <c r="Z733" i="10"/>
  <c r="F527" i="1"/>
  <c r="F539" i="1"/>
  <c r="H539" i="1"/>
  <c r="F519" i="1"/>
  <c r="F523" i="1"/>
  <c r="H523" i="1"/>
  <c r="F537" i="1"/>
  <c r="F531" i="1"/>
  <c r="E716" i="10" l="1"/>
  <c r="E711" i="10"/>
  <c r="E707" i="10"/>
  <c r="E703" i="10"/>
  <c r="E699" i="10"/>
  <c r="E695" i="10"/>
  <c r="E691" i="10"/>
  <c r="E687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98" i="10"/>
  <c r="E685" i="10"/>
  <c r="E681" i="10"/>
  <c r="E677" i="10"/>
  <c r="E673" i="10"/>
  <c r="E669" i="10"/>
  <c r="E702" i="10"/>
  <c r="E686" i="10"/>
  <c r="E682" i="10"/>
  <c r="E678" i="10"/>
  <c r="E674" i="10"/>
  <c r="E670" i="10"/>
  <c r="E647" i="10"/>
  <c r="E646" i="10"/>
  <c r="E645" i="10"/>
  <c r="E706" i="10"/>
  <c r="E690" i="10"/>
  <c r="E683" i="10"/>
  <c r="E679" i="10"/>
  <c r="E675" i="10"/>
  <c r="E671" i="10"/>
  <c r="E644" i="10"/>
  <c r="E643" i="10"/>
  <c r="E642" i="10"/>
  <c r="E641" i="10"/>
  <c r="E684" i="10"/>
  <c r="E668" i="10"/>
  <c r="E629" i="10"/>
  <c r="E626" i="10"/>
  <c r="E672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94" i="10"/>
  <c r="E676" i="10"/>
  <c r="E640" i="10"/>
  <c r="E628" i="10"/>
  <c r="E710" i="10"/>
  <c r="E680" i="10"/>
  <c r="E627" i="10"/>
  <c r="J815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2" i="10"/>
  <c r="F678" i="10"/>
  <c r="F674" i="10"/>
  <c r="F670" i="10"/>
  <c r="F647" i="10"/>
  <c r="F646" i="10"/>
  <c r="F645" i="10"/>
  <c r="F716" i="10"/>
  <c r="F699" i="10"/>
  <c r="F683" i="10"/>
  <c r="F679" i="10"/>
  <c r="F675" i="10"/>
  <c r="F671" i="10"/>
  <c r="F644" i="10"/>
  <c r="F643" i="10"/>
  <c r="F642" i="10"/>
  <c r="F641" i="10"/>
  <c r="F640" i="10"/>
  <c r="F703" i="10"/>
  <c r="F687" i="10"/>
  <c r="F684" i="10"/>
  <c r="F680" i="10"/>
  <c r="F676" i="10"/>
  <c r="F672" i="10"/>
  <c r="F668" i="10"/>
  <c r="F691" i="10"/>
  <c r="F681" i="10"/>
  <c r="F639" i="10"/>
  <c r="F638" i="10"/>
  <c r="F637" i="10"/>
  <c r="F636" i="10"/>
  <c r="F635" i="10"/>
  <c r="F634" i="10"/>
  <c r="F633" i="10"/>
  <c r="F632" i="10"/>
  <c r="F631" i="10"/>
  <c r="F630" i="10"/>
  <c r="F625" i="10"/>
  <c r="F707" i="10"/>
  <c r="F669" i="10"/>
  <c r="F628" i="10"/>
  <c r="F673" i="10"/>
  <c r="F627" i="10"/>
  <c r="F677" i="10"/>
  <c r="F629" i="10"/>
  <c r="F626" i="10"/>
  <c r="F715" i="10" l="1"/>
  <c r="G625" i="10"/>
  <c r="G713" i="10" l="1"/>
  <c r="G709" i="10"/>
  <c r="G705" i="10"/>
  <c r="G701" i="10"/>
  <c r="G697" i="10"/>
  <c r="G693" i="10"/>
  <c r="G689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3" i="10"/>
  <c r="G679" i="10"/>
  <c r="G675" i="10"/>
  <c r="G671" i="10"/>
  <c r="G644" i="10"/>
  <c r="G643" i="10"/>
  <c r="G712" i="10"/>
  <c r="G696" i="10"/>
  <c r="G684" i="10"/>
  <c r="G680" i="10"/>
  <c r="G676" i="10"/>
  <c r="G672" i="10"/>
  <c r="G668" i="10"/>
  <c r="G700" i="10"/>
  <c r="G681" i="10"/>
  <c r="G677" i="10"/>
  <c r="G673" i="10"/>
  <c r="G669" i="10"/>
  <c r="G678" i="10"/>
  <c r="G646" i="10"/>
  <c r="G628" i="10"/>
  <c r="G685" i="10"/>
  <c r="G682" i="10"/>
  <c r="G642" i="10"/>
  <c r="G641" i="10"/>
  <c r="G640" i="10"/>
  <c r="G627" i="10"/>
  <c r="G688" i="10"/>
  <c r="G670" i="10"/>
  <c r="G647" i="10"/>
  <c r="G645" i="10"/>
  <c r="G629" i="10"/>
  <c r="G626" i="10"/>
  <c r="G674" i="10"/>
  <c r="G704" i="10"/>
  <c r="G638" i="10"/>
  <c r="G636" i="10"/>
  <c r="G634" i="10"/>
  <c r="G632" i="10"/>
  <c r="G630" i="10"/>
  <c r="G633" i="10"/>
  <c r="G639" i="10"/>
  <c r="G631" i="10"/>
  <c r="G635" i="10"/>
  <c r="G637" i="10"/>
  <c r="G715" i="10" l="1"/>
  <c r="H628" i="10"/>
  <c r="H710" i="10" l="1"/>
  <c r="H706" i="10"/>
  <c r="H702" i="10"/>
  <c r="H698" i="10"/>
  <c r="H694" i="10"/>
  <c r="H690" i="10"/>
  <c r="H686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4" i="10"/>
  <c r="H680" i="10"/>
  <c r="H676" i="10"/>
  <c r="H672" i="10"/>
  <c r="H668" i="10"/>
  <c r="H709" i="10"/>
  <c r="H693" i="10"/>
  <c r="H681" i="10"/>
  <c r="H677" i="10"/>
  <c r="H673" i="10"/>
  <c r="H669" i="10"/>
  <c r="H713" i="10"/>
  <c r="H697" i="10"/>
  <c r="H685" i="10"/>
  <c r="H682" i="10"/>
  <c r="H678" i="10"/>
  <c r="H674" i="10"/>
  <c r="H670" i="10"/>
  <c r="H647" i="10"/>
  <c r="H646" i="10"/>
  <c r="H645" i="10"/>
  <c r="H675" i="10"/>
  <c r="H644" i="10"/>
  <c r="H642" i="10"/>
  <c r="H641" i="10"/>
  <c r="H640" i="10"/>
  <c r="H701" i="10"/>
  <c r="H679" i="10"/>
  <c r="H629" i="10"/>
  <c r="H683" i="10"/>
  <c r="H643" i="10"/>
  <c r="H639" i="10"/>
  <c r="H638" i="10"/>
  <c r="H637" i="10"/>
  <c r="H636" i="10"/>
  <c r="H635" i="10"/>
  <c r="H634" i="10"/>
  <c r="H633" i="10"/>
  <c r="H632" i="10"/>
  <c r="H631" i="10"/>
  <c r="H630" i="10"/>
  <c r="H671" i="10"/>
  <c r="H715" i="10" l="1"/>
  <c r="I629" i="10"/>
  <c r="I716" i="10" l="1"/>
  <c r="I711" i="10"/>
  <c r="I707" i="10"/>
  <c r="I703" i="10"/>
  <c r="I699" i="10"/>
  <c r="I695" i="10"/>
  <c r="I691" i="10"/>
  <c r="I687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702" i="10"/>
  <c r="I686" i="10"/>
  <c r="I681" i="10"/>
  <c r="I677" i="10"/>
  <c r="I673" i="10"/>
  <c r="I669" i="10"/>
  <c r="I706" i="10"/>
  <c r="I690" i="10"/>
  <c r="I685" i="10"/>
  <c r="I682" i="10"/>
  <c r="I678" i="10"/>
  <c r="I674" i="10"/>
  <c r="I670" i="10"/>
  <c r="I647" i="10"/>
  <c r="I646" i="10"/>
  <c r="I645" i="10"/>
  <c r="I710" i="10"/>
  <c r="I694" i="10"/>
  <c r="I683" i="10"/>
  <c r="I679" i="10"/>
  <c r="I675" i="10"/>
  <c r="I671" i="10"/>
  <c r="I644" i="10"/>
  <c r="I643" i="10"/>
  <c r="I642" i="10"/>
  <c r="I641" i="10"/>
  <c r="I640" i="10"/>
  <c r="I672" i="10"/>
  <c r="I676" i="10"/>
  <c r="I639" i="10"/>
  <c r="I638" i="10"/>
  <c r="I637" i="10"/>
  <c r="I636" i="10"/>
  <c r="I635" i="10"/>
  <c r="I634" i="10"/>
  <c r="I633" i="10"/>
  <c r="I632" i="10"/>
  <c r="I631" i="10"/>
  <c r="I630" i="10"/>
  <c r="I680" i="10"/>
  <c r="I668" i="10"/>
  <c r="I684" i="10"/>
  <c r="I698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82" i="10"/>
  <c r="J678" i="10"/>
  <c r="J674" i="10"/>
  <c r="J670" i="10"/>
  <c r="J647" i="10"/>
  <c r="J646" i="10"/>
  <c r="J645" i="10"/>
  <c r="J703" i="10"/>
  <c r="J687" i="10"/>
  <c r="J683" i="10"/>
  <c r="J679" i="10"/>
  <c r="J675" i="10"/>
  <c r="J671" i="10"/>
  <c r="J644" i="10"/>
  <c r="J643" i="10"/>
  <c r="J642" i="10"/>
  <c r="J641" i="10"/>
  <c r="J640" i="10"/>
  <c r="J639" i="10"/>
  <c r="J707" i="10"/>
  <c r="J691" i="10"/>
  <c r="J684" i="10"/>
  <c r="J680" i="10"/>
  <c r="J676" i="10"/>
  <c r="J672" i="10"/>
  <c r="J668" i="10"/>
  <c r="J669" i="10"/>
  <c r="J638" i="10"/>
  <c r="J637" i="10"/>
  <c r="J636" i="10"/>
  <c r="J635" i="10"/>
  <c r="J634" i="10"/>
  <c r="J633" i="10"/>
  <c r="J632" i="10"/>
  <c r="J631" i="10"/>
  <c r="J695" i="10"/>
  <c r="J673" i="10"/>
  <c r="J711" i="10"/>
  <c r="J677" i="10"/>
  <c r="J681" i="10"/>
  <c r="J715" i="10" l="1"/>
  <c r="K644" i="10"/>
  <c r="L647" i="10"/>
  <c r="L710" i="10" l="1"/>
  <c r="L706" i="10"/>
  <c r="L702" i="10"/>
  <c r="L698" i="10"/>
  <c r="L694" i="10"/>
  <c r="L690" i="10"/>
  <c r="L686" i="10"/>
  <c r="L716" i="10"/>
  <c r="L711" i="10"/>
  <c r="L707" i="10"/>
  <c r="L703" i="10"/>
  <c r="L699" i="10"/>
  <c r="L695" i="10"/>
  <c r="L691" i="10"/>
  <c r="L687" i="10"/>
  <c r="L712" i="10"/>
  <c r="L708" i="10"/>
  <c r="L704" i="10"/>
  <c r="L700" i="10"/>
  <c r="L696" i="10"/>
  <c r="L692" i="10"/>
  <c r="L688" i="10"/>
  <c r="L709" i="10"/>
  <c r="L693" i="10"/>
  <c r="L684" i="10"/>
  <c r="L680" i="10"/>
  <c r="L676" i="10"/>
  <c r="L672" i="10"/>
  <c r="L668" i="10"/>
  <c r="L713" i="10"/>
  <c r="L697" i="10"/>
  <c r="L681" i="10"/>
  <c r="L677" i="10"/>
  <c r="L673" i="10"/>
  <c r="L669" i="10"/>
  <c r="L701" i="10"/>
  <c r="L682" i="10"/>
  <c r="L678" i="10"/>
  <c r="L674" i="10"/>
  <c r="L670" i="10"/>
  <c r="L685" i="10"/>
  <c r="L679" i="10"/>
  <c r="L689" i="10"/>
  <c r="L683" i="10"/>
  <c r="L705" i="10"/>
  <c r="L671" i="10"/>
  <c r="L675" i="10"/>
  <c r="K713" i="10"/>
  <c r="K709" i="10"/>
  <c r="K705" i="10"/>
  <c r="K701" i="10"/>
  <c r="K697" i="10"/>
  <c r="K693" i="10"/>
  <c r="K689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5" i="10"/>
  <c r="K683" i="10"/>
  <c r="K679" i="10"/>
  <c r="K675" i="10"/>
  <c r="K671" i="10"/>
  <c r="K700" i="10"/>
  <c r="K684" i="10"/>
  <c r="K680" i="10"/>
  <c r="K676" i="10"/>
  <c r="K672" i="10"/>
  <c r="K668" i="10"/>
  <c r="K704" i="10"/>
  <c r="K688" i="10"/>
  <c r="K681" i="10"/>
  <c r="K677" i="10"/>
  <c r="K673" i="10"/>
  <c r="K669" i="10"/>
  <c r="K708" i="10"/>
  <c r="K682" i="10"/>
  <c r="K670" i="10"/>
  <c r="K674" i="10"/>
  <c r="K678" i="10"/>
  <c r="K692" i="10"/>
  <c r="M683" i="10" l="1"/>
  <c r="Z749" i="10" s="1"/>
  <c r="M670" i="10"/>
  <c r="Z736" i="10" s="1"/>
  <c r="M701" i="10"/>
  <c r="Z767" i="10" s="1"/>
  <c r="M681" i="10"/>
  <c r="Z747" i="10" s="1"/>
  <c r="M672" i="10"/>
  <c r="Z738" i="10" s="1"/>
  <c r="M693" i="10"/>
  <c r="Z759" i="10" s="1"/>
  <c r="M696" i="10"/>
  <c r="Z762" i="10" s="1"/>
  <c r="M712" i="10"/>
  <c r="Z778" i="10" s="1"/>
  <c r="M699" i="10"/>
  <c r="Z765" i="10" s="1"/>
  <c r="M698" i="10"/>
  <c r="Z764" i="10" s="1"/>
  <c r="M675" i="10"/>
  <c r="Z741" i="10" s="1"/>
  <c r="M689" i="10"/>
  <c r="Z755" i="10" s="1"/>
  <c r="M674" i="10"/>
  <c r="Z740" i="10" s="1"/>
  <c r="M669" i="10"/>
  <c r="Z735" i="10" s="1"/>
  <c r="M697" i="10"/>
  <c r="Z763" i="10" s="1"/>
  <c r="M676" i="10"/>
  <c r="Z742" i="10" s="1"/>
  <c r="M709" i="10"/>
  <c r="Z775" i="10" s="1"/>
  <c r="M700" i="10"/>
  <c r="Z766" i="10" s="1"/>
  <c r="M687" i="10"/>
  <c r="Z753" i="10" s="1"/>
  <c r="M703" i="10"/>
  <c r="Z769" i="10" s="1"/>
  <c r="M686" i="10"/>
  <c r="Z752" i="10" s="1"/>
  <c r="M702" i="10"/>
  <c r="Z768" i="10" s="1"/>
  <c r="K715" i="10"/>
  <c r="M671" i="10"/>
  <c r="Z737" i="10" s="1"/>
  <c r="M679" i="10"/>
  <c r="Z745" i="10" s="1"/>
  <c r="M678" i="10"/>
  <c r="Z744" i="10" s="1"/>
  <c r="M673" i="10"/>
  <c r="Z739" i="10" s="1"/>
  <c r="M713" i="10"/>
  <c r="M680" i="10"/>
  <c r="Z746" i="10" s="1"/>
  <c r="M688" i="10"/>
  <c r="Z754" i="10" s="1"/>
  <c r="M704" i="10"/>
  <c r="Z770" i="10" s="1"/>
  <c r="M691" i="10"/>
  <c r="Z757" i="10" s="1"/>
  <c r="M707" i="10"/>
  <c r="Z773" i="10" s="1"/>
  <c r="M690" i="10"/>
  <c r="Z756" i="10" s="1"/>
  <c r="M706" i="10"/>
  <c r="Z772" i="10" s="1"/>
  <c r="M705" i="10"/>
  <c r="Z771" i="10" s="1"/>
  <c r="M685" i="10"/>
  <c r="Z751" i="10" s="1"/>
  <c r="M682" i="10"/>
  <c r="Z748" i="10" s="1"/>
  <c r="M677" i="10"/>
  <c r="Z743" i="10" s="1"/>
  <c r="L715" i="10"/>
  <c r="M668" i="10"/>
  <c r="M684" i="10"/>
  <c r="Z750" i="10" s="1"/>
  <c r="M692" i="10"/>
  <c r="Z758" i="10" s="1"/>
  <c r="M708" i="10"/>
  <c r="Z774" i="10" s="1"/>
  <c r="M695" i="10"/>
  <c r="Z761" i="10" s="1"/>
  <c r="M711" i="10"/>
  <c r="Z777" i="10" s="1"/>
  <c r="M694" i="10"/>
  <c r="Z760" i="10" s="1"/>
  <c r="M710" i="10"/>
  <c r="Z776" i="10" s="1"/>
  <c r="M715" i="10" l="1"/>
  <c r="Z815" i="10" s="1"/>
  <c r="Z734" i="10"/>
  <c r="Z814" i="10" s="1"/>
  <c r="G92" i="9"/>
  <c r="P752" i="1"/>
  <c r="P815" i="1" s="1"/>
  <c r="CE76" i="1"/>
  <c r="CF76" i="1" l="1"/>
  <c r="BP52" i="1" s="1"/>
  <c r="BP67" i="1" s="1"/>
  <c r="D612" i="1"/>
  <c r="I380" i="9"/>
  <c r="AS52" i="1"/>
  <c r="AS67" i="1" s="1"/>
  <c r="BH52" i="1"/>
  <c r="BH67" i="1" s="1"/>
  <c r="P816" i="1"/>
  <c r="M52" i="1"/>
  <c r="M67" i="1" s="1"/>
  <c r="AK52" i="1"/>
  <c r="AK67" i="1" s="1"/>
  <c r="BV52" i="1"/>
  <c r="BV67" i="1" s="1"/>
  <c r="C52" i="1"/>
  <c r="BA52" i="1"/>
  <c r="BA67" i="1" s="1"/>
  <c r="AG52" i="1"/>
  <c r="AG67" i="1" s="1"/>
  <c r="BM52" i="1" l="1"/>
  <c r="BM67" i="1" s="1"/>
  <c r="J799" i="1"/>
  <c r="E305" i="9"/>
  <c r="BP71" i="1"/>
  <c r="J784" i="1"/>
  <c r="D241" i="9"/>
  <c r="BA71" i="1"/>
  <c r="J768" i="1"/>
  <c r="AK71" i="1"/>
  <c r="I145" i="9"/>
  <c r="C209" i="9"/>
  <c r="J776" i="1"/>
  <c r="AS71" i="1"/>
  <c r="AH52" i="1"/>
  <c r="AH67" i="1" s="1"/>
  <c r="BO52" i="1"/>
  <c r="BO67" i="1" s="1"/>
  <c r="K52" i="1"/>
  <c r="K67" i="1" s="1"/>
  <c r="P52" i="1"/>
  <c r="P67" i="1" s="1"/>
  <c r="BB52" i="1"/>
  <c r="BB67" i="1" s="1"/>
  <c r="CC52" i="1"/>
  <c r="CC67" i="1" s="1"/>
  <c r="BQ52" i="1"/>
  <c r="BQ67" i="1" s="1"/>
  <c r="BE52" i="1"/>
  <c r="BE67" i="1" s="1"/>
  <c r="I52" i="1"/>
  <c r="I67" i="1" s="1"/>
  <c r="BD52" i="1"/>
  <c r="BD67" i="1" s="1"/>
  <c r="L52" i="1"/>
  <c r="L67" i="1" s="1"/>
  <c r="AW52" i="1"/>
  <c r="AW67" i="1" s="1"/>
  <c r="BS52" i="1"/>
  <c r="BS67" i="1" s="1"/>
  <c r="BN52" i="1"/>
  <c r="BN67" i="1" s="1"/>
  <c r="BG52" i="1"/>
  <c r="BG67" i="1" s="1"/>
  <c r="AM52" i="1"/>
  <c r="AM67" i="1" s="1"/>
  <c r="E52" i="1"/>
  <c r="E67" i="1" s="1"/>
  <c r="E145" i="9"/>
  <c r="J764" i="1"/>
  <c r="AG71" i="1"/>
  <c r="C67" i="1"/>
  <c r="J805" i="1"/>
  <c r="D337" i="9"/>
  <c r="BV71" i="1"/>
  <c r="M71" i="1"/>
  <c r="J744" i="1"/>
  <c r="F49" i="9"/>
  <c r="I273" i="9"/>
  <c r="BM71" i="1"/>
  <c r="J796" i="1"/>
  <c r="D273" i="9"/>
  <c r="J791" i="1"/>
  <c r="BH71" i="1"/>
  <c r="AU52" i="1"/>
  <c r="AU67" i="1" s="1"/>
  <c r="V52" i="1"/>
  <c r="V67" i="1" s="1"/>
  <c r="N52" i="1"/>
  <c r="N67" i="1" s="1"/>
  <c r="D52" i="1"/>
  <c r="D67" i="1" s="1"/>
  <c r="AX52" i="1"/>
  <c r="AX67" i="1" s="1"/>
  <c r="T52" i="1"/>
  <c r="T67" i="1" s="1"/>
  <c r="BK52" i="1"/>
  <c r="BK67" i="1" s="1"/>
  <c r="AE52" i="1"/>
  <c r="AE67" i="1" s="1"/>
  <c r="AT52" i="1"/>
  <c r="AT67" i="1" s="1"/>
  <c r="AQ52" i="1"/>
  <c r="AQ67" i="1" s="1"/>
  <c r="AY52" i="1"/>
  <c r="AY67" i="1" s="1"/>
  <c r="AZ52" i="1"/>
  <c r="AZ67" i="1" s="1"/>
  <c r="R52" i="1"/>
  <c r="R67" i="1" s="1"/>
  <c r="BF52" i="1"/>
  <c r="BF67" i="1" s="1"/>
  <c r="X52" i="1"/>
  <c r="X67" i="1" s="1"/>
  <c r="BJ52" i="1"/>
  <c r="BJ67" i="1" s="1"/>
  <c r="BI52" i="1"/>
  <c r="BI67" i="1" s="1"/>
  <c r="AF52" i="1"/>
  <c r="AF67" i="1" s="1"/>
  <c r="F52" i="1"/>
  <c r="F67" i="1" s="1"/>
  <c r="H52" i="1"/>
  <c r="H67" i="1" s="1"/>
  <c r="CA52" i="1"/>
  <c r="CA67" i="1" s="1"/>
  <c r="AJ52" i="1"/>
  <c r="AJ67" i="1" s="1"/>
  <c r="BU52" i="1"/>
  <c r="BU67" i="1" s="1"/>
  <c r="Q52" i="1"/>
  <c r="Q67" i="1" s="1"/>
  <c r="AN52" i="1"/>
  <c r="AN67" i="1" s="1"/>
  <c r="AR52" i="1"/>
  <c r="AR67" i="1" s="1"/>
  <c r="W52" i="1"/>
  <c r="W67" i="1" s="1"/>
  <c r="U52" i="1"/>
  <c r="U67" i="1" s="1"/>
  <c r="O52" i="1"/>
  <c r="O67" i="1" s="1"/>
  <c r="AC52" i="1"/>
  <c r="AC67" i="1" s="1"/>
  <c r="BT52" i="1"/>
  <c r="BT67" i="1" s="1"/>
  <c r="BZ52" i="1"/>
  <c r="BZ67" i="1" s="1"/>
  <c r="BR52" i="1"/>
  <c r="BR67" i="1" s="1"/>
  <c r="BY52" i="1"/>
  <c r="BY67" i="1" s="1"/>
  <c r="AI52" i="1"/>
  <c r="AI67" i="1" s="1"/>
  <c r="AB52" i="1"/>
  <c r="AB67" i="1" s="1"/>
  <c r="AL52" i="1"/>
  <c r="AL67" i="1" s="1"/>
  <c r="S52" i="1"/>
  <c r="S67" i="1" s="1"/>
  <c r="BL52" i="1"/>
  <c r="BL67" i="1" s="1"/>
  <c r="BX52" i="1"/>
  <c r="BX67" i="1" s="1"/>
  <c r="G52" i="1"/>
  <c r="G67" i="1" s="1"/>
  <c r="BC52" i="1"/>
  <c r="BC67" i="1" s="1"/>
  <c r="AO52" i="1"/>
  <c r="AO67" i="1" s="1"/>
  <c r="CB52" i="1"/>
  <c r="CB67" i="1" s="1"/>
  <c r="AD52" i="1"/>
  <c r="AD67" i="1" s="1"/>
  <c r="AP52" i="1"/>
  <c r="AP67" i="1" s="1"/>
  <c r="Z52" i="1"/>
  <c r="Z67" i="1" s="1"/>
  <c r="AA52" i="1"/>
  <c r="AA67" i="1" s="1"/>
  <c r="BW52" i="1"/>
  <c r="BW67" i="1" s="1"/>
  <c r="Y52" i="1"/>
  <c r="Y67" i="1" s="1"/>
  <c r="J52" i="1"/>
  <c r="J67" i="1" s="1"/>
  <c r="AV52" i="1"/>
  <c r="AV67" i="1" s="1"/>
  <c r="G337" i="9" l="1"/>
  <c r="J808" i="1"/>
  <c r="BY71" i="1"/>
  <c r="AF71" i="1"/>
  <c r="J763" i="1"/>
  <c r="D145" i="9"/>
  <c r="C213" i="9"/>
  <c r="C538" i="1"/>
  <c r="G538" i="1" s="1"/>
  <c r="C710" i="1"/>
  <c r="J806" i="1"/>
  <c r="BW71" i="1"/>
  <c r="E337" i="9"/>
  <c r="C177" i="9"/>
  <c r="J769" i="1"/>
  <c r="AL71" i="1"/>
  <c r="E177" i="9"/>
  <c r="J771" i="1"/>
  <c r="AN71" i="1"/>
  <c r="J810" i="1"/>
  <c r="CA71" i="1"/>
  <c r="I337" i="9"/>
  <c r="E273" i="9"/>
  <c r="BI71" i="1"/>
  <c r="J792" i="1"/>
  <c r="J749" i="1"/>
  <c r="D81" i="9"/>
  <c r="R71" i="1"/>
  <c r="D209" i="9"/>
  <c r="J777" i="1"/>
  <c r="AT71" i="1"/>
  <c r="J781" i="1"/>
  <c r="H209" i="9"/>
  <c r="AX71" i="1"/>
  <c r="J778" i="1"/>
  <c r="E209" i="9"/>
  <c r="AU71" i="1"/>
  <c r="J790" i="1"/>
  <c r="C273" i="9"/>
  <c r="BG71" i="1"/>
  <c r="E49" i="9"/>
  <c r="L71" i="1"/>
  <c r="J743" i="1"/>
  <c r="F305" i="9"/>
  <c r="J800" i="1"/>
  <c r="BQ71" i="1"/>
  <c r="D49" i="9"/>
  <c r="J742" i="1"/>
  <c r="K71" i="1"/>
  <c r="E309" i="9"/>
  <c r="C561" i="1"/>
  <c r="C621" i="1"/>
  <c r="AP71" i="1"/>
  <c r="J773" i="1"/>
  <c r="G177" i="9"/>
  <c r="J750" i="1"/>
  <c r="E81" i="9"/>
  <c r="S71" i="1"/>
  <c r="J775" i="1"/>
  <c r="AR71" i="1"/>
  <c r="I177" i="9"/>
  <c r="I241" i="9"/>
  <c r="J789" i="1"/>
  <c r="BF71" i="1"/>
  <c r="J753" i="1"/>
  <c r="H81" i="9"/>
  <c r="V71" i="1"/>
  <c r="J770" i="1"/>
  <c r="AM71" i="1"/>
  <c r="D177" i="9"/>
  <c r="H241" i="9"/>
  <c r="J788" i="1"/>
  <c r="BE71" i="1"/>
  <c r="C702" i="1"/>
  <c r="I149" i="9"/>
  <c r="C530" i="1"/>
  <c r="G530" i="1" s="1"/>
  <c r="G17" i="9"/>
  <c r="J738" i="1"/>
  <c r="G71" i="1"/>
  <c r="J746" i="1"/>
  <c r="H49" i="9"/>
  <c r="O71" i="1"/>
  <c r="F113" i="9"/>
  <c r="J758" i="1"/>
  <c r="AA71" i="1"/>
  <c r="J807" i="1"/>
  <c r="BX71" i="1"/>
  <c r="F337" i="9"/>
  <c r="J752" i="1"/>
  <c r="G81" i="9"/>
  <c r="U71" i="1"/>
  <c r="H17" i="9"/>
  <c r="J739" i="1"/>
  <c r="H71" i="1"/>
  <c r="J783" i="1"/>
  <c r="AZ71" i="1"/>
  <c r="C241" i="9"/>
  <c r="C145" i="9"/>
  <c r="J762" i="1"/>
  <c r="AE71" i="1"/>
  <c r="J735" i="1"/>
  <c r="D17" i="9"/>
  <c r="D71" i="1"/>
  <c r="D277" i="9"/>
  <c r="C553" i="1"/>
  <c r="C636" i="1"/>
  <c r="C638" i="1"/>
  <c r="C558" i="1"/>
  <c r="I277" i="9"/>
  <c r="F53" i="9"/>
  <c r="C506" i="1"/>
  <c r="G506" i="1" s="1"/>
  <c r="C678" i="1"/>
  <c r="C71" i="1"/>
  <c r="CE67" i="1"/>
  <c r="J734" i="1"/>
  <c r="C17" i="9"/>
  <c r="C305" i="9"/>
  <c r="BN71" i="1"/>
  <c r="J797" i="1"/>
  <c r="G241" i="9"/>
  <c r="J787" i="1"/>
  <c r="BD71" i="1"/>
  <c r="J812" i="1"/>
  <c r="D369" i="9"/>
  <c r="CC71" i="1"/>
  <c r="D305" i="9"/>
  <c r="J798" i="1"/>
  <c r="BO71" i="1"/>
  <c r="D245" i="9"/>
  <c r="C546" i="1"/>
  <c r="C630" i="1"/>
  <c r="J756" i="1"/>
  <c r="D113" i="9"/>
  <c r="Y71" i="1"/>
  <c r="F241" i="9"/>
  <c r="J786" i="1"/>
  <c r="BC71" i="1"/>
  <c r="J760" i="1"/>
  <c r="H113" i="9"/>
  <c r="AC71" i="1"/>
  <c r="AJ71" i="1"/>
  <c r="J767" i="1"/>
  <c r="H145" i="9"/>
  <c r="H177" i="9"/>
  <c r="J774" i="1"/>
  <c r="AQ71" i="1"/>
  <c r="F81" i="9"/>
  <c r="J751" i="1"/>
  <c r="T71" i="1"/>
  <c r="C698" i="1"/>
  <c r="E149" i="9"/>
  <c r="C526" i="1"/>
  <c r="G209" i="9"/>
  <c r="J780" i="1"/>
  <c r="AW71" i="1"/>
  <c r="I49" i="9"/>
  <c r="J747" i="1"/>
  <c r="P71" i="1"/>
  <c r="AD71" i="1"/>
  <c r="I113" i="9"/>
  <c r="J761" i="1"/>
  <c r="J801" i="1"/>
  <c r="G305" i="9"/>
  <c r="BR71" i="1"/>
  <c r="AV71" i="1"/>
  <c r="F209" i="9"/>
  <c r="J779" i="1"/>
  <c r="C369" i="9"/>
  <c r="J811" i="1"/>
  <c r="CB71" i="1"/>
  <c r="J759" i="1"/>
  <c r="G113" i="9"/>
  <c r="AB71" i="1"/>
  <c r="H337" i="9"/>
  <c r="BZ71" i="1"/>
  <c r="J809" i="1"/>
  <c r="C81" i="9"/>
  <c r="Q71" i="1"/>
  <c r="J748" i="1"/>
  <c r="J793" i="1"/>
  <c r="F273" i="9"/>
  <c r="BJ71" i="1"/>
  <c r="C49" i="9"/>
  <c r="J741" i="1"/>
  <c r="J71" i="1"/>
  <c r="E113" i="9"/>
  <c r="J757" i="1"/>
  <c r="Z71" i="1"/>
  <c r="F177" i="9"/>
  <c r="J772" i="1"/>
  <c r="AO71" i="1"/>
  <c r="H273" i="9"/>
  <c r="J795" i="1"/>
  <c r="BL71" i="1"/>
  <c r="AI71" i="1"/>
  <c r="J766" i="1"/>
  <c r="G145" i="9"/>
  <c r="J803" i="1"/>
  <c r="BT71" i="1"/>
  <c r="I305" i="9"/>
  <c r="J754" i="1"/>
  <c r="I81" i="9"/>
  <c r="W71" i="1"/>
  <c r="C337" i="9"/>
  <c r="J804" i="1"/>
  <c r="BU71" i="1"/>
  <c r="F17" i="9"/>
  <c r="J737" i="1"/>
  <c r="F71" i="1"/>
  <c r="J755" i="1"/>
  <c r="X71" i="1"/>
  <c r="C113" i="9"/>
  <c r="J782" i="1"/>
  <c r="I209" i="9"/>
  <c r="AY71" i="1"/>
  <c r="BK71" i="1"/>
  <c r="J794" i="1"/>
  <c r="G273" i="9"/>
  <c r="J745" i="1"/>
  <c r="G49" i="9"/>
  <c r="N71" i="1"/>
  <c r="C642" i="1"/>
  <c r="C567" i="1"/>
  <c r="D341" i="9"/>
  <c r="CE52" i="1"/>
  <c r="E71" i="1"/>
  <c r="E17" i="9"/>
  <c r="J736" i="1"/>
  <c r="J802" i="1"/>
  <c r="BS71" i="1"/>
  <c r="H305" i="9"/>
  <c r="I17" i="9"/>
  <c r="J740" i="1"/>
  <c r="I71" i="1"/>
  <c r="BB71" i="1"/>
  <c r="J785" i="1"/>
  <c r="E241" i="9"/>
  <c r="J765" i="1"/>
  <c r="F145" i="9"/>
  <c r="AH71" i="1"/>
  <c r="C713" i="1" l="1"/>
  <c r="C541" i="1"/>
  <c r="F213" i="9"/>
  <c r="C701" i="1"/>
  <c r="C529" i="1"/>
  <c r="H149" i="9"/>
  <c r="C668" i="1"/>
  <c r="C21" i="9"/>
  <c r="C496" i="1"/>
  <c r="F117" i="9"/>
  <c r="C692" i="1"/>
  <c r="C520" i="1"/>
  <c r="H245" i="9"/>
  <c r="C550" i="1"/>
  <c r="C614" i="1"/>
  <c r="D181" i="9"/>
  <c r="C704" i="1"/>
  <c r="C532" i="1"/>
  <c r="G532" i="1" s="1"/>
  <c r="G181" i="9"/>
  <c r="C707" i="1"/>
  <c r="C535" i="1"/>
  <c r="C676" i="1"/>
  <c r="C504" i="1"/>
  <c r="G504" i="1" s="1"/>
  <c r="D53" i="9"/>
  <c r="E213" i="9"/>
  <c r="C712" i="1"/>
  <c r="C540" i="1"/>
  <c r="G540" i="1" s="1"/>
  <c r="I341" i="9"/>
  <c r="C572" i="1"/>
  <c r="C647" i="1"/>
  <c r="D149" i="9"/>
  <c r="C697" i="1"/>
  <c r="C525" i="1"/>
  <c r="G525" i="1" s="1"/>
  <c r="F149" i="9"/>
  <c r="C699" i="1"/>
  <c r="C527" i="1"/>
  <c r="C635" i="1"/>
  <c r="G277" i="9"/>
  <c r="C556" i="1"/>
  <c r="C691" i="1"/>
  <c r="E117" i="9"/>
  <c r="C519" i="1"/>
  <c r="C563" i="1"/>
  <c r="G309" i="9"/>
  <c r="C626" i="1"/>
  <c r="G526" i="1"/>
  <c r="H526" i="1" s="1"/>
  <c r="H117" i="9"/>
  <c r="C694" i="1"/>
  <c r="C522" i="1"/>
  <c r="C560" i="1"/>
  <c r="D309" i="9"/>
  <c r="C627" i="1"/>
  <c r="C149" i="9"/>
  <c r="C696" i="1"/>
  <c r="C524" i="1"/>
  <c r="C628" i="1"/>
  <c r="C545" i="1"/>
  <c r="C245" i="9"/>
  <c r="I245" i="9"/>
  <c r="C551" i="1"/>
  <c r="C629" i="1"/>
  <c r="C709" i="1"/>
  <c r="I181" i="9"/>
  <c r="C537" i="1"/>
  <c r="C277" i="9"/>
  <c r="C552" i="1"/>
  <c r="C618" i="1"/>
  <c r="D85" i="9"/>
  <c r="C683" i="1"/>
  <c r="C511" i="1"/>
  <c r="C634" i="1"/>
  <c r="C554" i="1"/>
  <c r="E277" i="9"/>
  <c r="C703" i="1"/>
  <c r="C181" i="9"/>
  <c r="C531" i="1"/>
  <c r="C643" i="1"/>
  <c r="E341" i="9"/>
  <c r="C568" i="1"/>
  <c r="G341" i="9"/>
  <c r="C570" i="1"/>
  <c r="C645" i="1"/>
  <c r="C671" i="1"/>
  <c r="F21" i="9"/>
  <c r="C499" i="1"/>
  <c r="G499" i="1" s="1"/>
  <c r="C548" i="1"/>
  <c r="F245" i="9"/>
  <c r="C633" i="1"/>
  <c r="C547" i="1"/>
  <c r="E245" i="9"/>
  <c r="C632" i="1"/>
  <c r="G149" i="9"/>
  <c r="C700" i="1"/>
  <c r="C528" i="1"/>
  <c r="C695" i="1"/>
  <c r="I117" i="9"/>
  <c r="C523" i="1"/>
  <c r="G523" i="1" s="1"/>
  <c r="J815" i="1"/>
  <c r="D21" i="9"/>
  <c r="C669" i="1"/>
  <c r="C497" i="1"/>
  <c r="G497" i="1" s="1"/>
  <c r="G85" i="9"/>
  <c r="C514" i="1"/>
  <c r="C686" i="1"/>
  <c r="C644" i="1"/>
  <c r="F341" i="9"/>
  <c r="C569" i="1"/>
  <c r="G21" i="9"/>
  <c r="C672" i="1"/>
  <c r="C500" i="1"/>
  <c r="G500" i="1" s="1"/>
  <c r="C687" i="1"/>
  <c r="C515" i="1"/>
  <c r="H85" i="9"/>
  <c r="D213" i="9"/>
  <c r="C711" i="1"/>
  <c r="C539" i="1"/>
  <c r="G539" i="1" s="1"/>
  <c r="C705" i="1"/>
  <c r="E181" i="9"/>
  <c r="C533" i="1"/>
  <c r="G533" i="1" s="1"/>
  <c r="G53" i="9"/>
  <c r="C679" i="1"/>
  <c r="C507" i="1"/>
  <c r="G507" i="1" s="1"/>
  <c r="C53" i="9"/>
  <c r="C503" i="1"/>
  <c r="C675" i="1"/>
  <c r="C693" i="1"/>
  <c r="G117" i="9"/>
  <c r="C521" i="1"/>
  <c r="C685" i="1"/>
  <c r="F85" i="9"/>
  <c r="C513" i="1"/>
  <c r="D373" i="9"/>
  <c r="C574" i="1"/>
  <c r="C620" i="1"/>
  <c r="I213" i="9"/>
  <c r="C544" i="1"/>
  <c r="C625" i="1"/>
  <c r="C689" i="1"/>
  <c r="C117" i="9"/>
  <c r="C517" i="1"/>
  <c r="C688" i="1"/>
  <c r="I85" i="9"/>
  <c r="C516" i="1"/>
  <c r="C640" i="1"/>
  <c r="C565" i="1"/>
  <c r="I309" i="9"/>
  <c r="F181" i="9"/>
  <c r="C534" i="1"/>
  <c r="G534" i="1" s="1"/>
  <c r="C706" i="1"/>
  <c r="H341" i="9"/>
  <c r="C571" i="1"/>
  <c r="C646" i="1"/>
  <c r="G213" i="9"/>
  <c r="C542" i="1"/>
  <c r="C631" i="1"/>
  <c r="C674" i="1"/>
  <c r="I21" i="9"/>
  <c r="C502" i="1"/>
  <c r="G502" i="1" s="1"/>
  <c r="C564" i="1"/>
  <c r="C639" i="1"/>
  <c r="H309" i="9"/>
  <c r="C670" i="1"/>
  <c r="C498" i="1"/>
  <c r="E21" i="9"/>
  <c r="C566" i="1"/>
  <c r="C641" i="1"/>
  <c r="C341" i="9"/>
  <c r="C557" i="1"/>
  <c r="C637" i="1"/>
  <c r="H277" i="9"/>
  <c r="C617" i="1"/>
  <c r="F277" i="9"/>
  <c r="C555" i="1"/>
  <c r="C510" i="1"/>
  <c r="C85" i="9"/>
  <c r="C682" i="1"/>
  <c r="C622" i="1"/>
  <c r="C373" i="9"/>
  <c r="C573" i="1"/>
  <c r="C681" i="1"/>
  <c r="I53" i="9"/>
  <c r="C509" i="1"/>
  <c r="C708" i="1"/>
  <c r="H181" i="9"/>
  <c r="C536" i="1"/>
  <c r="G536" i="1" s="1"/>
  <c r="C690" i="1"/>
  <c r="D117" i="9"/>
  <c r="C518" i="1"/>
  <c r="H546" i="1"/>
  <c r="G546" i="1"/>
  <c r="C549" i="1"/>
  <c r="G245" i="9"/>
  <c r="C624" i="1"/>
  <c r="C309" i="9"/>
  <c r="C559" i="1"/>
  <c r="C619" i="1"/>
  <c r="I369" i="9"/>
  <c r="J816" i="1"/>
  <c r="CE71" i="1"/>
  <c r="C433" i="1"/>
  <c r="C441" i="1" s="1"/>
  <c r="C673" i="1"/>
  <c r="H21" i="9"/>
  <c r="C501" i="1"/>
  <c r="G501" i="1" s="1"/>
  <c r="H53" i="9"/>
  <c r="C680" i="1"/>
  <c r="C508" i="1"/>
  <c r="C684" i="1"/>
  <c r="C512" i="1"/>
  <c r="E85" i="9"/>
  <c r="C623" i="1"/>
  <c r="C562" i="1"/>
  <c r="F309" i="9"/>
  <c r="C505" i="1"/>
  <c r="G505" i="1" s="1"/>
  <c r="E53" i="9"/>
  <c r="C677" i="1"/>
  <c r="H213" i="9"/>
  <c r="C543" i="1"/>
  <c r="C616" i="1"/>
  <c r="G518" i="1" l="1"/>
  <c r="H518" i="1" s="1"/>
  <c r="G508" i="1"/>
  <c r="H508" i="1" s="1"/>
  <c r="G509" i="1"/>
  <c r="H509" i="1" s="1"/>
  <c r="G510" i="1"/>
  <c r="H510" i="1" s="1"/>
  <c r="G516" i="1"/>
  <c r="H516" i="1" s="1"/>
  <c r="G513" i="1"/>
  <c r="H513" i="1"/>
  <c r="G514" i="1"/>
  <c r="H514" i="1" s="1"/>
  <c r="G524" i="1"/>
  <c r="H524" i="1" s="1"/>
  <c r="H527" i="1"/>
  <c r="G527" i="1"/>
  <c r="G520" i="1"/>
  <c r="H520" i="1" s="1"/>
  <c r="G528" i="1"/>
  <c r="H528" i="1" s="1"/>
  <c r="G511" i="1"/>
  <c r="H511" i="1" s="1"/>
  <c r="C648" i="1"/>
  <c r="M716" i="1" s="1"/>
  <c r="Y816" i="1" s="1"/>
  <c r="D615" i="1"/>
  <c r="C715" i="1"/>
  <c r="G545" i="1"/>
  <c r="H545" i="1"/>
  <c r="G522" i="1"/>
  <c r="H522" i="1" s="1"/>
  <c r="G519" i="1"/>
  <c r="H519" i="1"/>
  <c r="G550" i="1"/>
  <c r="H550" i="1" s="1"/>
  <c r="G512" i="1"/>
  <c r="H512" i="1"/>
  <c r="I373" i="9"/>
  <c r="C716" i="1"/>
  <c r="G498" i="1"/>
  <c r="H498" i="1" s="1"/>
  <c r="G517" i="1"/>
  <c r="H517" i="1" s="1"/>
  <c r="G544" i="1"/>
  <c r="H544" i="1"/>
  <c r="G521" i="1"/>
  <c r="H521" i="1"/>
  <c r="G503" i="1"/>
  <c r="H503" i="1" s="1"/>
  <c r="G515" i="1"/>
  <c r="H515" i="1" s="1"/>
  <c r="H531" i="1"/>
  <c r="G531" i="1"/>
  <c r="G537" i="1"/>
  <c r="H537" i="1" s="1"/>
  <c r="G535" i="1"/>
  <c r="H535" i="1"/>
  <c r="G496" i="1"/>
  <c r="H496" i="1" s="1"/>
  <c r="G529" i="1"/>
  <c r="H529" i="1" s="1"/>
  <c r="D631" i="1" l="1"/>
  <c r="D630" i="1"/>
  <c r="D626" i="1"/>
  <c r="D641" i="1"/>
  <c r="D629" i="1"/>
  <c r="D647" i="1"/>
  <c r="D621" i="1"/>
  <c r="D716" i="1"/>
  <c r="D617" i="1"/>
  <c r="D645" i="1"/>
  <c r="D638" i="1"/>
  <c r="D644" i="1"/>
  <c r="D636" i="1"/>
  <c r="D625" i="1"/>
  <c r="D640" i="1"/>
  <c r="D620" i="1"/>
  <c r="D646" i="1"/>
  <c r="D619" i="1"/>
  <c r="D622" i="1"/>
  <c r="D618" i="1"/>
  <c r="D642" i="1"/>
  <c r="D637" i="1"/>
  <c r="D632" i="1"/>
  <c r="D634" i="1"/>
  <c r="D633" i="1"/>
  <c r="D628" i="1"/>
  <c r="D635" i="1"/>
  <c r="D624" i="1"/>
  <c r="D627" i="1"/>
  <c r="D623" i="1"/>
  <c r="D639" i="1"/>
  <c r="D708" i="1"/>
  <c r="D681" i="1"/>
  <c r="D692" i="1"/>
  <c r="D710" i="1"/>
  <c r="D687" i="1"/>
  <c r="D694" i="1"/>
  <c r="D668" i="1"/>
  <c r="D688" i="1"/>
  <c r="D705" i="1"/>
  <c r="D695" i="1"/>
  <c r="D701" i="1"/>
  <c r="D697" i="1"/>
  <c r="D703" i="1"/>
  <c r="D672" i="1"/>
  <c r="D671" i="1"/>
  <c r="D696" i="1"/>
  <c r="D699" i="1"/>
  <c r="D712" i="1"/>
  <c r="D713" i="1"/>
  <c r="D683" i="1"/>
  <c r="D643" i="1"/>
  <c r="D700" i="1"/>
  <c r="D711" i="1"/>
  <c r="D706" i="1"/>
  <c r="D698" i="1"/>
  <c r="D704" i="1"/>
  <c r="D673" i="1"/>
  <c r="D682" i="1"/>
  <c r="D678" i="1"/>
  <c r="D693" i="1"/>
  <c r="D679" i="1"/>
  <c r="D686" i="1"/>
  <c r="D674" i="1"/>
  <c r="D685" i="1"/>
  <c r="D689" i="1"/>
  <c r="D677" i="1"/>
  <c r="D684" i="1"/>
  <c r="D670" i="1"/>
  <c r="D675" i="1"/>
  <c r="D680" i="1"/>
  <c r="D702" i="1"/>
  <c r="D709" i="1"/>
  <c r="D691" i="1"/>
  <c r="D616" i="1"/>
  <c r="D676" i="1"/>
  <c r="D669" i="1"/>
  <c r="D690" i="1"/>
  <c r="D707" i="1"/>
  <c r="E612" i="1" l="1"/>
  <c r="D715" i="1"/>
  <c r="E623" i="1"/>
  <c r="E688" i="1" l="1"/>
  <c r="E697" i="1"/>
  <c r="E637" i="1"/>
  <c r="E634" i="1"/>
  <c r="E694" i="1"/>
  <c r="E636" i="1"/>
  <c r="E679" i="1"/>
  <c r="E674" i="1"/>
  <c r="E642" i="1"/>
  <c r="E703" i="1"/>
  <c r="E710" i="1"/>
  <c r="E646" i="1"/>
  <c r="E680" i="1"/>
  <c r="E626" i="1"/>
  <c r="E635" i="1"/>
  <c r="E716" i="1"/>
  <c r="E686" i="1"/>
  <c r="E671" i="1"/>
  <c r="E631" i="1"/>
  <c r="E675" i="1"/>
  <c r="E702" i="1"/>
  <c r="E628" i="1"/>
  <c r="E707" i="1"/>
  <c r="E645" i="1"/>
  <c r="E629" i="1"/>
  <c r="E706" i="1"/>
  <c r="E627" i="1"/>
  <c r="E690" i="1"/>
  <c r="E709" i="1"/>
  <c r="E701" i="1"/>
  <c r="E699" i="1"/>
  <c r="E712" i="1"/>
  <c r="E692" i="1"/>
  <c r="E640" i="1"/>
  <c r="E705" i="1"/>
  <c r="E691" i="1"/>
  <c r="E689" i="1"/>
  <c r="E669" i="1"/>
  <c r="E685" i="1"/>
  <c r="E708" i="1"/>
  <c r="E638" i="1"/>
  <c r="E639" i="1"/>
  <c r="E676" i="1"/>
  <c r="E713" i="1"/>
  <c r="E695" i="1"/>
  <c r="E700" i="1"/>
  <c r="E711" i="1"/>
  <c r="E696" i="1"/>
  <c r="E687" i="1"/>
  <c r="E672" i="1"/>
  <c r="E670" i="1"/>
  <c r="E682" i="1"/>
  <c r="E630" i="1"/>
  <c r="E698" i="1"/>
  <c r="E681" i="1"/>
  <c r="E684" i="1"/>
  <c r="E641" i="1"/>
  <c r="E644" i="1"/>
  <c r="E704" i="1"/>
  <c r="E693" i="1"/>
  <c r="E677" i="1"/>
  <c r="E678" i="1"/>
  <c r="E643" i="1"/>
  <c r="E668" i="1"/>
  <c r="E632" i="1"/>
  <c r="E633" i="1"/>
  <c r="E647" i="1"/>
  <c r="E683" i="1"/>
  <c r="E625" i="1"/>
  <c r="E673" i="1"/>
  <c r="E624" i="1"/>
  <c r="E715" i="1" l="1"/>
  <c r="F624" i="1"/>
  <c r="F636" i="1" l="1"/>
  <c r="F672" i="1"/>
  <c r="F642" i="1"/>
  <c r="F646" i="1"/>
  <c r="F668" i="1"/>
  <c r="F702" i="1"/>
  <c r="F670" i="1"/>
  <c r="F639" i="1"/>
  <c r="F679" i="1"/>
  <c r="F690" i="1"/>
  <c r="F629" i="1"/>
  <c r="F701" i="1"/>
  <c r="F631" i="1"/>
  <c r="F691" i="1"/>
  <c r="F684" i="1"/>
  <c r="F643" i="1"/>
  <c r="F697" i="1"/>
  <c r="F626" i="1"/>
  <c r="F633" i="1"/>
  <c r="F692" i="1"/>
  <c r="F627" i="1"/>
  <c r="F707" i="1"/>
  <c r="F700" i="1"/>
  <c r="F705" i="1"/>
  <c r="F634" i="1"/>
  <c r="F686" i="1"/>
  <c r="F687" i="1"/>
  <c r="F712" i="1"/>
  <c r="F685" i="1"/>
  <c r="F713" i="1"/>
  <c r="F682" i="1"/>
  <c r="F716" i="1"/>
  <c r="F711" i="1"/>
  <c r="F704" i="1"/>
  <c r="F638" i="1"/>
  <c r="F640" i="1"/>
  <c r="F632" i="1"/>
  <c r="F678" i="1"/>
  <c r="F669" i="1"/>
  <c r="F698" i="1"/>
  <c r="F699" i="1"/>
  <c r="F635" i="1"/>
  <c r="F694" i="1"/>
  <c r="F708" i="1"/>
  <c r="F703" i="1"/>
  <c r="F628" i="1"/>
  <c r="F696" i="1"/>
  <c r="F710" i="1"/>
  <c r="F673" i="1"/>
  <c r="F644" i="1"/>
  <c r="F677" i="1"/>
  <c r="F689" i="1"/>
  <c r="F645" i="1"/>
  <c r="F706" i="1"/>
  <c r="F688" i="1"/>
  <c r="F675" i="1"/>
  <c r="F630" i="1"/>
  <c r="F625" i="1"/>
  <c r="F693" i="1"/>
  <c r="F674" i="1"/>
  <c r="F637" i="1"/>
  <c r="F680" i="1"/>
  <c r="F683" i="1"/>
  <c r="F671" i="1"/>
  <c r="F676" i="1"/>
  <c r="F709" i="1"/>
  <c r="F641" i="1"/>
  <c r="F681" i="1"/>
  <c r="F695" i="1"/>
  <c r="F647" i="1"/>
  <c r="F715" i="1" l="1"/>
  <c r="G625" i="1"/>
  <c r="G681" i="1" l="1"/>
  <c r="G634" i="1"/>
  <c r="G712" i="1"/>
  <c r="G644" i="1"/>
  <c r="G696" i="1"/>
  <c r="G710" i="1"/>
  <c r="G689" i="1"/>
  <c r="G684" i="1"/>
  <c r="G688" i="1"/>
  <c r="G691" i="1"/>
  <c r="G680" i="1"/>
  <c r="G677" i="1"/>
  <c r="G709" i="1"/>
  <c r="G674" i="1"/>
  <c r="G716" i="1"/>
  <c r="G701" i="1"/>
  <c r="G706" i="1"/>
  <c r="G629" i="1"/>
  <c r="G711" i="1"/>
  <c r="G642" i="1"/>
  <c r="G693" i="1"/>
  <c r="G685" i="1"/>
  <c r="G630" i="1"/>
  <c r="G705" i="1"/>
  <c r="G627" i="1"/>
  <c r="G694" i="1"/>
  <c r="G713" i="1"/>
  <c r="G639" i="1"/>
  <c r="G687" i="1"/>
  <c r="G699" i="1"/>
  <c r="G683" i="1"/>
  <c r="G636" i="1"/>
  <c r="G703" i="1"/>
  <c r="G647" i="1"/>
  <c r="G690" i="1"/>
  <c r="G635" i="1"/>
  <c r="G702" i="1"/>
  <c r="G668" i="1"/>
  <c r="G631" i="1"/>
  <c r="G676" i="1"/>
  <c r="G632" i="1"/>
  <c r="G673" i="1"/>
  <c r="G708" i="1"/>
  <c r="G679" i="1"/>
  <c r="G628" i="1"/>
  <c r="G670" i="1"/>
  <c r="G638" i="1"/>
  <c r="G637" i="1"/>
  <c r="G704" i="1"/>
  <c r="G682" i="1"/>
  <c r="G700" i="1"/>
  <c r="G698" i="1"/>
  <c r="G695" i="1"/>
  <c r="G641" i="1"/>
  <c r="G692" i="1"/>
  <c r="G626" i="1"/>
  <c r="G645" i="1"/>
  <c r="G672" i="1"/>
  <c r="G671" i="1"/>
  <c r="G646" i="1"/>
  <c r="G686" i="1"/>
  <c r="G633" i="1"/>
  <c r="G707" i="1"/>
  <c r="G675" i="1"/>
  <c r="G697" i="1"/>
  <c r="G669" i="1"/>
  <c r="G678" i="1"/>
  <c r="G640" i="1"/>
  <c r="G643" i="1"/>
  <c r="G715" i="1" l="1"/>
  <c r="H628" i="1"/>
  <c r="H705" i="1" l="1"/>
  <c r="H683" i="1"/>
  <c r="H713" i="1"/>
  <c r="H694" i="1"/>
  <c r="H686" i="1"/>
  <c r="H697" i="1"/>
  <c r="H703" i="1"/>
  <c r="H709" i="1"/>
  <c r="H696" i="1"/>
  <c r="H687" i="1"/>
  <c r="H636" i="1"/>
  <c r="H638" i="1"/>
  <c r="H635" i="1"/>
  <c r="H708" i="1"/>
  <c r="H631" i="1"/>
  <c r="H675" i="1"/>
  <c r="H704" i="1"/>
  <c r="H688" i="1"/>
  <c r="H711" i="1"/>
  <c r="H671" i="1"/>
  <c r="H633" i="1"/>
  <c r="H699" i="1"/>
  <c r="H632" i="1"/>
  <c r="H674" i="1"/>
  <c r="H676" i="1"/>
  <c r="H669" i="1"/>
  <c r="H634" i="1"/>
  <c r="H701" i="1"/>
  <c r="H678" i="1"/>
  <c r="H691" i="1"/>
  <c r="H670" i="1"/>
  <c r="H692" i="1"/>
  <c r="H698" i="1"/>
  <c r="H680" i="1"/>
  <c r="H706" i="1"/>
  <c r="H716" i="1"/>
  <c r="H689" i="1"/>
  <c r="H710" i="1"/>
  <c r="H673" i="1"/>
  <c r="H690" i="1"/>
  <c r="H672" i="1"/>
  <c r="H685" i="1"/>
  <c r="H677" i="1"/>
  <c r="H642" i="1"/>
  <c r="H637" i="1"/>
  <c r="H640" i="1"/>
  <c r="H644" i="1"/>
  <c r="H629" i="1"/>
  <c r="H679" i="1"/>
  <c r="H641" i="1"/>
  <c r="H639" i="1"/>
  <c r="H646" i="1"/>
  <c r="H693" i="1"/>
  <c r="H668" i="1"/>
  <c r="H681" i="1"/>
  <c r="H707" i="1"/>
  <c r="H695" i="1"/>
  <c r="H647" i="1"/>
  <c r="H700" i="1"/>
  <c r="H712" i="1"/>
  <c r="H630" i="1"/>
  <c r="H702" i="1"/>
  <c r="H645" i="1"/>
  <c r="H643" i="1"/>
  <c r="H684" i="1"/>
  <c r="H682" i="1"/>
  <c r="H715" i="1" l="1"/>
  <c r="I629" i="1"/>
  <c r="I699" i="1" l="1"/>
  <c r="I636" i="1"/>
  <c r="I706" i="1"/>
  <c r="I700" i="1"/>
  <c r="I713" i="1"/>
  <c r="I637" i="1"/>
  <c r="I701" i="1"/>
  <c r="I698" i="1"/>
  <c r="I709" i="1"/>
  <c r="I688" i="1"/>
  <c r="I690" i="1"/>
  <c r="I674" i="1"/>
  <c r="I670" i="1"/>
  <c r="I681" i="1"/>
  <c r="I646" i="1"/>
  <c r="I710" i="1"/>
  <c r="I692" i="1"/>
  <c r="I677" i="1"/>
  <c r="I704" i="1"/>
  <c r="I644" i="1"/>
  <c r="I708" i="1"/>
  <c r="I643" i="1"/>
  <c r="I712" i="1"/>
  <c r="I685" i="1"/>
  <c r="I634" i="1"/>
  <c r="I689" i="1"/>
  <c r="I631" i="1"/>
  <c r="I691" i="1"/>
  <c r="I630" i="1"/>
  <c r="I693" i="1"/>
  <c r="I669" i="1"/>
  <c r="I642" i="1"/>
  <c r="I696" i="1"/>
  <c r="I695" i="1"/>
  <c r="I678" i="1"/>
  <c r="I702" i="1"/>
  <c r="I679" i="1"/>
  <c r="I639" i="1"/>
  <c r="I707" i="1"/>
  <c r="I668" i="1"/>
  <c r="I682" i="1"/>
  <c r="I633" i="1"/>
  <c r="I683" i="1"/>
  <c r="I687" i="1"/>
  <c r="I680" i="1"/>
  <c r="I647" i="1"/>
  <c r="I645" i="1"/>
  <c r="I638" i="1"/>
  <c r="I672" i="1"/>
  <c r="I684" i="1"/>
  <c r="I686" i="1"/>
  <c r="I640" i="1"/>
  <c r="I703" i="1"/>
  <c r="I676" i="1"/>
  <c r="I632" i="1"/>
  <c r="I675" i="1"/>
  <c r="I635" i="1"/>
  <c r="I641" i="1"/>
  <c r="I673" i="1"/>
  <c r="I671" i="1"/>
  <c r="I694" i="1"/>
  <c r="I716" i="1"/>
  <c r="I711" i="1"/>
  <c r="I697" i="1"/>
  <c r="I705" i="1"/>
  <c r="I715" i="1" l="1"/>
  <c r="J630" i="1"/>
  <c r="J641" i="1" l="1"/>
  <c r="J671" i="1"/>
  <c r="J708" i="1"/>
  <c r="J668" i="1"/>
  <c r="J700" i="1"/>
  <c r="J682" i="1"/>
  <c r="J696" i="1"/>
  <c r="J687" i="1"/>
  <c r="J636" i="1"/>
  <c r="J634" i="1"/>
  <c r="J678" i="1"/>
  <c r="J669" i="1"/>
  <c r="J693" i="1"/>
  <c r="J676" i="1"/>
  <c r="J642" i="1"/>
  <c r="J694" i="1"/>
  <c r="J688" i="1"/>
  <c r="J643" i="1"/>
  <c r="J670" i="1"/>
  <c r="J673" i="1"/>
  <c r="J692" i="1"/>
  <c r="J637" i="1"/>
  <c r="J697" i="1"/>
  <c r="J644" i="1"/>
  <c r="J647" i="1"/>
  <c r="J713" i="1"/>
  <c r="J680" i="1"/>
  <c r="J631" i="1"/>
  <c r="J686" i="1"/>
  <c r="J683" i="1"/>
  <c r="J635" i="1"/>
  <c r="J646" i="1"/>
  <c r="J640" i="1"/>
  <c r="J703" i="1"/>
  <c r="J712" i="1"/>
  <c r="J706" i="1"/>
  <c r="J684" i="1"/>
  <c r="J677" i="1"/>
  <c r="J675" i="1"/>
  <c r="J633" i="1"/>
  <c r="J705" i="1"/>
  <c r="J645" i="1"/>
  <c r="J672" i="1"/>
  <c r="J690" i="1"/>
  <c r="J685" i="1"/>
  <c r="J639" i="1"/>
  <c r="J709" i="1"/>
  <c r="J698" i="1"/>
  <c r="J689" i="1"/>
  <c r="J679" i="1"/>
  <c r="J704" i="1"/>
  <c r="J674" i="1"/>
  <c r="J716" i="1"/>
  <c r="J710" i="1"/>
  <c r="J695" i="1"/>
  <c r="J701" i="1"/>
  <c r="J632" i="1"/>
  <c r="J691" i="1"/>
  <c r="J681" i="1"/>
  <c r="J707" i="1"/>
  <c r="J702" i="1"/>
  <c r="J711" i="1"/>
  <c r="J638" i="1"/>
  <c r="J699" i="1"/>
  <c r="K644" i="1" l="1"/>
  <c r="K683" i="1" s="1"/>
  <c r="J715" i="1"/>
  <c r="K693" i="1"/>
  <c r="K694" i="1"/>
  <c r="K677" i="1"/>
  <c r="K705" i="1"/>
  <c r="K685" i="1"/>
  <c r="K676" i="1"/>
  <c r="K699" i="1"/>
  <c r="K690" i="1"/>
  <c r="K692" i="1"/>
  <c r="K708" i="1"/>
  <c r="K697" i="1"/>
  <c r="K670" i="1"/>
  <c r="K672" i="1"/>
  <c r="K713" i="1"/>
  <c r="K681" i="1"/>
  <c r="K712" i="1"/>
  <c r="K668" i="1"/>
  <c r="K686" i="1"/>
  <c r="K689" i="1"/>
  <c r="K707" i="1"/>
  <c r="K696" i="1"/>
  <c r="K716" i="1"/>
  <c r="K671" i="1"/>
  <c r="K698" i="1"/>
  <c r="K709" i="1"/>
  <c r="K682" i="1"/>
  <c r="K674" i="1"/>
  <c r="K687" i="1"/>
  <c r="K711" i="1"/>
  <c r="K669" i="1"/>
  <c r="K691" i="1"/>
  <c r="K702" i="1"/>
  <c r="K706" i="1"/>
  <c r="K675" i="1"/>
  <c r="K695" i="1"/>
  <c r="K673" i="1"/>
  <c r="K678" i="1"/>
  <c r="K700" i="1"/>
  <c r="K710" i="1"/>
  <c r="L647" i="1"/>
  <c r="K680" i="1" l="1"/>
  <c r="K704" i="1"/>
  <c r="K701" i="1"/>
  <c r="K688" i="1"/>
  <c r="K703" i="1"/>
  <c r="K684" i="1"/>
  <c r="K679" i="1"/>
  <c r="L696" i="1"/>
  <c r="M696" i="1" s="1"/>
  <c r="L713" i="1"/>
  <c r="M713" i="1" s="1"/>
  <c r="L681" i="1"/>
  <c r="M681" i="1" s="1"/>
  <c r="L690" i="1"/>
  <c r="M690" i="1" s="1"/>
  <c r="L673" i="1"/>
  <c r="M673" i="1" s="1"/>
  <c r="L680" i="1"/>
  <c r="M680" i="1" s="1"/>
  <c r="L703" i="1"/>
  <c r="M703" i="1" s="1"/>
  <c r="L676" i="1"/>
  <c r="M676" i="1" s="1"/>
  <c r="L697" i="1"/>
  <c r="M697" i="1" s="1"/>
  <c r="L705" i="1"/>
  <c r="M705" i="1" s="1"/>
  <c r="L677" i="1"/>
  <c r="M677" i="1" s="1"/>
  <c r="L684" i="1"/>
  <c r="L692" i="1"/>
  <c r="M692" i="1" s="1"/>
  <c r="L707" i="1"/>
  <c r="M707" i="1" s="1"/>
  <c r="L671" i="1"/>
  <c r="M671" i="1" s="1"/>
  <c r="L708" i="1"/>
  <c r="M708" i="1" s="1"/>
  <c r="L672" i="1"/>
  <c r="M672" i="1" s="1"/>
  <c r="L694" i="1"/>
  <c r="M694" i="1" s="1"/>
  <c r="L682" i="1"/>
  <c r="M682" i="1" s="1"/>
  <c r="L687" i="1"/>
  <c r="M687" i="1" s="1"/>
  <c r="L674" i="1"/>
  <c r="M674" i="1" s="1"/>
  <c r="L702" i="1"/>
  <c r="M702" i="1" s="1"/>
  <c r="L698" i="1"/>
  <c r="M698" i="1" s="1"/>
  <c r="L689" i="1"/>
  <c r="M689" i="1" s="1"/>
  <c r="L675" i="1"/>
  <c r="M675" i="1" s="1"/>
  <c r="L688" i="1"/>
  <c r="M688" i="1" s="1"/>
  <c r="L685" i="1"/>
  <c r="M685" i="1" s="1"/>
  <c r="L670" i="1"/>
  <c r="M670" i="1" s="1"/>
  <c r="L683" i="1"/>
  <c r="M683" i="1" s="1"/>
  <c r="L704" i="1"/>
  <c r="M704" i="1" s="1"/>
  <c r="L706" i="1"/>
  <c r="M706" i="1" s="1"/>
  <c r="L712" i="1"/>
  <c r="M712" i="1" s="1"/>
  <c r="L700" i="1"/>
  <c r="M700" i="1" s="1"/>
  <c r="L709" i="1"/>
  <c r="M709" i="1" s="1"/>
  <c r="L701" i="1"/>
  <c r="M701" i="1" s="1"/>
  <c r="L695" i="1"/>
  <c r="M695" i="1" s="1"/>
  <c r="L699" i="1"/>
  <c r="M699" i="1" s="1"/>
  <c r="L668" i="1"/>
  <c r="L710" i="1"/>
  <c r="M710" i="1" s="1"/>
  <c r="L678" i="1"/>
  <c r="M678" i="1" s="1"/>
  <c r="L679" i="1"/>
  <c r="M679" i="1" s="1"/>
  <c r="L669" i="1"/>
  <c r="M669" i="1" s="1"/>
  <c r="L686" i="1"/>
  <c r="M686" i="1" s="1"/>
  <c r="L691" i="1"/>
  <c r="M691" i="1" s="1"/>
  <c r="L693" i="1"/>
  <c r="M693" i="1" s="1"/>
  <c r="L716" i="1"/>
  <c r="L711" i="1"/>
  <c r="M711" i="1" s="1"/>
  <c r="K715" i="1"/>
  <c r="M684" i="1" l="1"/>
  <c r="Y761" i="1"/>
  <c r="I119" i="9"/>
  <c r="Y778" i="1"/>
  <c r="E215" i="9"/>
  <c r="H87" i="9"/>
  <c r="Y753" i="1"/>
  <c r="Y750" i="1"/>
  <c r="E87" i="9"/>
  <c r="D55" i="9"/>
  <c r="Y742" i="1"/>
  <c r="D119" i="9"/>
  <c r="Y756" i="1"/>
  <c r="Y777" i="1"/>
  <c r="D215" i="9"/>
  <c r="Y752" i="1"/>
  <c r="G87" i="9"/>
  <c r="C215" i="9"/>
  <c r="Y776" i="1"/>
  <c r="Y767" i="1"/>
  <c r="H151" i="9"/>
  <c r="F183" i="9"/>
  <c r="Y772" i="1"/>
  <c r="F87" i="9"/>
  <c r="Y751" i="1"/>
  <c r="Y764" i="1"/>
  <c r="E151" i="9"/>
  <c r="C87" i="9"/>
  <c r="Y748" i="1"/>
  <c r="F23" i="9"/>
  <c r="Y737" i="1"/>
  <c r="Y743" i="1"/>
  <c r="E55" i="9"/>
  <c r="Y769" i="1"/>
  <c r="C183" i="9"/>
  <c r="Y747" i="1"/>
  <c r="I55" i="9"/>
  <c r="Y744" i="1"/>
  <c r="F55" i="9"/>
  <c r="Y755" i="1"/>
  <c r="C119" i="9"/>
  <c r="L715" i="1"/>
  <c r="M668" i="1"/>
  <c r="D183" i="9"/>
  <c r="Y770" i="1"/>
  <c r="Y768" i="1"/>
  <c r="I151" i="9"/>
  <c r="Y773" i="1"/>
  <c r="G183" i="9"/>
  <c r="E183" i="9"/>
  <c r="Y771" i="1"/>
  <c r="Y746" i="1"/>
  <c r="H55" i="9"/>
  <c r="Y779" i="1"/>
  <c r="F215" i="9"/>
  <c r="E119" i="9"/>
  <c r="Y757" i="1"/>
  <c r="Y736" i="1"/>
  <c r="E23" i="9"/>
  <c r="H183" i="9"/>
  <c r="Y774" i="1"/>
  <c r="D23" i="9"/>
  <c r="Y735" i="1"/>
  <c r="I183" i="9"/>
  <c r="Y775" i="1"/>
  <c r="I87" i="9"/>
  <c r="Y754" i="1"/>
  <c r="Y760" i="1"/>
  <c r="H119" i="9"/>
  <c r="Y759" i="1"/>
  <c r="G119" i="9"/>
  <c r="G55" i="9"/>
  <c r="Y745" i="1"/>
  <c r="Y765" i="1"/>
  <c r="F151" i="9"/>
  <c r="Y766" i="1"/>
  <c r="G151" i="9"/>
  <c r="D87" i="9"/>
  <c r="Y749" i="1"/>
  <c r="C55" i="9"/>
  <c r="Y741" i="1"/>
  <c r="I23" i="9"/>
  <c r="Y740" i="1"/>
  <c r="G23" i="9"/>
  <c r="Y738" i="1"/>
  <c r="F119" i="9"/>
  <c r="Y758" i="1"/>
  <c r="Y763" i="1"/>
  <c r="D151" i="9"/>
  <c r="H23" i="9"/>
  <c r="Y739" i="1"/>
  <c r="Y762" i="1"/>
  <c r="C151" i="9"/>
  <c r="Y734" i="1" l="1"/>
  <c r="Y815" i="1" s="1"/>
  <c r="M715" i="1"/>
  <c r="C23" i="9"/>
</calcChain>
</file>

<file path=xl/sharedStrings.xml><?xml version="1.0" encoding="utf-8"?>
<sst xmlns="http://schemas.openxmlformats.org/spreadsheetml/2006/main" count="4939" uniqueCount="1281">
  <si>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</si>
  <si>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</si>
  <si>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</si>
  <si>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</si>
  <si>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</si>
  <si>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</si>
  <si>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</si>
  <si>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</si>
  <si>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</si>
  <si>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</si>
  <si>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</si>
  <si>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</si>
  <si>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</si>
  <si>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</si>
  <si>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</si>
  <si>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</si>
  <si>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</si>
  <si>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</si>
  <si>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</si>
  <si>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</si>
  <si>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</si>
  <si>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</si>
  <si>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</si>
  <si>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</si>
  <si>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</si>
  <si>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</si>
  <si>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</si>
  <si>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</si>
  <si>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</si>
  <si>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</si>
  <si>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</si>
  <si>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</si>
  <si>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</si>
  <si>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</si>
  <si>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</si>
  <si>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</si>
  <si>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</si>
  <si>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</si>
  <si>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</si>
  <si>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</si>
  <si>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</si>
  <si>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</si>
  <si>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</si>
  <si>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</si>
  <si>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</si>
  <si>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</si>
  <si>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</si>
  <si>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</si>
  <si>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</si>
  <si>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</si>
  <si>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</si>
  <si>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</si>
  <si>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</si>
  <si>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</si>
  <si>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</si>
  <si>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</si>
  <si>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</si>
  <si>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</si>
  <si>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</si>
  <si>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</si>
  <si>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</si>
  <si>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</si>
  <si>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</si>
  <si>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</si>
  <si>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</si>
  <si>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</si>
  <si>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</si>
  <si>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</si>
  <si>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</si>
  <si>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</si>
  <si>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</si>
  <si>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</si>
  <si>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</si>
  <si>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</si>
  <si>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</si>
  <si>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</si>
  <si>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</si>
  <si>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</si>
  <si>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</si>
  <si>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</si>
  <si>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</si>
  <si>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</si>
  <si>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</si>
  <si>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</si>
  <si>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</si>
  <si>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</si>
  <si>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</si>
  <si>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</si>
  <si>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</si>
  <si>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</si>
  <si>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</si>
  <si>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</si>
  <si>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</si>
  <si>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</si>
  <si>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</si>
  <si>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</si>
  <si>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</si>
  <si>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</si>
  <si>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</si>
  <si>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</si>
  <si>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</si>
  <si>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</si>
  <si>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</si>
  <si>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</si>
  <si>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</si>
  <si>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</si>
  <si>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</si>
  <si>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</si>
  <si>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</si>
  <si>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</si>
  <si>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</si>
  <si>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</si>
  <si>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</si>
  <si>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</si>
  <si>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</si>
  <si>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</si>
  <si>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</si>
  <si>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</si>
  <si>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</si>
  <si>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</si>
  <si>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</si>
  <si>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</si>
  <si>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</si>
  <si>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</si>
  <si>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</si>
  <si>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</si>
  <si>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</si>
  <si>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</si>
  <si>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</si>
  <si>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</si>
  <si>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</si>
  <si>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</si>
  <si>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</si>
  <si>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</si>
  <si>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</si>
  <si>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</si>
  <si>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</si>
  <si>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</si>
  <si>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</si>
  <si>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</si>
  <si>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</si>
  <si>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</si>
  <si>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</si>
  <si>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</si>
  <si>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</si>
  <si>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</si>
  <si>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</si>
  <si>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</si>
  <si>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</si>
  <si>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</si>
  <si>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</si>
  <si>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</si>
  <si>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</si>
  <si>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</si>
  <si>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</si>
  <si>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</si>
  <si>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</si>
  <si>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</si>
  <si>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</si>
  <si>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</si>
  <si>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</si>
  <si>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</si>
  <si>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</si>
  <si>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</si>
  <si>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</si>
  <si>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</si>
  <si>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</si>
  <si>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</si>
  <si>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</si>
  <si>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</si>
  <si>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</si>
  <si>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</si>
  <si>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</si>
  <si>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</si>
  <si>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</si>
  <si>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</si>
  <si>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</si>
  <si>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</si>
  <si>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</si>
  <si>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</si>
  <si>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</si>
  <si>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</si>
  <si>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</si>
  <si>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</si>
  <si>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</si>
  <si>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</si>
  <si>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</si>
  <si>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</si>
  <si>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</si>
  <si>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</si>
  <si>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</si>
  <si>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</si>
  <si>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</si>
  <si>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</si>
  <si>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</si>
  <si>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</si>
  <si>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</si>
  <si>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</si>
  <si>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</si>
  <si>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</si>
  <si>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</si>
  <si>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</si>
  <si>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</si>
  <si>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</si>
  <si>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</si>
  <si>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</si>
  <si>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</si>
  <si>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</si>
  <si>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</si>
  <si>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</si>
  <si>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</si>
  <si>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</si>
  <si>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</si>
  <si>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</si>
  <si>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</si>
  <si>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</si>
  <si>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</si>
  <si>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</si>
  <si>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</si>
  <si>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</si>
  <si>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</si>
  <si>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</si>
  <si>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</si>
  <si>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</si>
  <si>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</si>
  <si>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</si>
  <si>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</si>
  <si>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</si>
  <si>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</si>
  <si>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</si>
  <si>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</si>
  <si>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</si>
  <si>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</si>
  <si>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</si>
  <si>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</si>
  <si>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</si>
  <si>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</si>
  <si>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</si>
  <si>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</si>
  <si>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</si>
  <si>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</si>
  <si>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</si>
  <si>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</si>
  <si>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</si>
  <si>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</si>
  <si>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</si>
  <si>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</si>
  <si>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</si>
  <si>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</si>
  <si>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</si>
  <si>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</si>
  <si>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</si>
  <si>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</si>
  <si>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</si>
  <si>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</si>
  <si>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</si>
  <si>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</si>
  <si>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</si>
  <si>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</si>
  <si>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</si>
  <si>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</si>
  <si>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</si>
  <si>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</si>
  <si>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</si>
  <si>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</si>
  <si>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</si>
  <si>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</si>
  <si>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</si>
  <si>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</si>
  <si>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</si>
  <si>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</si>
  <si>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</si>
  <si>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</si>
  <si>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</si>
  <si>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</si>
  <si>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</si>
  <si>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</si>
  <si>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</si>
  <si>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</si>
  <si>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</si>
  <si>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</si>
  <si>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</si>
  <si>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</si>
  <si>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</si>
  <si>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</si>
  <si>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</si>
  <si>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</si>
  <si>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</si>
  <si>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</si>
  <si>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</si>
  <si>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</si>
  <si>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</si>
  <si>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</si>
  <si>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</si>
  <si>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</si>
  <si>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</si>
  <si>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</si>
  <si>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</si>
  <si>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</si>
  <si>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</si>
  <si>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</si>
  <si>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</si>
  <si>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</si>
  <si>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</si>
  <si>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</si>
  <si>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</si>
  <si>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</si>
  <si>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</si>
  <si>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</si>
  <si>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</si>
  <si>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</si>
  <si>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</si>
  <si>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</si>
  <si>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</si>
  <si>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</si>
  <si>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</si>
  <si>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</si>
  <si>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</si>
  <si>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</si>
  <si>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</si>
  <si>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</si>
  <si>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</si>
  <si>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</si>
  <si>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</si>
  <si>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</si>
  <si>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</si>
  <si>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</si>
  <si>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</si>
  <si>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</si>
  <si>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</si>
  <si>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</si>
  <si>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</si>
  <si>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</si>
  <si>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</si>
  <si>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</si>
  <si>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</si>
  <si>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</si>
  <si>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</si>
  <si>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</si>
  <si>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</si>
  <si>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</si>
  <si>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</si>
  <si>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</si>
  <si>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</si>
  <si>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</si>
  <si>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</si>
  <si>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</si>
  <si>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</si>
  <si>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</si>
  <si>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</si>
  <si>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</si>
  <si>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</si>
  <si>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</si>
  <si>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</si>
  <si>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</si>
  <si>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</si>
  <si>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</si>
  <si>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</si>
  <si>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</si>
  <si>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</si>
  <si>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</si>
  <si>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</si>
  <si>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</si>
  <si>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</si>
  <si>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</si>
  <si>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</si>
  <si>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</si>
  <si>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</si>
  <si>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</si>
  <si>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</si>
  <si>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</si>
  <si>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</si>
  <si>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</si>
  <si>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</si>
  <si>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</si>
  <si>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</si>
  <si>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</si>
  <si>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</si>
  <si>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</si>
  <si>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</si>
  <si>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</si>
  <si>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</si>
  <si>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</si>
  <si>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</si>
  <si>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</si>
  <si>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</si>
  <si>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</si>
  <si>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</si>
  <si>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</si>
  <si>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</si>
  <si>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</si>
  <si>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</si>
  <si>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</si>
  <si>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</si>
  <si>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</si>
  <si>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</si>
  <si>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</si>
  <si>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</si>
  <si>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</si>
  <si>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</si>
  <si>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</si>
  <si>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</si>
  <si>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</si>
  <si>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</si>
  <si>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</si>
  <si>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</si>
  <si>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</si>
  <si>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</si>
  <si>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</si>
  <si>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</si>
  <si>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</si>
  <si>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</si>
  <si>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</si>
  <si>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</si>
  <si>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</si>
  <si>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</si>
  <si>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</si>
  <si>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</si>
  <si>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</si>
  <si>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</si>
  <si>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</si>
  <si>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</si>
  <si>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</si>
  <si>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</si>
  <si>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</si>
  <si>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</si>
  <si>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</si>
  <si>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</si>
  <si>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</si>
  <si>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</si>
  <si>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</si>
  <si>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</si>
  <si>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</si>
  <si>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</si>
  <si>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</si>
  <si>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</si>
  <si>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</si>
  <si>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</si>
  <si>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</si>
  <si>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</si>
  <si>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</si>
  <si>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</si>
  <si>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</si>
  <si>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</si>
  <si>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</si>
  <si>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</si>
  <si>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</si>
  <si>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</si>
  <si>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</si>
  <si>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</si>
  <si>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</si>
  <si>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</si>
  <si>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</si>
  <si>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</si>
  <si>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</si>
  <si>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</si>
  <si>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</si>
  <si>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</si>
  <si>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</si>
  <si>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</si>
  <si>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</si>
  <si>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</si>
  <si>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</si>
  <si>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</si>
  <si>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</si>
  <si>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</si>
  <si>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</si>
  <si>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</si>
  <si>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</si>
  <si>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</si>
  <si>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</si>
  <si>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</si>
  <si>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</si>
  <si>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</si>
  <si>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</si>
  <si>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</si>
  <si>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</si>
  <si>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</si>
  <si>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</si>
  <si>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</si>
  <si>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</si>
  <si>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</si>
  <si>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</si>
  <si>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</si>
  <si>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</si>
  <si>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</si>
  <si>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</si>
  <si>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</si>
  <si>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</si>
  <si>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</si>
  <si>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</si>
  <si>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</si>
  <si>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</si>
  <si>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</si>
  <si>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</si>
  <si>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</si>
  <si>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</si>
  <si>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</si>
  <si>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</si>
  <si>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</si>
  <si>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</si>
  <si>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</si>
  <si>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</si>
  <si>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</si>
  <si>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</si>
  <si>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</si>
  <si>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</si>
  <si>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</si>
  <si>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</si>
  <si>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</si>
  <si>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</si>
  <si>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</si>
  <si>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</si>
  <si>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</si>
  <si>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</si>
  <si>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</si>
  <si>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</si>
  <si>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</si>
  <si>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</si>
  <si>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</si>
  <si>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</si>
  <si>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</si>
  <si>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</si>
  <si>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</si>
  <si>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</si>
  <si>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</si>
  <si>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</si>
  <si>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</si>
  <si>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</si>
  <si>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</si>
  <si>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</si>
  <si>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</si>
  <si>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</si>
  <si>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</si>
  <si>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</si>
  <si>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</si>
  <si>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</si>
  <si>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</si>
  <si>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</si>
  <si>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</si>
  <si>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</si>
  <si>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</si>
  <si>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</si>
  <si>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</si>
  <si>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</si>
  <si>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</si>
  <si>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</si>
  <si>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</si>
  <si>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</si>
  <si>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</si>
  <si>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</si>
  <si>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</si>
  <si>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</si>
  <si>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</si>
  <si>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</si>
  <si>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</si>
  <si>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</si>
  <si>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</si>
  <si>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</si>
  <si>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</si>
  <si>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</si>
  <si>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</si>
  <si>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</si>
  <si>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</si>
  <si>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</si>
  <si>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</si>
  <si>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</si>
  <si>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</si>
  <si>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</si>
  <si>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</si>
  <si>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</si>
  <si>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</si>
  <si>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</si>
  <si>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</si>
  <si>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</si>
  <si>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</si>
  <si>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</si>
  <si>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</si>
  <si>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</si>
  <si>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</si>
  <si>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</si>
  <si>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</si>
  <si>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</si>
  <si>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</si>
  <si>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</si>
  <si>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</si>
  <si>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</si>
  <si>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</si>
  <si>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</si>
  <si>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</si>
  <si>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</si>
  <si>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</si>
  <si>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</si>
  <si>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</si>
  <si>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</si>
  <si>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</si>
  <si>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</si>
  <si>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</si>
  <si>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</si>
  <si>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</si>
  <si>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</si>
  <si>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</si>
  <si>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</si>
  <si>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</si>
  <si>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</si>
  <si>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</si>
  <si>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</si>
  <si>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</si>
  <si>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</si>
  <si>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</si>
  <si>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</si>
  <si>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</si>
  <si>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</si>
  <si>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</si>
  <si>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</si>
  <si>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</si>
  <si>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</si>
  <si>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</si>
  <si>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</si>
  <si>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</si>
  <si>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</si>
  <si>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</si>
  <si>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</si>
  <si>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</si>
  <si>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</si>
  <si>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</si>
  <si>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</si>
  <si>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</si>
  <si>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</si>
  <si>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</si>
  <si>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</si>
  <si>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</si>
  <si>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</si>
  <si>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</si>
  <si>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</si>
  <si>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</si>
  <si>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</si>
  <si>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</si>
  <si>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</si>
  <si>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</si>
  <si>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</si>
  <si>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</si>
  <si>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</si>
  <si>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</si>
  <si>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</si>
  <si>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</si>
  <si>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</si>
  <si>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</si>
  <si>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</si>
  <si>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</si>
  <si>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</si>
  <si>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</si>
  <si>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</si>
  <si>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</si>
  <si>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</si>
  <si>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</si>
  <si>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</si>
  <si>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</si>
  <si>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</si>
  <si>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</si>
  <si>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</si>
  <si>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</si>
  <si>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</si>
  <si>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</si>
  <si>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</si>
  <si>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</si>
  <si>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</si>
  <si>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</si>
  <si>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</si>
  <si>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</si>
  <si>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</si>
  <si>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</si>
  <si>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</si>
  <si>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</si>
  <si>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</si>
  <si>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</si>
  <si>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</si>
  <si>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</si>
  <si>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</si>
  <si>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</si>
  <si>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</si>
  <si>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</si>
  <si>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</si>
  <si>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</si>
  <si>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</si>
  <si>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</si>
  <si>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</si>
  <si>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</si>
  <si>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</si>
  <si>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</si>
  <si>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</si>
  <si>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</si>
  <si>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</si>
  <si>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</si>
  <si>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</si>
  <si>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</si>
  <si>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</si>
  <si>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</si>
  <si>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</si>
  <si>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</si>
  <si>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</si>
  <si>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</si>
  <si>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</si>
  <si>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</si>
  <si>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</si>
  <si>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</si>
  <si>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</si>
  <si>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</si>
  <si>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</si>
  <si>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</si>
  <si>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</si>
  <si>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</si>
  <si>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</si>
  <si>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</si>
  <si>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</si>
  <si>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</si>
  <si>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</si>
  <si>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</si>
  <si>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</si>
  <si>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</si>
  <si>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</si>
  <si>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</si>
  <si>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</si>
  <si>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</si>
  <si>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</si>
  <si>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</si>
  <si>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</si>
  <si>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</si>
  <si>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</si>
  <si>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</si>
  <si>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</si>
  <si>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</si>
  <si>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</si>
  <si>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</si>
  <si>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</si>
  <si>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</si>
  <si>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</si>
  <si>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</si>
  <si>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</si>
  <si>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</si>
  <si>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</si>
  <si>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</si>
  <si>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</si>
  <si>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</si>
  <si>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</si>
  <si>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</si>
  <si>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</si>
  <si>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</si>
  <si>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</si>
  <si>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</si>
  <si>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</si>
  <si>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</si>
  <si>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</si>
  <si>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</si>
  <si>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</si>
  <si>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</si>
  <si>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</si>
  <si>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</si>
  <si>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</si>
  <si>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</si>
  <si>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</si>
  <si>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</si>
  <si>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</si>
  <si>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</si>
  <si>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</si>
  <si>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</si>
  <si>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</si>
  <si>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</si>
  <si>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</si>
  <si>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</si>
  <si>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</si>
  <si>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</si>
  <si>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</si>
  <si>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</si>
  <si>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</si>
  <si>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</si>
  <si>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</si>
  <si>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</si>
  <si>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</si>
  <si>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</si>
  <si>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</si>
  <si>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</si>
  <si>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</si>
  <si>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</si>
  <si>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</si>
  <si>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</si>
  <si>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</si>
  <si>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</si>
  <si>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</si>
  <si>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</si>
  <si>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</si>
  <si>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</si>
  <si>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</si>
  <si>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</si>
  <si>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</si>
  <si>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</si>
  <si>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</si>
  <si>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</si>
  <si>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</si>
  <si>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</si>
  <si>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</si>
  <si>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</si>
  <si>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</si>
  <si>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</si>
  <si>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</si>
  <si>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</si>
  <si>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</si>
  <si>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</si>
  <si>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</si>
  <si>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</si>
  <si>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</si>
  <si>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</si>
  <si>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</si>
  <si>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</si>
  <si>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</si>
  <si>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</si>
  <si>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</si>
  <si>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</si>
  <si>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</si>
  <si>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</si>
  <si>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</si>
  <si>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</si>
  <si>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</si>
  <si>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</si>
  <si>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</si>
  <si>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</si>
  <si>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</si>
  <si>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</si>
  <si>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</si>
  <si>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</si>
  <si>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</si>
  <si>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</si>
  <si>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</si>
  <si>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</si>
  <si>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</si>
  <si>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</si>
  <si>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</si>
  <si>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</si>
  <si>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</si>
  <si>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</si>
  <si>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</si>
  <si>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</si>
  <si>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</si>
  <si>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</si>
  <si>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</si>
  <si>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</si>
  <si>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</si>
  <si>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</si>
  <si>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</si>
  <si>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</si>
  <si>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</si>
  <si>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</si>
  <si>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</si>
  <si>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</si>
  <si>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</si>
  <si>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</si>
  <si>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</si>
  <si>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</si>
  <si>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</si>
  <si>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</si>
  <si>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</si>
  <si>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</si>
  <si>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</si>
  <si>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</si>
  <si>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</si>
  <si>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</si>
  <si>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</si>
  <si>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</si>
  <si>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</si>
  <si>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</si>
  <si>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</si>
  <si>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</si>
  <si>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</si>
  <si>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</si>
  <si>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</si>
  <si>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</si>
  <si>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</si>
  <si>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</si>
  <si>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</si>
  <si>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</si>
  <si>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</si>
  <si>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</si>
  <si>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</si>
  <si>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</si>
  <si>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</si>
  <si>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</si>
  <si>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</si>
  <si>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</si>
  <si>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</si>
  <si>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</si>
  <si>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</si>
  <si>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</si>
  <si>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</si>
  <si>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</si>
  <si>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</si>
  <si>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</si>
  <si>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</si>
  <si>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</si>
  <si>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</si>
  <si>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</si>
  <si>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</si>
  <si>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</si>
  <si>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</si>
  <si>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</si>
  <si>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</si>
  <si>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</si>
  <si>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</si>
  <si>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</si>
  <si>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</si>
  <si>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</si>
  <si>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</si>
  <si>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</si>
  <si>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</si>
  <si>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</si>
  <si>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</si>
  <si>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</si>
  <si>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</si>
  <si>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</si>
  <si>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</si>
  <si>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</si>
  <si>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</si>
  <si>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</si>
  <si>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</si>
  <si>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</si>
  <si>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</si>
  <si>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</si>
  <si>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</si>
  <si>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</si>
  <si>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</si>
  <si>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</si>
  <si>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</si>
  <si>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</si>
  <si>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</si>
  <si>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</si>
  <si>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</si>
  <si>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</si>
  <si>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</si>
  <si>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</si>
  <si>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</si>
  <si>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</si>
  <si>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</si>
  <si>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</si>
  <si>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</si>
  <si>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</si>
  <si>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</si>
  <si>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</si>
  <si>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</si>
  <si>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</si>
  <si>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</si>
  <si>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</si>
  <si>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</si>
  <si>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</si>
  <si>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</si>
  <si>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</si>
  <si>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</si>
  <si>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</si>
  <si>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</si>
  <si>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</si>
  <si>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</si>
  <si>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</si>
  <si>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</si>
  <si>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</si>
  <si>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</si>
  <si>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</si>
  <si>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</si>
  <si>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</si>
  <si>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</si>
  <si>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</si>
  <si>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</si>
  <si>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</si>
  <si>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</si>
  <si>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</si>
  <si>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</si>
  <si>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</si>
  <si>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</si>
  <si>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</si>
  <si>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</si>
  <si>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</si>
  <si>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</si>
  <si>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</si>
  <si>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</si>
  <si>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</si>
  <si>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</si>
  <si>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</si>
  <si>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</si>
  <si>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</si>
  <si>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</si>
  <si>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</si>
  <si>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</si>
  <si>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</si>
  <si>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</si>
  <si>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</si>
  <si>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</si>
  <si>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</si>
  <si>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</si>
  <si>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</si>
  <si>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</si>
  <si>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</si>
  <si>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</si>
  <si>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</si>
  <si>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</si>
  <si>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</si>
  <si>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</si>
  <si>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</si>
  <si>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</si>
  <si>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</si>
  <si>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</si>
  <si>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</si>
  <si>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</si>
  <si>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</si>
  <si>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</si>
  <si>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</si>
  <si>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</si>
  <si>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</si>
  <si>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</si>
  <si>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</si>
  <si>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</si>
  <si>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</si>
  <si>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</si>
  <si>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</si>
  <si>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</si>
  <si>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</si>
  <si>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</si>
  <si>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</si>
  <si>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</si>
  <si>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</si>
  <si>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</si>
  <si>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</si>
  <si>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</si>
  <si>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</si>
  <si>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</si>
  <si>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</si>
  <si>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</si>
  <si>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</si>
  <si>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</si>
  <si>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</si>
  <si>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</si>
  <si>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</si>
  <si>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</si>
  <si>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</si>
  <si>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</si>
  <si>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</si>
  <si>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</si>
  <si>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</si>
  <si>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</si>
  <si>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</si>
  <si>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</si>
  <si>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</si>
  <si>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</si>
  <si>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</si>
  <si>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</si>
  <si>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</si>
  <si>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</si>
  <si>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</si>
  <si>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</si>
  <si>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</si>
  <si>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</si>
  <si>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</si>
  <si>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</si>
  <si>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</si>
  <si>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</si>
  <si>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</si>
  <si>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</si>
  <si>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</si>
  <si>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</si>
  <si>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</si>
  <si>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</si>
  <si>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</si>
  <si>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</si>
  <si>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</si>
  <si>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</si>
  <si>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</si>
  <si>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</si>
  <si>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</si>
  <si>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</si>
  <si>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</si>
  <si>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</si>
  <si>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</si>
  <si>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</si>
  <si>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</si>
  <si>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</si>
  <si>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</si>
  <si>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</si>
  <si>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</si>
  <si>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</si>
  <si>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</si>
  <si>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</si>
  <si>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</si>
  <si>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</si>
  <si>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</si>
  <si>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</si>
  <si>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</si>
  <si>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</si>
  <si>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</si>
  <si>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</si>
  <si>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</si>
  <si>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</si>
  <si>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</si>
  <si>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</si>
  <si>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</si>
  <si>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</si>
  <si>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</si>
  <si>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</si>
  <si>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</si>
  <si>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</si>
  <si>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</si>
  <si>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</si>
  <si>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</si>
  <si>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</si>
  <si>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</si>
  <si>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</si>
  <si>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</si>
  <si>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</si>
  <si>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</si>
  <si>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</si>
  <si>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</si>
  <si>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</si>
  <si>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</si>
  <si>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</si>
  <si>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</si>
  <si>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</si>
  <si>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</si>
  <si>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</si>
  <si>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</si>
  <si>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</si>
  <si>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</si>
  <si>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</si>
  <si>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</si>
  <si>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</si>
  <si>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</si>
  <si>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</si>
  <si>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</si>
  <si>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</si>
  <si>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</si>
  <si>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</si>
  <si>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</si>
  <si>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</si>
  <si>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</si>
  <si>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</si>
  <si>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</si>
  <si>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</si>
  <si>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</si>
  <si>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</si>
  <si>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</si>
  <si>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</si>
  <si>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</si>
  <si>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</si>
  <si>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</si>
  <si>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</si>
  <si>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</si>
  <si>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</si>
  <si>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</si>
  <si>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</si>
  <si>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</si>
  <si>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</si>
  <si>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</si>
  <si>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</si>
  <si>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</si>
  <si>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</si>
  <si>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</si>
  <si>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</si>
  <si>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</si>
  <si>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</si>
  <si>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</si>
  <si>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</si>
  <si>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</si>
  <si>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</si>
  <si>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</si>
  <si>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</si>
  <si>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</si>
  <si>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</si>
  <si>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</si>
  <si>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</si>
  <si>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</si>
  <si>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</si>
  <si>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</si>
  <si>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</si>
  <si>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</si>
  <si>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</si>
  <si>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</si>
  <si>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</si>
  <si>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</si>
  <si>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</si>
  <si>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</si>
  <si>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</si>
  <si>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</si>
  <si>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</si>
  <si>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</si>
  <si>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</si>
  <si>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</si>
  <si>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</si>
  <si>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</si>
  <si>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</si>
  <si>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</si>
  <si>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</si>
  <si>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</si>
  <si>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</si>
  <si>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</si>
  <si>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</si>
  <si>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</si>
  <si>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</si>
  <si>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</si>
  <si>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</si>
  <si>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</si>
  <si>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</si>
  <si>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</si>
  <si>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</si>
  <si>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</si>
  <si>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</si>
  <si>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</si>
  <si>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</si>
  <si>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</si>
  <si>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</si>
  <si>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</si>
  <si>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</si>
  <si>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</si>
  <si>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</si>
  <si>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</si>
  <si>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</si>
  <si>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</si>
  <si>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</si>
  <si>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</si>
  <si>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</si>
  <si>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</si>
  <si>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</si>
  <si>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</si>
  <si>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</si>
  <si>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</si>
  <si>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</si>
  <si>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</si>
  <si>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</si>
  <si>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</si>
  <si>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</si>
  <si>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</si>
  <si>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</si>
  <si>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</si>
  <si>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</si>
  <si>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</si>
  <si>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</si>
  <si>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</si>
  <si>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</si>
  <si>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</si>
  <si>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</si>
  <si>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</si>
  <si>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</si>
  <si>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</si>
  <si>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</si>
  <si>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</si>
  <si>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</si>
  <si>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</si>
  <si>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</si>
  <si>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</si>
  <si>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</si>
  <si>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</si>
  <si>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</si>
  <si>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</si>
  <si>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</si>
  <si>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</si>
  <si>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</si>
  <si>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</si>
  <si>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</si>
  <si>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</si>
  <si>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</si>
  <si>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</si>
  <si>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</si>
  <si>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</si>
  <si>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</si>
  <si>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</si>
  <si>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38</t>
  </si>
  <si>
    <t>Olympic Medical Center</t>
  </si>
  <si>
    <t>939 Caroline Street</t>
  </si>
  <si>
    <t>Port Angeles, WA  98362</t>
  </si>
  <si>
    <t>Clallam County</t>
  </si>
  <si>
    <t>Darryl Wolfe</t>
  </si>
  <si>
    <t>Lorraine Cannon</t>
  </si>
  <si>
    <t>Jim Leskinovitch</t>
  </si>
  <si>
    <t>(360)417-7000</t>
  </si>
  <si>
    <t>(360)417-7445</t>
  </si>
  <si>
    <t>12/31/2021</t>
  </si>
  <si>
    <t>John Nutter</t>
  </si>
  <si>
    <t>360-417-7445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</si>
</sst>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03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4191</v>
          </cell>
          <cell r="D59"/>
          <cell r="E59">
            <v>10345</v>
          </cell>
          <cell r="F59"/>
          <cell r="G59"/>
          <cell r="H59"/>
          <cell r="I59"/>
          <cell r="J59">
            <v>994</v>
          </cell>
          <cell r="K59"/>
          <cell r="L59"/>
          <cell r="M59"/>
          <cell r="N59"/>
          <cell r="O59">
            <v>337</v>
          </cell>
          <cell r="P59">
            <v>313427</v>
          </cell>
          <cell r="Q59">
            <v>162108</v>
          </cell>
          <cell r="R59">
            <v>413100</v>
          </cell>
          <cell r="U59">
            <v>572041</v>
          </cell>
          <cell r="V59">
            <v>31588</v>
          </cell>
          <cell r="W59">
            <v>6491</v>
          </cell>
          <cell r="X59">
            <v>17396</v>
          </cell>
          <cell r="Y59">
            <v>69638</v>
          </cell>
          <cell r="Z59">
            <v>16535.349999999999</v>
          </cell>
          <cell r="AA59">
            <v>644</v>
          </cell>
          <cell r="AC59">
            <v>26371</v>
          </cell>
          <cell r="AD59"/>
          <cell r="AE59">
            <v>79100</v>
          </cell>
          <cell r="AF59"/>
          <cell r="AG59">
            <v>29463</v>
          </cell>
          <cell r="AH59"/>
          <cell r="AI59">
            <v>13134</v>
          </cell>
          <cell r="AJ59">
            <v>157644</v>
          </cell>
          <cell r="AK59"/>
          <cell r="AL59"/>
          <cell r="AM59"/>
          <cell r="AN59"/>
          <cell r="AO59"/>
          <cell r="AP59">
            <v>7123</v>
          </cell>
          <cell r="AQ59"/>
          <cell r="AR59">
            <v>51477</v>
          </cell>
          <cell r="AS59"/>
          <cell r="AT59"/>
          <cell r="AU59"/>
          <cell r="AY59">
            <v>46374</v>
          </cell>
          <cell r="AZ59"/>
          <cell r="BA59"/>
          <cell r="BE59">
            <v>393982</v>
          </cell>
        </row>
        <row r="72">
          <cell r="C72">
            <v>6230423.0699999994</v>
          </cell>
          <cell r="D72">
            <v>0</v>
          </cell>
          <cell r="E72">
            <v>10524838.460000003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879001.84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585097.73</v>
          </cell>
          <cell r="P72">
            <v>11013718.4</v>
          </cell>
          <cell r="Q72">
            <v>961197.91999999993</v>
          </cell>
          <cell r="R72">
            <v>1085584.8099999998</v>
          </cell>
          <cell r="S72">
            <v>1382801.6</v>
          </cell>
          <cell r="T72">
            <v>217048.81</v>
          </cell>
          <cell r="U72">
            <v>9936175.4000000004</v>
          </cell>
          <cell r="V72">
            <v>4129444.9</v>
          </cell>
          <cell r="W72">
            <v>1080311.22</v>
          </cell>
          <cell r="X72">
            <v>1346356.94</v>
          </cell>
          <cell r="Y72">
            <v>7995680.4500000011</v>
          </cell>
          <cell r="Z72">
            <v>4405195.07</v>
          </cell>
          <cell r="AA72">
            <v>684461.81</v>
          </cell>
          <cell r="AB72">
            <v>16236650.5</v>
          </cell>
          <cell r="AC72">
            <v>1444590.6999999997</v>
          </cell>
          <cell r="AD72">
            <v>0</v>
          </cell>
          <cell r="AE72">
            <v>3831861.05</v>
          </cell>
          <cell r="AF72">
            <v>0</v>
          </cell>
          <cell r="AG72">
            <v>11514763.630000001</v>
          </cell>
          <cell r="AH72">
            <v>3923.54</v>
          </cell>
          <cell r="AI72">
            <v>3142745.5</v>
          </cell>
          <cell r="AJ72">
            <v>40987044.889999993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1652275.4200000002</v>
          </cell>
          <cell r="AQ72">
            <v>0</v>
          </cell>
          <cell r="AR72">
            <v>7707244.79</v>
          </cell>
          <cell r="AS72">
            <v>0</v>
          </cell>
          <cell r="AT72">
            <v>0</v>
          </cell>
          <cell r="AU72">
            <v>0</v>
          </cell>
          <cell r="AV72">
            <v>4452012.7899999991</v>
          </cell>
          <cell r="AW72">
            <v>0</v>
          </cell>
          <cell r="AX72">
            <v>118306.70999999999</v>
          </cell>
          <cell r="AY72">
            <v>2719085.88</v>
          </cell>
          <cell r="AZ72">
            <v>-781121.66999999993</v>
          </cell>
          <cell r="BA72">
            <v>698614.30999999994</v>
          </cell>
          <cell r="BB72">
            <v>1729861.7000000002</v>
          </cell>
          <cell r="BC72">
            <v>0</v>
          </cell>
          <cell r="BD72">
            <v>1546572.01</v>
          </cell>
          <cell r="BE72">
            <v>5735255.9699999988</v>
          </cell>
          <cell r="BF72">
            <v>2055819.8</v>
          </cell>
          <cell r="BG72">
            <v>0</v>
          </cell>
          <cell r="BH72">
            <v>6366452.1100000003</v>
          </cell>
          <cell r="BI72">
            <v>1123345.8500000001</v>
          </cell>
          <cell r="BJ72">
            <v>1538083.4100000001</v>
          </cell>
          <cell r="BK72">
            <v>2761863.08</v>
          </cell>
          <cell r="BL72">
            <v>3750806.65</v>
          </cell>
          <cell r="BM72">
            <v>0</v>
          </cell>
          <cell r="BN72">
            <v>2208871.38</v>
          </cell>
          <cell r="BO72">
            <v>300589.62</v>
          </cell>
          <cell r="BP72">
            <v>606444.48</v>
          </cell>
          <cell r="BQ72">
            <v>0</v>
          </cell>
          <cell r="BR72">
            <v>2630654.83</v>
          </cell>
          <cell r="BS72">
            <v>0</v>
          </cell>
          <cell r="BT72">
            <v>0</v>
          </cell>
          <cell r="BU72">
            <v>0</v>
          </cell>
          <cell r="BV72">
            <v>1407393.32</v>
          </cell>
          <cell r="BW72">
            <v>263953.03999999998</v>
          </cell>
          <cell r="BX72">
            <v>0</v>
          </cell>
          <cell r="BY72">
            <v>1122357.8499999999</v>
          </cell>
          <cell r="BZ72">
            <v>0</v>
          </cell>
          <cell r="CA72">
            <v>450965.19000000006</v>
          </cell>
          <cell r="CB72">
            <v>0</v>
          </cell>
          <cell r="CC72">
            <v>2509421.4299999997</v>
          </cell>
          <cell r="CD72">
            <v>0</v>
          </cell>
        </row>
        <row r="83">
          <cell r="C83" t="str">
            <v>12/31/2018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67" transitionEvaluation="1" transitionEntry="1" codeName="Sheet1">
    <pageSetUpPr autoPageBreaks="0" fitToPage="1"/>
  </sheetPr>
  <dimension ref="A1:CF817"/>
  <sheetViews>
    <sheetView tabSelected="1" topLeftCell="A67" zoomScale="90" zoomScaleNormal="90" workbookViewId="0">
      <selection activeCell="D214" sqref="D214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1257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293"/>
      <c r="C15" s="235"/>
    </row>
    <row r="16" spans="1:6" ht="12.75" customHeight="1" x14ac:dyDescent="0.3">
      <c r="A16" s="294" t="s">
        <v>1266</v>
      </c>
      <c r="C16" s="235"/>
      <c r="F16" s="287"/>
    </row>
    <row r="17" spans="1:6" ht="12.75" customHeight="1" x14ac:dyDescent="0.3">
      <c r="A17" s="294" t="s">
        <v>1264</v>
      </c>
      <c r="C17" s="287"/>
    </row>
    <row r="18" spans="1:6" ht="12.75" customHeight="1" x14ac:dyDescent="0.3">
      <c r="A18" s="227"/>
      <c r="C18" s="235"/>
    </row>
    <row r="19" spans="1:6" ht="12.75" customHeight="1" x14ac:dyDescent="0.3">
      <c r="C19" s="235"/>
    </row>
    <row r="20" spans="1:6" ht="12.75" customHeight="1" x14ac:dyDescent="0.3">
      <c r="A20" s="273" t="s">
        <v>1233</v>
      </c>
      <c r="B20" s="273"/>
      <c r="C20" s="288"/>
      <c r="D20" s="273"/>
      <c r="E20" s="273"/>
      <c r="F20" s="273"/>
    </row>
    <row r="21" spans="1:6" ht="22.5" customHeight="1" x14ac:dyDescent="0.3">
      <c r="A21" s="199"/>
      <c r="C21" s="235"/>
    </row>
    <row r="22" spans="1:6" ht="12.65" customHeight="1" x14ac:dyDescent="0.3">
      <c r="A22" s="237" t="s">
        <v>1253</v>
      </c>
      <c r="B22" s="238"/>
      <c r="C22" s="239"/>
      <c r="D22" s="237"/>
      <c r="E22" s="237"/>
    </row>
    <row r="23" spans="1:6" ht="12.65" customHeight="1" x14ac:dyDescent="0.3">
      <c r="B23" s="199"/>
      <c r="C23" s="235"/>
    </row>
    <row r="24" spans="1:6" ht="12.65" customHeight="1" x14ac:dyDescent="0.3">
      <c r="A24" s="240" t="s">
        <v>3</v>
      </c>
      <c r="C24" s="235"/>
    </row>
    <row r="25" spans="1:6" ht="12.65" customHeight="1" x14ac:dyDescent="0.3">
      <c r="A25" s="198" t="s">
        <v>1234</v>
      </c>
      <c r="C25" s="235"/>
    </row>
    <row r="26" spans="1:6" ht="12.65" customHeight="1" x14ac:dyDescent="0.3">
      <c r="A26" s="199" t="s">
        <v>4</v>
      </c>
      <c r="C26" s="235"/>
    </row>
    <row r="27" spans="1:6" ht="12.65" customHeight="1" x14ac:dyDescent="0.3">
      <c r="A27" s="198" t="s">
        <v>1235</v>
      </c>
      <c r="C27" s="235"/>
    </row>
    <row r="28" spans="1:6" ht="12.65" customHeight="1" x14ac:dyDescent="0.3">
      <c r="A28" s="199" t="s">
        <v>5</v>
      </c>
      <c r="C28" s="235"/>
    </row>
    <row r="29" spans="1:6" ht="12.65" customHeight="1" x14ac:dyDescent="0.3">
      <c r="A29" s="198"/>
      <c r="C29" s="235"/>
    </row>
    <row r="30" spans="1:6" ht="12.65" customHeight="1" x14ac:dyDescent="0.3">
      <c r="A30" s="180" t="s">
        <v>6</v>
      </c>
      <c r="C30" s="235"/>
    </row>
    <row r="31" spans="1:6" ht="12.65" customHeight="1" x14ac:dyDescent="0.3">
      <c r="A31" s="199" t="s">
        <v>7</v>
      </c>
      <c r="C31" s="235"/>
    </row>
    <row r="32" spans="1:6" ht="12.65" customHeight="1" x14ac:dyDescent="0.3">
      <c r="A32" s="199" t="s">
        <v>8</v>
      </c>
      <c r="C32" s="235"/>
    </row>
    <row r="33" spans="1:83" ht="12.65" customHeight="1" x14ac:dyDescent="0.3">
      <c r="A33" s="198" t="s">
        <v>1236</v>
      </c>
      <c r="C33" s="235"/>
    </row>
    <row r="34" spans="1:83" ht="12.65" customHeight="1" x14ac:dyDescent="0.3">
      <c r="A34" s="199" t="s">
        <v>9</v>
      </c>
      <c r="C34" s="235"/>
    </row>
    <row r="35" spans="1:83" ht="12.65" customHeight="1" x14ac:dyDescent="0.3">
      <c r="A35" s="199"/>
      <c r="C35" s="235"/>
    </row>
    <row r="36" spans="1:83" ht="12.65" customHeight="1" x14ac:dyDescent="0.3">
      <c r="A36" s="198" t="s">
        <v>1237</v>
      </c>
      <c r="C36" s="235"/>
    </row>
    <row r="37" spans="1:83" ht="12.65" customHeight="1" x14ac:dyDescent="0.3">
      <c r="A37" s="199" t="s">
        <v>1229</v>
      </c>
      <c r="C37" s="235"/>
    </row>
    <row r="38" spans="1:83" ht="12" customHeight="1" x14ac:dyDescent="0.3">
      <c r="A38" s="198"/>
      <c r="C38" s="235"/>
    </row>
    <row r="39" spans="1:83" ht="12.65" customHeight="1" x14ac:dyDescent="0.3">
      <c r="A39" s="199"/>
      <c r="C39" s="235"/>
    </row>
    <row r="40" spans="1:83" ht="12" customHeight="1" x14ac:dyDescent="0.3">
      <c r="A40" s="199"/>
      <c r="C40" s="235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5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">
      <c r="A48" s="175" t="s">
        <v>205</v>
      </c>
      <c r="B48" s="183">
        <v>31071532</v>
      </c>
      <c r="C48" s="245">
        <f>ROUND(((B48/CE61)*C61),0)</f>
        <v>1209321</v>
      </c>
      <c r="D48" s="245">
        <f>ROUND(((B48/CE61)*D61),0)</f>
        <v>0</v>
      </c>
      <c r="E48" s="195">
        <f>ROUND(((B48/CE61)*E61),0)</f>
        <v>1913557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154396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93741</v>
      </c>
      <c r="P48" s="195">
        <f>ROUND(((B48/CE61)*P61),0)</f>
        <v>748048</v>
      </c>
      <c r="Q48" s="195">
        <f>ROUND(((B48/CE61)*Q61),0)</f>
        <v>161187</v>
      </c>
      <c r="R48" s="195">
        <f>ROUND(((B48/CE61)*R61),0)</f>
        <v>69972</v>
      </c>
      <c r="S48" s="195">
        <f>ROUND(((B48/CE61)*S61),0)</f>
        <v>139067</v>
      </c>
      <c r="T48" s="195">
        <f>ROUND(((B48/CE61)*T61),0)</f>
        <v>19085</v>
      </c>
      <c r="U48" s="195">
        <f>ROUND(((B48/CE61)*U61),0)</f>
        <v>1198391</v>
      </c>
      <c r="V48" s="195">
        <f>ROUND(((B48/CE61)*V61),0)</f>
        <v>657463</v>
      </c>
      <c r="W48" s="195">
        <f>ROUND(((B48/CE61)*W61),0)</f>
        <v>188231</v>
      </c>
      <c r="X48" s="195">
        <f>ROUND(((B48/CE61)*X61),0)</f>
        <v>256050</v>
      </c>
      <c r="Y48" s="195">
        <f>ROUND(((B48/CE61)*Y61),0)</f>
        <v>1309236</v>
      </c>
      <c r="Z48" s="195">
        <f>ROUND(((B48/CE61)*Z61),0)</f>
        <v>719501</v>
      </c>
      <c r="AA48" s="195">
        <f>ROUND(((B48/CE61)*AA61),0)</f>
        <v>25030</v>
      </c>
      <c r="AB48" s="195">
        <f>ROUND(((B48/CE61)*AB61),0)</f>
        <v>676948</v>
      </c>
      <c r="AC48" s="195">
        <f>ROUND(((B48/CE61)*AC61),0)</f>
        <v>250986</v>
      </c>
      <c r="AD48" s="195">
        <f>ROUND(((B48/CE61)*AD61),0)</f>
        <v>0</v>
      </c>
      <c r="AE48" s="195">
        <f>ROUND(((B48/CE61)*AE61),0)</f>
        <v>943719</v>
      </c>
      <c r="AF48" s="195">
        <f>ROUND(((B48/CE61)*AF61),0)</f>
        <v>0</v>
      </c>
      <c r="AG48" s="195">
        <f>ROUND(((B48/CE61)*AG61),0)</f>
        <v>1418659</v>
      </c>
      <c r="AH48" s="195">
        <f>ROUND(((B48/CE61)*AH61),0)</f>
        <v>0</v>
      </c>
      <c r="AI48" s="195">
        <f>ROUND(((B48/CE61)*AI61),0)</f>
        <v>570532</v>
      </c>
      <c r="AJ48" s="195">
        <f>ROUND(((B48/CE61)*AJ61),0)</f>
        <v>8552270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1458558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1025784</v>
      </c>
      <c r="AW48" s="195">
        <f>ROUND(((B48/CE61)*AW61),0)</f>
        <v>0</v>
      </c>
      <c r="AX48" s="195">
        <f>ROUND(((B48/CE61)*AX61),0)</f>
        <v>14468</v>
      </c>
      <c r="AY48" s="195">
        <f>ROUND(((B48/CE61)*AY61),0)</f>
        <v>397597</v>
      </c>
      <c r="AZ48" s="195">
        <f>ROUND(((B48/CE61)*AZ61),0)</f>
        <v>59736</v>
      </c>
      <c r="BA48" s="195">
        <f>ROUND(((B48/CE61)*BA61),0)</f>
        <v>87770</v>
      </c>
      <c r="BB48" s="195">
        <f>ROUND(((B48/CE61)*BB61),0)</f>
        <v>329897</v>
      </c>
      <c r="BC48" s="195">
        <f>ROUND(((B48/CE61)*BC61),0)</f>
        <v>0</v>
      </c>
      <c r="BD48" s="195">
        <f>ROUND(((B48/CE61)*BD61),0)</f>
        <v>328936</v>
      </c>
      <c r="BE48" s="195">
        <f>ROUND(((B48/CE61)*BE61),0)</f>
        <v>294581</v>
      </c>
      <c r="BF48" s="195">
        <f>ROUND(((B48/CE61)*BF61),0)</f>
        <v>473905</v>
      </c>
      <c r="BG48" s="195">
        <f>ROUND(((B48/CE61)*BG61),0)</f>
        <v>0</v>
      </c>
      <c r="BH48" s="195">
        <f>ROUND(((B48/CE61)*BH61),0)</f>
        <v>628778</v>
      </c>
      <c r="BI48" s="195">
        <f>ROUND(((B48/CE61)*BI61),0)</f>
        <v>225655</v>
      </c>
      <c r="BJ48" s="195">
        <f>ROUND(((B48/CE61)*BJ61),0)</f>
        <v>303377</v>
      </c>
      <c r="BK48" s="195">
        <f>ROUND(((B48/CE61)*BK61),0)</f>
        <v>495856</v>
      </c>
      <c r="BL48" s="195">
        <f>ROUND(((B48/CE61)*BL61),0)</f>
        <v>1092391</v>
      </c>
      <c r="BM48" s="195">
        <f>ROUND(((B48/CE61)*BM61),0)</f>
        <v>0</v>
      </c>
      <c r="BN48" s="195">
        <f>ROUND(((B48/CE61)*BN61),0)</f>
        <v>209421</v>
      </c>
      <c r="BO48" s="195">
        <f>ROUND(((B48/CE61)*BO61),0)</f>
        <v>93913</v>
      </c>
      <c r="BP48" s="195">
        <f>ROUND(((B48/CE61)*BP61),0)</f>
        <v>84060</v>
      </c>
      <c r="BQ48" s="195">
        <f>ROUND(((B48/CE61)*BQ61),0)</f>
        <v>0</v>
      </c>
      <c r="BR48" s="195">
        <f>ROUND(((B48/CE61)*BR61),0)</f>
        <v>304951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192399</v>
      </c>
      <c r="BW48" s="195">
        <f>ROUND(((B48/CE61)*BW61),0)</f>
        <v>47893</v>
      </c>
      <c r="BX48" s="195">
        <f>ROUND(((B48/CE61)*BX61),0)</f>
        <v>0</v>
      </c>
      <c r="BY48" s="195">
        <f>ROUND(((B48/CE61)*BY61),0)</f>
        <v>301480</v>
      </c>
      <c r="BZ48" s="195">
        <f>ROUND(((B48/CE61)*BZ61),0)</f>
        <v>0</v>
      </c>
      <c r="CA48" s="195">
        <f>ROUND(((B48/CE61)*CA61),0)</f>
        <v>108199</v>
      </c>
      <c r="CB48" s="195">
        <f>ROUND(((B48/CE61)*CB61),0)</f>
        <v>0</v>
      </c>
      <c r="CC48" s="195">
        <f>ROUND(((B48/CE61)*CC61),0)</f>
        <v>1236538</v>
      </c>
      <c r="CD48" s="195"/>
      <c r="CE48" s="195">
        <f>SUM(C48:CD48)</f>
        <v>31071533</v>
      </c>
    </row>
    <row r="49" spans="1:84" ht="12.65" customHeight="1" x14ac:dyDescent="0.3">
      <c r="A49" s="175" t="s">
        <v>206</v>
      </c>
      <c r="B49" s="195">
        <f>B47+B48</f>
        <v>31071532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64303.9</v>
      </c>
      <c r="D51" s="184"/>
      <c r="E51" s="184">
        <v>52997.43</v>
      </c>
      <c r="F51" s="184"/>
      <c r="G51" s="184"/>
      <c r="H51" s="184"/>
      <c r="I51" s="184"/>
      <c r="J51" s="184">
        <v>7695.78</v>
      </c>
      <c r="K51" s="184"/>
      <c r="L51" s="184"/>
      <c r="M51" s="184"/>
      <c r="N51" s="184"/>
      <c r="O51" s="184">
        <v>4672.4399999999996</v>
      </c>
      <c r="P51" s="184">
        <v>563604.03</v>
      </c>
      <c r="Q51" s="184">
        <v>448.69</v>
      </c>
      <c r="R51" s="184">
        <v>52381.83</v>
      </c>
      <c r="S51" s="184">
        <v>143946.31</v>
      </c>
      <c r="T51" s="184"/>
      <c r="U51" s="184">
        <v>297276.74</v>
      </c>
      <c r="V51" s="184">
        <v>213709.52</v>
      </c>
      <c r="W51" s="184">
        <v>218818.67</v>
      </c>
      <c r="X51" s="184">
        <v>73659.399999999994</v>
      </c>
      <c r="Y51" s="184">
        <v>594494.85</v>
      </c>
      <c r="Z51" s="184">
        <v>359523.36</v>
      </c>
      <c r="AA51" s="184">
        <v>13026.04</v>
      </c>
      <c r="AB51" s="184">
        <v>203546.12</v>
      </c>
      <c r="AC51" s="184">
        <v>51587.88</v>
      </c>
      <c r="AD51" s="184"/>
      <c r="AE51" s="184">
        <v>9487.34</v>
      </c>
      <c r="AF51" s="184"/>
      <c r="AG51" s="184">
        <v>113786</v>
      </c>
      <c r="AH51" s="184"/>
      <c r="AI51" s="184">
        <v>35919.97</v>
      </c>
      <c r="AJ51" s="184">
        <v>836014.59</v>
      </c>
      <c r="AK51" s="184"/>
      <c r="AL51" s="184"/>
      <c r="AM51" s="184"/>
      <c r="AN51" s="184"/>
      <c r="AO51" s="184"/>
      <c r="AP51" s="184"/>
      <c r="AQ51" s="184"/>
      <c r="AR51" s="184">
        <v>7391.37</v>
      </c>
      <c r="AS51" s="184"/>
      <c r="AT51" s="184"/>
      <c r="AU51" s="184"/>
      <c r="AV51" s="184">
        <v>1413.13</v>
      </c>
      <c r="AW51" s="184"/>
      <c r="AX51" s="184">
        <v>10669.14</v>
      </c>
      <c r="AY51" s="184">
        <v>60037.71</v>
      </c>
      <c r="AZ51" s="184">
        <v>2725.27</v>
      </c>
      <c r="BA51" s="184">
        <v>31494.400000000001</v>
      </c>
      <c r="BB51" s="184">
        <v>675.15</v>
      </c>
      <c r="BC51" s="184"/>
      <c r="BD51" s="184">
        <v>11508.26</v>
      </c>
      <c r="BE51" s="184">
        <v>95007.679999999993</v>
      </c>
      <c r="BF51" s="184">
        <v>2999.59</v>
      </c>
      <c r="BG51" s="184"/>
      <c r="BH51" s="184">
        <v>1758153.08</v>
      </c>
      <c r="BI51" s="184">
        <v>76048.429999999993</v>
      </c>
      <c r="BJ51" s="184">
        <v>14464.16</v>
      </c>
      <c r="BK51" s="184">
        <v>1222.6400000000001</v>
      </c>
      <c r="BL51" s="184">
        <v>3712.55</v>
      </c>
      <c r="BM51" s="184"/>
      <c r="BN51" s="184">
        <v>9116.24</v>
      </c>
      <c r="BO51" s="184">
        <v>465.53</v>
      </c>
      <c r="BP51" s="184">
        <v>1554.88</v>
      </c>
      <c r="BQ51" s="184"/>
      <c r="BR51" s="184">
        <v>13785.79</v>
      </c>
      <c r="BS51" s="184"/>
      <c r="BT51" s="184"/>
      <c r="BU51" s="184"/>
      <c r="BV51" s="184">
        <v>2404.39</v>
      </c>
      <c r="BW51" s="184">
        <v>3991.83</v>
      </c>
      <c r="BX51" s="184"/>
      <c r="BY51" s="184">
        <v>3336.82</v>
      </c>
      <c r="BZ51" s="184"/>
      <c r="CA51" s="184">
        <v>13778.62</v>
      </c>
      <c r="CB51" s="184"/>
      <c r="CC51" s="184">
        <v>5367028.78</v>
      </c>
      <c r="CD51" s="195"/>
      <c r="CE51" s="195">
        <f>SUM(C51:CD51)</f>
        <v>11403886.33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4227</v>
      </c>
      <c r="D59" s="184"/>
      <c r="E59" s="184">
        <f>9249+996</f>
        <v>10245</v>
      </c>
      <c r="F59" s="184"/>
      <c r="G59" s="184"/>
      <c r="H59" s="184"/>
      <c r="I59" s="184"/>
      <c r="J59" s="184">
        <v>794</v>
      </c>
      <c r="K59" s="184"/>
      <c r="L59" s="184"/>
      <c r="M59" s="184"/>
      <c r="N59" s="184"/>
      <c r="O59" s="184">
        <v>322</v>
      </c>
      <c r="P59" s="185">
        <v>297602</v>
      </c>
      <c r="Q59" s="185">
        <v>188405</v>
      </c>
      <c r="R59" s="185">
        <v>413977</v>
      </c>
      <c r="S59" s="248"/>
      <c r="T59" s="248"/>
      <c r="U59" s="224">
        <v>748874</v>
      </c>
      <c r="V59" s="185">
        <v>30977</v>
      </c>
      <c r="W59" s="185">
        <v>7355</v>
      </c>
      <c r="X59" s="185">
        <v>22178</v>
      </c>
      <c r="Y59" s="185">
        <v>77488</v>
      </c>
      <c r="Z59" s="185"/>
      <c r="AA59" s="185">
        <v>695</v>
      </c>
      <c r="AB59" s="248"/>
      <c r="AC59" s="185">
        <v>18650</v>
      </c>
      <c r="AD59" s="185"/>
      <c r="AE59" s="185">
        <v>89937</v>
      </c>
      <c r="AF59" s="185"/>
      <c r="AG59" s="185">
        <v>25003</v>
      </c>
      <c r="AH59" s="185"/>
      <c r="AI59" s="185">
        <v>6732</v>
      </c>
      <c r="AJ59" s="185">
        <v>182822</v>
      </c>
      <c r="AK59" s="185"/>
      <c r="AL59" s="185"/>
      <c r="AM59" s="185"/>
      <c r="AN59" s="185"/>
      <c r="AO59" s="185"/>
      <c r="AP59" s="185"/>
      <c r="AQ59" s="185"/>
      <c r="AR59" s="185">
        <v>49870</v>
      </c>
      <c r="AS59" s="185"/>
      <c r="AT59" s="185"/>
      <c r="AU59" s="185"/>
      <c r="AV59" s="248"/>
      <c r="AW59" s="248"/>
      <c r="AX59" s="248"/>
      <c r="AY59" s="185"/>
      <c r="AZ59" s="185"/>
      <c r="BA59" s="248"/>
      <c r="BB59" s="248"/>
      <c r="BC59" s="248"/>
      <c r="BD59" s="248"/>
      <c r="BE59" s="185">
        <v>439385.0500000001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48.99</v>
      </c>
      <c r="D60" s="187"/>
      <c r="E60" s="187">
        <v>83.72</v>
      </c>
      <c r="F60" s="223"/>
      <c r="G60" s="187"/>
      <c r="H60" s="187"/>
      <c r="I60" s="187"/>
      <c r="J60" s="223">
        <v>5.34</v>
      </c>
      <c r="K60" s="187"/>
      <c r="L60" s="187"/>
      <c r="M60" s="187"/>
      <c r="N60" s="187"/>
      <c r="O60" s="187">
        <v>3.24</v>
      </c>
      <c r="P60" s="221">
        <v>36.97</v>
      </c>
      <c r="Q60" s="221">
        <v>6.48</v>
      </c>
      <c r="R60" s="221">
        <v>2.8</v>
      </c>
      <c r="S60" s="221">
        <v>11.37</v>
      </c>
      <c r="T60" s="221">
        <v>0.61</v>
      </c>
      <c r="U60" s="221">
        <v>70.38</v>
      </c>
      <c r="V60" s="221">
        <v>31.51</v>
      </c>
      <c r="W60" s="221">
        <v>7.61</v>
      </c>
      <c r="X60" s="221">
        <v>11.2</v>
      </c>
      <c r="Y60" s="221">
        <v>67.45</v>
      </c>
      <c r="Z60" s="221">
        <v>22.31</v>
      </c>
      <c r="AA60" s="221">
        <v>0.94</v>
      </c>
      <c r="AB60" s="221">
        <v>22.95</v>
      </c>
      <c r="AC60" s="221">
        <v>10.69</v>
      </c>
      <c r="AD60" s="221"/>
      <c r="AE60" s="221">
        <v>43.05</v>
      </c>
      <c r="AF60" s="221"/>
      <c r="AG60" s="221">
        <v>59.27</v>
      </c>
      <c r="AH60" s="221"/>
      <c r="AI60" s="221">
        <v>23.73</v>
      </c>
      <c r="AJ60" s="221">
        <v>292.11</v>
      </c>
      <c r="AK60" s="221"/>
      <c r="AL60" s="221"/>
      <c r="AM60" s="221"/>
      <c r="AN60" s="221"/>
      <c r="AO60" s="221"/>
      <c r="AP60" s="221"/>
      <c r="AQ60" s="221"/>
      <c r="AR60" s="221">
        <v>68.5</v>
      </c>
      <c r="AS60" s="221"/>
      <c r="AT60" s="221"/>
      <c r="AU60" s="221"/>
      <c r="AV60" s="221">
        <v>18.53</v>
      </c>
      <c r="AW60" s="221"/>
      <c r="AX60" s="221">
        <v>1.01</v>
      </c>
      <c r="AY60" s="221">
        <v>3.67</v>
      </c>
      <c r="AZ60" s="221">
        <v>36.04</v>
      </c>
      <c r="BA60" s="221">
        <v>8.11</v>
      </c>
      <c r="BB60" s="221">
        <v>14.15</v>
      </c>
      <c r="BC60" s="221"/>
      <c r="BD60" s="221">
        <v>25.58</v>
      </c>
      <c r="BE60" s="221">
        <v>20.54</v>
      </c>
      <c r="BF60" s="221">
        <v>45.61</v>
      </c>
      <c r="BG60" s="221"/>
      <c r="BH60" s="221">
        <v>29.45</v>
      </c>
      <c r="BI60" s="221">
        <v>17.39</v>
      </c>
      <c r="BJ60" s="221">
        <v>16.7</v>
      </c>
      <c r="BK60" s="221">
        <v>36.97</v>
      </c>
      <c r="BL60" s="221">
        <v>102.88</v>
      </c>
      <c r="BM60" s="221"/>
      <c r="BN60" s="221">
        <v>4.1399999999999997</v>
      </c>
      <c r="BO60" s="221">
        <v>4.3099999999999996</v>
      </c>
      <c r="BP60" s="221">
        <v>3.89</v>
      </c>
      <c r="BQ60" s="221"/>
      <c r="BR60" s="221">
        <v>17.8</v>
      </c>
      <c r="BS60" s="221"/>
      <c r="BT60" s="221"/>
      <c r="BU60" s="221"/>
      <c r="BV60" s="221">
        <v>13.95</v>
      </c>
      <c r="BW60" s="221">
        <v>1.99</v>
      </c>
      <c r="BX60" s="221"/>
      <c r="BY60" s="221">
        <v>13.77</v>
      </c>
      <c r="BZ60" s="221"/>
      <c r="CA60" s="221">
        <v>4.99</v>
      </c>
      <c r="CB60" s="221"/>
      <c r="CC60" s="221">
        <v>37.630000000000003</v>
      </c>
      <c r="CD60" s="249" t="s">
        <v>221</v>
      </c>
      <c r="CE60" s="251">
        <f t="shared" ref="CE60:CE70" si="0">SUM(C60:CD60)</f>
        <v>1410.3200000000002</v>
      </c>
    </row>
    <row r="61" spans="1:84" ht="12.65" customHeight="1" x14ac:dyDescent="0.3">
      <c r="A61" s="171" t="s">
        <v>235</v>
      </c>
      <c r="B61" s="175"/>
      <c r="C61" s="184">
        <v>4517937.28</v>
      </c>
      <c r="D61" s="184"/>
      <c r="E61" s="184">
        <v>7148912.9800000004</v>
      </c>
      <c r="F61" s="185"/>
      <c r="G61" s="184"/>
      <c r="H61" s="184"/>
      <c r="I61" s="185"/>
      <c r="J61" s="185">
        <v>576813.85</v>
      </c>
      <c r="K61" s="185"/>
      <c r="L61" s="185"/>
      <c r="M61" s="184"/>
      <c r="N61" s="184"/>
      <c r="O61" s="184">
        <v>350208.41</v>
      </c>
      <c r="P61" s="185">
        <v>2794653.01</v>
      </c>
      <c r="Q61" s="185">
        <v>602184.88</v>
      </c>
      <c r="R61" s="185">
        <v>261410.48</v>
      </c>
      <c r="S61" s="185">
        <v>519545.46</v>
      </c>
      <c r="T61" s="185">
        <v>71300.92</v>
      </c>
      <c r="U61" s="185">
        <v>4477102.83</v>
      </c>
      <c r="V61" s="185">
        <v>2456234.29</v>
      </c>
      <c r="W61" s="185">
        <v>703217.24</v>
      </c>
      <c r="X61" s="185">
        <v>956585.57</v>
      </c>
      <c r="Y61" s="185">
        <v>4891213.29</v>
      </c>
      <c r="Z61" s="185">
        <v>2688005.54</v>
      </c>
      <c r="AA61" s="185">
        <v>93509.4</v>
      </c>
      <c r="AB61" s="185">
        <v>2529030.75</v>
      </c>
      <c r="AC61" s="185">
        <v>937665.17</v>
      </c>
      <c r="AD61" s="185"/>
      <c r="AE61" s="185">
        <v>3525667.47</v>
      </c>
      <c r="AF61" s="185"/>
      <c r="AG61" s="185">
        <v>5300010.75</v>
      </c>
      <c r="AH61" s="185"/>
      <c r="AI61" s="185">
        <v>2131467.1800000002</v>
      </c>
      <c r="AJ61" s="185">
        <v>31950676.800000001</v>
      </c>
      <c r="AK61" s="185"/>
      <c r="AL61" s="185"/>
      <c r="AM61" s="185"/>
      <c r="AN61" s="185"/>
      <c r="AO61" s="185"/>
      <c r="AP61" s="185"/>
      <c r="AQ61" s="185"/>
      <c r="AR61" s="185">
        <v>5449069.4100000001</v>
      </c>
      <c r="AS61" s="185"/>
      <c r="AT61" s="185"/>
      <c r="AU61" s="185"/>
      <c r="AV61" s="185">
        <v>3832255.55</v>
      </c>
      <c r="AW61" s="185"/>
      <c r="AX61" s="185">
        <v>54050.98</v>
      </c>
      <c r="AY61" s="185">
        <v>1485393.53</v>
      </c>
      <c r="AZ61" s="185">
        <v>223169.66</v>
      </c>
      <c r="BA61" s="185">
        <v>327903.93</v>
      </c>
      <c r="BB61" s="185">
        <v>1232471.47</v>
      </c>
      <c r="BC61" s="185"/>
      <c r="BD61" s="185">
        <v>1228882.44</v>
      </c>
      <c r="BE61" s="185">
        <v>1100535.08</v>
      </c>
      <c r="BF61" s="185">
        <v>1770475.6</v>
      </c>
      <c r="BG61" s="185"/>
      <c r="BH61" s="185">
        <v>2349068.75</v>
      </c>
      <c r="BI61" s="185">
        <v>843031.98</v>
      </c>
      <c r="BJ61" s="185">
        <v>1133395.8400000001</v>
      </c>
      <c r="BK61" s="185">
        <v>1852483.05</v>
      </c>
      <c r="BL61" s="185">
        <v>4081094.2</v>
      </c>
      <c r="BM61" s="185"/>
      <c r="BN61" s="185">
        <v>782383.67</v>
      </c>
      <c r="BO61" s="185">
        <v>350853.1</v>
      </c>
      <c r="BP61" s="185">
        <v>314042.83</v>
      </c>
      <c r="BQ61" s="185"/>
      <c r="BR61" s="185">
        <v>1139274.81</v>
      </c>
      <c r="BS61" s="185"/>
      <c r="BT61" s="185"/>
      <c r="BU61" s="185"/>
      <c r="BV61" s="185">
        <v>718790.75</v>
      </c>
      <c r="BW61" s="185">
        <v>178924.08</v>
      </c>
      <c r="BX61" s="185"/>
      <c r="BY61" s="185">
        <v>1126309.0900000001</v>
      </c>
      <c r="BZ61" s="185"/>
      <c r="CA61" s="185">
        <v>404223.14</v>
      </c>
      <c r="CB61" s="185"/>
      <c r="CC61" s="185">
        <v>4619618.3099999996</v>
      </c>
      <c r="CD61" s="249" t="s">
        <v>221</v>
      </c>
      <c r="CE61" s="195">
        <f t="shared" si="0"/>
        <v>116081054.8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1209321</v>
      </c>
      <c r="D62" s="195">
        <f t="shared" si="1"/>
        <v>0</v>
      </c>
      <c r="E62" s="195">
        <f t="shared" si="1"/>
        <v>1913557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154396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93741</v>
      </c>
      <c r="P62" s="195">
        <f t="shared" si="1"/>
        <v>748048</v>
      </c>
      <c r="Q62" s="195">
        <f t="shared" si="1"/>
        <v>161187</v>
      </c>
      <c r="R62" s="195">
        <f t="shared" si="1"/>
        <v>69972</v>
      </c>
      <c r="S62" s="195">
        <f t="shared" si="1"/>
        <v>139067</v>
      </c>
      <c r="T62" s="195">
        <f t="shared" si="1"/>
        <v>19085</v>
      </c>
      <c r="U62" s="195">
        <f t="shared" si="1"/>
        <v>1198391</v>
      </c>
      <c r="V62" s="195">
        <f t="shared" si="1"/>
        <v>657463</v>
      </c>
      <c r="W62" s="195">
        <f t="shared" si="1"/>
        <v>188231</v>
      </c>
      <c r="X62" s="195">
        <f t="shared" si="1"/>
        <v>256050</v>
      </c>
      <c r="Y62" s="195">
        <f t="shared" si="1"/>
        <v>1309236</v>
      </c>
      <c r="Z62" s="195">
        <f t="shared" si="1"/>
        <v>719501</v>
      </c>
      <c r="AA62" s="195">
        <f t="shared" si="1"/>
        <v>25030</v>
      </c>
      <c r="AB62" s="195">
        <f t="shared" si="1"/>
        <v>676948</v>
      </c>
      <c r="AC62" s="195">
        <f t="shared" si="1"/>
        <v>250986</v>
      </c>
      <c r="AD62" s="195">
        <f t="shared" si="1"/>
        <v>0</v>
      </c>
      <c r="AE62" s="195">
        <f t="shared" si="1"/>
        <v>943719</v>
      </c>
      <c r="AF62" s="195">
        <f t="shared" si="1"/>
        <v>0</v>
      </c>
      <c r="AG62" s="195">
        <f t="shared" si="1"/>
        <v>1418659</v>
      </c>
      <c r="AH62" s="195">
        <f t="shared" si="1"/>
        <v>0</v>
      </c>
      <c r="AI62" s="195">
        <f t="shared" si="1"/>
        <v>570532</v>
      </c>
      <c r="AJ62" s="195">
        <f t="shared" si="1"/>
        <v>8552270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1458558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1025784</v>
      </c>
      <c r="AW62" s="195">
        <f t="shared" si="1"/>
        <v>0</v>
      </c>
      <c r="AX62" s="195">
        <f t="shared" si="1"/>
        <v>14468</v>
      </c>
      <c r="AY62" s="195">
        <f>ROUND(AY47+AY48,0)</f>
        <v>397597</v>
      </c>
      <c r="AZ62" s="195">
        <f>ROUND(AZ47+AZ48,0)</f>
        <v>59736</v>
      </c>
      <c r="BA62" s="195">
        <f>ROUND(BA47+BA48,0)</f>
        <v>87770</v>
      </c>
      <c r="BB62" s="195">
        <f t="shared" si="1"/>
        <v>329897</v>
      </c>
      <c r="BC62" s="195">
        <f t="shared" si="1"/>
        <v>0</v>
      </c>
      <c r="BD62" s="195">
        <f t="shared" si="1"/>
        <v>328936</v>
      </c>
      <c r="BE62" s="195">
        <f t="shared" si="1"/>
        <v>294581</v>
      </c>
      <c r="BF62" s="195">
        <f t="shared" si="1"/>
        <v>473905</v>
      </c>
      <c r="BG62" s="195">
        <f t="shared" si="1"/>
        <v>0</v>
      </c>
      <c r="BH62" s="195">
        <f t="shared" si="1"/>
        <v>628778</v>
      </c>
      <c r="BI62" s="195">
        <f t="shared" si="1"/>
        <v>225655</v>
      </c>
      <c r="BJ62" s="195">
        <f t="shared" si="1"/>
        <v>303377</v>
      </c>
      <c r="BK62" s="195">
        <f t="shared" si="1"/>
        <v>495856</v>
      </c>
      <c r="BL62" s="195">
        <f t="shared" si="1"/>
        <v>1092391</v>
      </c>
      <c r="BM62" s="195">
        <f t="shared" si="1"/>
        <v>0</v>
      </c>
      <c r="BN62" s="195">
        <f t="shared" si="1"/>
        <v>209421</v>
      </c>
      <c r="BO62" s="195">
        <f t="shared" ref="BO62:CC62" si="2">ROUND(BO47+BO48,0)</f>
        <v>93913</v>
      </c>
      <c r="BP62" s="195">
        <f t="shared" si="2"/>
        <v>84060</v>
      </c>
      <c r="BQ62" s="195">
        <f t="shared" si="2"/>
        <v>0</v>
      </c>
      <c r="BR62" s="195">
        <f t="shared" si="2"/>
        <v>304951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192399</v>
      </c>
      <c r="BW62" s="195">
        <f t="shared" si="2"/>
        <v>47893</v>
      </c>
      <c r="BX62" s="195">
        <f t="shared" si="2"/>
        <v>0</v>
      </c>
      <c r="BY62" s="195">
        <f t="shared" si="2"/>
        <v>301480</v>
      </c>
      <c r="BZ62" s="195">
        <f t="shared" si="2"/>
        <v>0</v>
      </c>
      <c r="CA62" s="195">
        <f t="shared" si="2"/>
        <v>108199</v>
      </c>
      <c r="CB62" s="195">
        <f t="shared" si="2"/>
        <v>0</v>
      </c>
      <c r="CC62" s="195">
        <f t="shared" si="2"/>
        <v>1236538</v>
      </c>
      <c r="CD62" s="249" t="s">
        <v>221</v>
      </c>
      <c r="CE62" s="195">
        <f t="shared" si="0"/>
        <v>31071533</v>
      </c>
      <c r="CF62" s="252"/>
    </row>
    <row r="63" spans="1:84" ht="12.65" customHeight="1" x14ac:dyDescent="0.3">
      <c r="A63" s="171" t="s">
        <v>236</v>
      </c>
      <c r="B63" s="175"/>
      <c r="C63" s="184"/>
      <c r="D63" s="184"/>
      <c r="E63" s="184">
        <v>68194.64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v>1029393</v>
      </c>
      <c r="S63" s="185"/>
      <c r="T63" s="185"/>
      <c r="U63" s="185">
        <v>41250</v>
      </c>
      <c r="V63" s="185">
        <v>177800</v>
      </c>
      <c r="W63" s="185"/>
      <c r="X63" s="185"/>
      <c r="Y63" s="185">
        <v>12000</v>
      </c>
      <c r="Z63" s="185">
        <v>6192.08</v>
      </c>
      <c r="AA63" s="185"/>
      <c r="AB63" s="185">
        <v>55358.15</v>
      </c>
      <c r="AC63" s="185"/>
      <c r="AD63" s="185"/>
      <c r="AE63" s="185"/>
      <c r="AF63" s="185"/>
      <c r="AG63" s="185">
        <v>5145209.09</v>
      </c>
      <c r="AH63" s="185"/>
      <c r="AI63" s="185"/>
      <c r="AJ63" s="185">
        <v>2547588.4500000002</v>
      </c>
      <c r="AK63" s="185"/>
      <c r="AL63" s="185"/>
      <c r="AM63" s="185"/>
      <c r="AN63" s="185"/>
      <c r="AO63" s="185"/>
      <c r="AP63" s="185"/>
      <c r="AQ63" s="185"/>
      <c r="AR63" s="185">
        <v>16750</v>
      </c>
      <c r="AS63" s="185"/>
      <c r="AT63" s="185"/>
      <c r="AU63" s="185"/>
      <c r="AV63" s="185">
        <v>148510.99</v>
      </c>
      <c r="AW63" s="185"/>
      <c r="AX63" s="185"/>
      <c r="AY63" s="185"/>
      <c r="AZ63" s="185"/>
      <c r="BA63" s="185"/>
      <c r="BB63" s="185"/>
      <c r="BC63" s="185"/>
      <c r="BD63" s="185">
        <v>8319.16</v>
      </c>
      <c r="BE63" s="185">
        <v>10468.25</v>
      </c>
      <c r="BF63" s="185"/>
      <c r="BG63" s="185"/>
      <c r="BH63" s="185">
        <v>280102.53999999998</v>
      </c>
      <c r="BI63" s="185"/>
      <c r="BJ63" s="185">
        <v>118282.83</v>
      </c>
      <c r="BK63" s="185"/>
      <c r="BL63" s="185"/>
      <c r="BM63" s="185"/>
      <c r="BN63" s="185">
        <v>221770.66</v>
      </c>
      <c r="BO63" s="185"/>
      <c r="BP63" s="185">
        <v>2405.52</v>
      </c>
      <c r="BQ63" s="185"/>
      <c r="BR63" s="185">
        <v>90731.15</v>
      </c>
      <c r="BS63" s="185"/>
      <c r="BT63" s="185"/>
      <c r="BU63" s="185"/>
      <c r="BV63" s="185"/>
      <c r="BW63" s="185">
        <v>15000</v>
      </c>
      <c r="BX63" s="185"/>
      <c r="BY63" s="185"/>
      <c r="BZ63" s="185"/>
      <c r="CA63" s="185"/>
      <c r="CB63" s="185"/>
      <c r="CC63" s="185">
        <v>85207.039999999994</v>
      </c>
      <c r="CD63" s="249" t="s">
        <v>221</v>
      </c>
      <c r="CE63" s="195">
        <f t="shared" si="0"/>
        <v>10080533.549999999</v>
      </c>
      <c r="CF63" s="252"/>
    </row>
    <row r="64" spans="1:84" ht="12.65" customHeight="1" x14ac:dyDescent="0.3">
      <c r="A64" s="171" t="s">
        <v>237</v>
      </c>
      <c r="B64" s="175"/>
      <c r="C64" s="184">
        <v>460799.24</v>
      </c>
      <c r="D64" s="184"/>
      <c r="E64" s="185">
        <v>549632.43000000005</v>
      </c>
      <c r="F64" s="185"/>
      <c r="G64" s="184"/>
      <c r="H64" s="184"/>
      <c r="I64" s="185"/>
      <c r="J64" s="185">
        <v>43460.93</v>
      </c>
      <c r="K64" s="185"/>
      <c r="L64" s="185"/>
      <c r="M64" s="184"/>
      <c r="N64" s="184"/>
      <c r="O64" s="184">
        <v>26387</v>
      </c>
      <c r="P64" s="185">
        <v>7022444.6900000004</v>
      </c>
      <c r="Q64" s="185">
        <v>31719.42</v>
      </c>
      <c r="R64" s="185">
        <v>216144.13</v>
      </c>
      <c r="S64" s="185">
        <v>193870.5</v>
      </c>
      <c r="T64" s="185">
        <v>97925.440000000002</v>
      </c>
      <c r="U64" s="185">
        <v>1815914.05</v>
      </c>
      <c r="V64" s="185">
        <v>363219.01</v>
      </c>
      <c r="W64" s="185">
        <v>51644.23</v>
      </c>
      <c r="X64" s="185">
        <v>179360.03</v>
      </c>
      <c r="Y64" s="185">
        <v>387033.28</v>
      </c>
      <c r="Z64" s="185">
        <v>60778.17</v>
      </c>
      <c r="AA64" s="185">
        <v>563086.52</v>
      </c>
      <c r="AB64" s="185">
        <v>19447267.690000001</v>
      </c>
      <c r="AC64" s="185">
        <v>173351.96</v>
      </c>
      <c r="AD64" s="185"/>
      <c r="AE64" s="185">
        <v>63488.33</v>
      </c>
      <c r="AF64" s="185"/>
      <c r="AG64" s="185">
        <v>723463.5</v>
      </c>
      <c r="AH64" s="185"/>
      <c r="AI64" s="185">
        <v>263196.02</v>
      </c>
      <c r="AJ64" s="185">
        <v>2809188.18</v>
      </c>
      <c r="AK64" s="185"/>
      <c r="AL64" s="185"/>
      <c r="AM64" s="185"/>
      <c r="AN64" s="185"/>
      <c r="AO64" s="185"/>
      <c r="AP64" s="185"/>
      <c r="AQ64" s="185"/>
      <c r="AR64" s="185">
        <v>243510.38</v>
      </c>
      <c r="AS64" s="185"/>
      <c r="AT64" s="185"/>
      <c r="AU64" s="185"/>
      <c r="AV64" s="185">
        <v>18457.62</v>
      </c>
      <c r="AW64" s="185"/>
      <c r="AX64" s="185">
        <v>55792.959999999999</v>
      </c>
      <c r="AY64" s="185">
        <v>734308.29</v>
      </c>
      <c r="AZ64" s="185">
        <v>1270.19</v>
      </c>
      <c r="BA64" s="185">
        <v>179939.18</v>
      </c>
      <c r="BB64" s="185">
        <v>4014.08</v>
      </c>
      <c r="BC64" s="185"/>
      <c r="BD64" s="185">
        <v>151257.51999999999</v>
      </c>
      <c r="BE64" s="185">
        <v>269857.99</v>
      </c>
      <c r="BF64" s="185">
        <v>359651.27</v>
      </c>
      <c r="BG64" s="185"/>
      <c r="BH64" s="185">
        <v>564433.55000000005</v>
      </c>
      <c r="BI64" s="185">
        <v>8085.22</v>
      </c>
      <c r="BJ64" s="185">
        <v>16418.46</v>
      </c>
      <c r="BK64" s="185">
        <v>18399.97</v>
      </c>
      <c r="BL64" s="185">
        <v>44652.87</v>
      </c>
      <c r="BM64" s="185"/>
      <c r="BN64" s="185">
        <v>15237.06</v>
      </c>
      <c r="BO64" s="185">
        <v>49455.56</v>
      </c>
      <c r="BP64" s="185">
        <v>1300.6600000000001</v>
      </c>
      <c r="BQ64" s="185"/>
      <c r="BR64" s="185">
        <v>21765.13</v>
      </c>
      <c r="BS64" s="185"/>
      <c r="BT64" s="185"/>
      <c r="BU64" s="185"/>
      <c r="BV64" s="185">
        <v>5766.68</v>
      </c>
      <c r="BW64" s="185">
        <v>17863.89</v>
      </c>
      <c r="BX64" s="185"/>
      <c r="BY64" s="185">
        <v>5586.35</v>
      </c>
      <c r="BZ64" s="185"/>
      <c r="CA64" s="185">
        <v>6732.18</v>
      </c>
      <c r="CB64" s="185"/>
      <c r="CC64" s="185">
        <v>1867452.67</v>
      </c>
      <c r="CD64" s="249" t="s">
        <v>221</v>
      </c>
      <c r="CE64" s="195">
        <f t="shared" si="0"/>
        <v>40204584.480000004</v>
      </c>
      <c r="CF64" s="252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>
        <v>800.37</v>
      </c>
      <c r="V65" s="185">
        <v>2452.46</v>
      </c>
      <c r="W65" s="185"/>
      <c r="X65" s="185"/>
      <c r="Y65" s="185"/>
      <c r="Z65" s="185">
        <v>150</v>
      </c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v>228.67</v>
      </c>
      <c r="AK65" s="185"/>
      <c r="AL65" s="185"/>
      <c r="AM65" s="185"/>
      <c r="AN65" s="185"/>
      <c r="AO65" s="185"/>
      <c r="AP65" s="185"/>
      <c r="AQ65" s="185"/>
      <c r="AR65" s="185">
        <v>27860</v>
      </c>
      <c r="AS65" s="185"/>
      <c r="AT65" s="185"/>
      <c r="AU65" s="185"/>
      <c r="AV65" s="185">
        <v>1080</v>
      </c>
      <c r="AW65" s="185"/>
      <c r="AX65" s="185"/>
      <c r="AY65" s="185"/>
      <c r="AZ65" s="185"/>
      <c r="BA65" s="185"/>
      <c r="BB65" s="185">
        <v>60</v>
      </c>
      <c r="BC65" s="185"/>
      <c r="BD65" s="185"/>
      <c r="BE65" s="185">
        <v>2057222.74</v>
      </c>
      <c r="BF65" s="185"/>
      <c r="BG65" s="185"/>
      <c r="BH65" s="185">
        <v>647057.62</v>
      </c>
      <c r="BI65" s="185"/>
      <c r="BJ65" s="185"/>
      <c r="BK65" s="185"/>
      <c r="BL65" s="185"/>
      <c r="BM65" s="185"/>
      <c r="BN65" s="185">
        <v>1260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9" t="s">
        <v>221</v>
      </c>
      <c r="CE65" s="195">
        <f t="shared" si="0"/>
        <v>2738171.86</v>
      </c>
      <c r="CF65" s="252"/>
    </row>
    <row r="66" spans="1:84" ht="12.65" customHeight="1" x14ac:dyDescent="0.3">
      <c r="A66" s="171" t="s">
        <v>239</v>
      </c>
      <c r="B66" s="175"/>
      <c r="C66" s="184">
        <v>534523.25</v>
      </c>
      <c r="D66" s="184"/>
      <c r="E66" s="184">
        <v>641116.79</v>
      </c>
      <c r="F66" s="184"/>
      <c r="G66" s="184"/>
      <c r="H66" s="184"/>
      <c r="I66" s="184"/>
      <c r="J66" s="184">
        <v>80585.2</v>
      </c>
      <c r="K66" s="185"/>
      <c r="L66" s="185"/>
      <c r="M66" s="184"/>
      <c r="N66" s="184"/>
      <c r="O66" s="185">
        <v>48926.73</v>
      </c>
      <c r="P66" s="185">
        <v>208530.59</v>
      </c>
      <c r="Q66" s="185"/>
      <c r="R66" s="185"/>
      <c r="S66" s="184"/>
      <c r="T66" s="184"/>
      <c r="U66" s="185">
        <v>2887063.77</v>
      </c>
      <c r="V66" s="185">
        <v>509.1</v>
      </c>
      <c r="W66" s="185"/>
      <c r="X66" s="185">
        <v>9520</v>
      </c>
      <c r="Y66" s="185">
        <v>797531.77</v>
      </c>
      <c r="Z66" s="185">
        <v>478753.1</v>
      </c>
      <c r="AA66" s="185">
        <v>5331.2</v>
      </c>
      <c r="AB66" s="185">
        <v>433920.42</v>
      </c>
      <c r="AC66" s="185">
        <v>587558.75</v>
      </c>
      <c r="AD66" s="185"/>
      <c r="AE66" s="185">
        <v>45610.25</v>
      </c>
      <c r="AF66" s="185"/>
      <c r="AG66" s="185">
        <v>505753.55</v>
      </c>
      <c r="AH66" s="185">
        <v>10364.25</v>
      </c>
      <c r="AI66" s="185"/>
      <c r="AJ66" s="185">
        <v>217166.7</v>
      </c>
      <c r="AK66" s="185"/>
      <c r="AL66" s="185"/>
      <c r="AM66" s="185"/>
      <c r="AN66" s="185"/>
      <c r="AO66" s="185"/>
      <c r="AP66" s="185"/>
      <c r="AQ66" s="185"/>
      <c r="AR66" s="185">
        <v>935874.17</v>
      </c>
      <c r="AS66" s="185"/>
      <c r="AT66" s="185"/>
      <c r="AU66" s="185"/>
      <c r="AV66" s="185">
        <v>233.55</v>
      </c>
      <c r="AW66" s="185"/>
      <c r="AX66" s="185">
        <v>1075.3699999999999</v>
      </c>
      <c r="AY66" s="185">
        <v>12103.87</v>
      </c>
      <c r="AZ66" s="185"/>
      <c r="BA66" s="185"/>
      <c r="BB66" s="185">
        <v>531827</v>
      </c>
      <c r="BC66" s="185"/>
      <c r="BD66" s="185">
        <v>54629.41</v>
      </c>
      <c r="BE66" s="185">
        <v>200217.83</v>
      </c>
      <c r="BF66" s="185">
        <v>23426.83</v>
      </c>
      <c r="BG66" s="185"/>
      <c r="BH66" s="185">
        <v>956701.72</v>
      </c>
      <c r="BI66" s="185">
        <v>186908.03</v>
      </c>
      <c r="BJ66" s="185">
        <v>288651.95</v>
      </c>
      <c r="BK66" s="185">
        <v>355735.03999999998</v>
      </c>
      <c r="BL66" s="185">
        <v>49015.15</v>
      </c>
      <c r="BM66" s="185"/>
      <c r="BN66" s="185">
        <v>73741.009999999995</v>
      </c>
      <c r="BO66" s="185"/>
      <c r="BP66" s="185">
        <v>80037.899999999994</v>
      </c>
      <c r="BQ66" s="185"/>
      <c r="BR66" s="185">
        <v>79367.210000000006</v>
      </c>
      <c r="BS66" s="185"/>
      <c r="BT66" s="185"/>
      <c r="BU66" s="185"/>
      <c r="BV66" s="185">
        <v>28680.49</v>
      </c>
      <c r="BW66" s="185">
        <v>25475.9</v>
      </c>
      <c r="BX66" s="185"/>
      <c r="BY66" s="185">
        <v>104978.5</v>
      </c>
      <c r="BZ66" s="185"/>
      <c r="CA66" s="185">
        <v>192366.66</v>
      </c>
      <c r="CB66" s="185"/>
      <c r="CC66" s="185">
        <v>4216646.22</v>
      </c>
      <c r="CD66" s="249" t="s">
        <v>221</v>
      </c>
      <c r="CE66" s="195">
        <f t="shared" si="0"/>
        <v>15890459.23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64304</v>
      </c>
      <c r="D67" s="195">
        <f>ROUND(D51+D52,0)</f>
        <v>0</v>
      </c>
      <c r="E67" s="195">
        <f t="shared" ref="E67:BP67" si="3">ROUND(E51+E52,0)</f>
        <v>52997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7696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4672</v>
      </c>
      <c r="P67" s="195">
        <f t="shared" si="3"/>
        <v>563604</v>
      </c>
      <c r="Q67" s="195">
        <f t="shared" si="3"/>
        <v>449</v>
      </c>
      <c r="R67" s="195">
        <f t="shared" si="3"/>
        <v>52382</v>
      </c>
      <c r="S67" s="195">
        <f t="shared" si="3"/>
        <v>143946</v>
      </c>
      <c r="T67" s="195">
        <f t="shared" si="3"/>
        <v>0</v>
      </c>
      <c r="U67" s="195">
        <f t="shared" si="3"/>
        <v>297277</v>
      </c>
      <c r="V67" s="195">
        <f t="shared" si="3"/>
        <v>213710</v>
      </c>
      <c r="W67" s="195">
        <f t="shared" si="3"/>
        <v>218819</v>
      </c>
      <c r="X67" s="195">
        <f t="shared" si="3"/>
        <v>73659</v>
      </c>
      <c r="Y67" s="195">
        <f t="shared" si="3"/>
        <v>594495</v>
      </c>
      <c r="Z67" s="195">
        <f t="shared" si="3"/>
        <v>359523</v>
      </c>
      <c r="AA67" s="195">
        <f t="shared" si="3"/>
        <v>13026</v>
      </c>
      <c r="AB67" s="195">
        <f t="shared" si="3"/>
        <v>203546</v>
      </c>
      <c r="AC67" s="195">
        <f t="shared" si="3"/>
        <v>51588</v>
      </c>
      <c r="AD67" s="195">
        <f t="shared" si="3"/>
        <v>0</v>
      </c>
      <c r="AE67" s="195">
        <f t="shared" si="3"/>
        <v>9487</v>
      </c>
      <c r="AF67" s="195">
        <f t="shared" si="3"/>
        <v>0</v>
      </c>
      <c r="AG67" s="195">
        <f t="shared" si="3"/>
        <v>113786</v>
      </c>
      <c r="AH67" s="195">
        <f t="shared" si="3"/>
        <v>0</v>
      </c>
      <c r="AI67" s="195">
        <f t="shared" si="3"/>
        <v>35920</v>
      </c>
      <c r="AJ67" s="195">
        <f t="shared" si="3"/>
        <v>836015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7391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1413</v>
      </c>
      <c r="AW67" s="195">
        <f t="shared" si="3"/>
        <v>0</v>
      </c>
      <c r="AX67" s="195">
        <f t="shared" si="3"/>
        <v>10669</v>
      </c>
      <c r="AY67" s="195">
        <f t="shared" si="3"/>
        <v>60038</v>
      </c>
      <c r="AZ67" s="195">
        <f>ROUND(AZ51+AZ52,0)</f>
        <v>2725</v>
      </c>
      <c r="BA67" s="195">
        <f>ROUND(BA51+BA52,0)</f>
        <v>31494</v>
      </c>
      <c r="BB67" s="195">
        <f t="shared" si="3"/>
        <v>675</v>
      </c>
      <c r="BC67" s="195">
        <f t="shared" si="3"/>
        <v>0</v>
      </c>
      <c r="BD67" s="195">
        <f t="shared" si="3"/>
        <v>11508</v>
      </c>
      <c r="BE67" s="195">
        <f t="shared" si="3"/>
        <v>95008</v>
      </c>
      <c r="BF67" s="195">
        <f t="shared" si="3"/>
        <v>3000</v>
      </c>
      <c r="BG67" s="195">
        <f t="shared" si="3"/>
        <v>0</v>
      </c>
      <c r="BH67" s="195">
        <f t="shared" si="3"/>
        <v>1758153</v>
      </c>
      <c r="BI67" s="195">
        <f t="shared" si="3"/>
        <v>76048</v>
      </c>
      <c r="BJ67" s="195">
        <f t="shared" si="3"/>
        <v>14464</v>
      </c>
      <c r="BK67" s="195">
        <f t="shared" si="3"/>
        <v>1223</v>
      </c>
      <c r="BL67" s="195">
        <f t="shared" si="3"/>
        <v>3713</v>
      </c>
      <c r="BM67" s="195">
        <f t="shared" si="3"/>
        <v>0</v>
      </c>
      <c r="BN67" s="195">
        <f t="shared" si="3"/>
        <v>9116</v>
      </c>
      <c r="BO67" s="195">
        <f t="shared" si="3"/>
        <v>466</v>
      </c>
      <c r="BP67" s="195">
        <f t="shared" si="3"/>
        <v>1555</v>
      </c>
      <c r="BQ67" s="195">
        <f t="shared" ref="BQ67:CC67" si="4">ROUND(BQ51+BQ52,0)</f>
        <v>0</v>
      </c>
      <c r="BR67" s="195">
        <f t="shared" si="4"/>
        <v>13786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2404</v>
      </c>
      <c r="BW67" s="195">
        <f t="shared" si="4"/>
        <v>3992</v>
      </c>
      <c r="BX67" s="195">
        <f t="shared" si="4"/>
        <v>0</v>
      </c>
      <c r="BY67" s="195">
        <f t="shared" si="4"/>
        <v>3337</v>
      </c>
      <c r="BZ67" s="195">
        <f t="shared" si="4"/>
        <v>0</v>
      </c>
      <c r="CA67" s="195">
        <f t="shared" si="4"/>
        <v>13779</v>
      </c>
      <c r="CB67" s="195">
        <f t="shared" si="4"/>
        <v>0</v>
      </c>
      <c r="CC67" s="195">
        <f t="shared" si="4"/>
        <v>5367029</v>
      </c>
      <c r="CD67" s="249" t="s">
        <v>221</v>
      </c>
      <c r="CE67" s="195">
        <f t="shared" si="0"/>
        <v>11403887</v>
      </c>
      <c r="CF67" s="252"/>
    </row>
    <row r="68" spans="1:84" ht="12.65" customHeight="1" x14ac:dyDescent="0.3">
      <c r="A68" s="171" t="s">
        <v>240</v>
      </c>
      <c r="B68" s="175"/>
      <c r="C68" s="184">
        <v>1569.72</v>
      </c>
      <c r="D68" s="184"/>
      <c r="E68" s="184">
        <v>8320.5400000000009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7950.86</v>
      </c>
      <c r="Q68" s="185"/>
      <c r="R68" s="185"/>
      <c r="S68" s="185">
        <v>129.96</v>
      </c>
      <c r="T68" s="185"/>
      <c r="U68" s="185">
        <v>27241.21</v>
      </c>
      <c r="V68" s="185">
        <v>337.56</v>
      </c>
      <c r="W68" s="185"/>
      <c r="X68" s="185"/>
      <c r="Y68" s="185">
        <v>27106.43</v>
      </c>
      <c r="Z68" s="185"/>
      <c r="AA68" s="185"/>
      <c r="AB68" s="185">
        <v>129.96</v>
      </c>
      <c r="AC68" s="185">
        <v>5711.42</v>
      </c>
      <c r="AD68" s="185"/>
      <c r="AE68" s="185">
        <v>4400.37</v>
      </c>
      <c r="AF68" s="185"/>
      <c r="AG68" s="185">
        <v>129.96</v>
      </c>
      <c r="AH68" s="185"/>
      <c r="AI68" s="185"/>
      <c r="AJ68" s="185">
        <v>24047.3</v>
      </c>
      <c r="AK68" s="185"/>
      <c r="AL68" s="185"/>
      <c r="AM68" s="185"/>
      <c r="AN68" s="185"/>
      <c r="AO68" s="185"/>
      <c r="AP68" s="185"/>
      <c r="AQ68" s="185"/>
      <c r="AR68" s="185">
        <v>129.96</v>
      </c>
      <c r="AS68" s="185"/>
      <c r="AT68" s="185"/>
      <c r="AU68" s="185"/>
      <c r="AV68" s="185">
        <v>60259.92</v>
      </c>
      <c r="AW68" s="185"/>
      <c r="AX68" s="185">
        <v>129.96</v>
      </c>
      <c r="AY68" s="185"/>
      <c r="AZ68" s="185"/>
      <c r="BA68" s="185">
        <v>129.96</v>
      </c>
      <c r="BB68" s="185"/>
      <c r="BC68" s="185"/>
      <c r="BD68" s="185">
        <v>2124.88</v>
      </c>
      <c r="BE68" s="185">
        <v>216.96</v>
      </c>
      <c r="BF68" s="185">
        <v>129.96</v>
      </c>
      <c r="BG68" s="185"/>
      <c r="BH68" s="185">
        <v>519.72</v>
      </c>
      <c r="BI68" s="185"/>
      <c r="BJ68" s="185"/>
      <c r="BK68" s="185">
        <v>493.56</v>
      </c>
      <c r="BL68" s="185">
        <v>129.96</v>
      </c>
      <c r="BM68" s="185"/>
      <c r="BN68" s="185">
        <v>233.76</v>
      </c>
      <c r="BO68" s="185"/>
      <c r="BP68" s="185">
        <v>129.96</v>
      </c>
      <c r="BQ68" s="185"/>
      <c r="BR68" s="185"/>
      <c r="BS68" s="185"/>
      <c r="BT68" s="185"/>
      <c r="BU68" s="185"/>
      <c r="BV68" s="185">
        <v>129.96</v>
      </c>
      <c r="BW68" s="185"/>
      <c r="BX68" s="185"/>
      <c r="BY68" s="185"/>
      <c r="BZ68" s="185"/>
      <c r="CA68" s="185"/>
      <c r="CB68" s="185"/>
      <c r="CC68" s="185">
        <v>28662.38</v>
      </c>
      <c r="CD68" s="249" t="s">
        <v>221</v>
      </c>
      <c r="CE68" s="195">
        <f t="shared" si="0"/>
        <v>200496.18999999997</v>
      </c>
      <c r="CF68" s="252"/>
    </row>
    <row r="69" spans="1:84" ht="12.65" customHeight="1" x14ac:dyDescent="0.3">
      <c r="A69" s="171" t="s">
        <v>241</v>
      </c>
      <c r="B69" s="175"/>
      <c r="C69" s="184">
        <v>5439.64</v>
      </c>
      <c r="D69" s="184"/>
      <c r="E69" s="185">
        <v>30353.23</v>
      </c>
      <c r="F69" s="185"/>
      <c r="G69" s="184"/>
      <c r="H69" s="184"/>
      <c r="I69" s="185"/>
      <c r="J69" s="185">
        <v>8298.93</v>
      </c>
      <c r="K69" s="185"/>
      <c r="L69" s="185"/>
      <c r="M69" s="184"/>
      <c r="N69" s="184"/>
      <c r="O69" s="184">
        <v>5038.6400000000003</v>
      </c>
      <c r="P69" s="185">
        <v>409554.81</v>
      </c>
      <c r="Q69" s="185">
        <v>1308.6300000000001</v>
      </c>
      <c r="R69" s="224">
        <v>1593.26</v>
      </c>
      <c r="S69" s="185">
        <v>39584.379999999997</v>
      </c>
      <c r="T69" s="184"/>
      <c r="U69" s="185">
        <v>441786.91</v>
      </c>
      <c r="V69" s="185">
        <v>63238.02</v>
      </c>
      <c r="W69" s="184">
        <v>344417.97</v>
      </c>
      <c r="X69" s="185">
        <v>130027.86</v>
      </c>
      <c r="Y69" s="185">
        <v>764899.49</v>
      </c>
      <c r="Z69" s="185">
        <v>381955.78</v>
      </c>
      <c r="AA69" s="185">
        <v>57476.32</v>
      </c>
      <c r="AB69" s="185">
        <v>1023242.72</v>
      </c>
      <c r="AC69" s="185">
        <v>13323.99</v>
      </c>
      <c r="AD69" s="185"/>
      <c r="AE69" s="185">
        <v>13767.4</v>
      </c>
      <c r="AF69" s="185"/>
      <c r="AG69" s="185">
        <v>34572.46</v>
      </c>
      <c r="AH69" s="185"/>
      <c r="AI69" s="185">
        <v>4228.08</v>
      </c>
      <c r="AJ69" s="185">
        <v>148326.19</v>
      </c>
      <c r="AK69" s="185"/>
      <c r="AL69" s="185"/>
      <c r="AM69" s="185"/>
      <c r="AN69" s="185"/>
      <c r="AO69" s="184"/>
      <c r="AP69" s="185"/>
      <c r="AQ69" s="184"/>
      <c r="AR69" s="184">
        <v>239864.65</v>
      </c>
      <c r="AS69" s="184"/>
      <c r="AT69" s="184"/>
      <c r="AU69" s="185"/>
      <c r="AV69" s="185">
        <v>6919.91</v>
      </c>
      <c r="AW69" s="185"/>
      <c r="AX69" s="185">
        <v>5.38</v>
      </c>
      <c r="AY69" s="185">
        <v>105192.78</v>
      </c>
      <c r="AZ69" s="185">
        <v>9806.43</v>
      </c>
      <c r="BA69" s="185">
        <v>10966.87</v>
      </c>
      <c r="BB69" s="185">
        <v>25553.88</v>
      </c>
      <c r="BC69" s="185"/>
      <c r="BD69" s="185">
        <v>1454968.8</v>
      </c>
      <c r="BE69" s="185">
        <v>458447.23</v>
      </c>
      <c r="BF69" s="185">
        <v>1026.3699999999999</v>
      </c>
      <c r="BG69" s="185"/>
      <c r="BH69" s="224">
        <v>2773016</v>
      </c>
      <c r="BI69" s="185">
        <v>49480.84</v>
      </c>
      <c r="BJ69" s="185">
        <v>125273.1</v>
      </c>
      <c r="BK69" s="185">
        <v>391511.92</v>
      </c>
      <c r="BL69" s="185">
        <v>73970.16</v>
      </c>
      <c r="BM69" s="185"/>
      <c r="BN69" s="185">
        <v>342545.46</v>
      </c>
      <c r="BO69" s="185">
        <v>187992.64</v>
      </c>
      <c r="BP69" s="185">
        <v>210327.39</v>
      </c>
      <c r="BQ69" s="185"/>
      <c r="BR69" s="185">
        <v>864663.98</v>
      </c>
      <c r="BS69" s="185"/>
      <c r="BT69" s="185"/>
      <c r="BU69" s="185"/>
      <c r="BV69" s="185">
        <v>93472.08</v>
      </c>
      <c r="BW69" s="185">
        <v>22980.75</v>
      </c>
      <c r="BX69" s="185"/>
      <c r="BY69" s="185">
        <v>1062.18</v>
      </c>
      <c r="BZ69" s="185"/>
      <c r="CA69" s="185">
        <v>7917</v>
      </c>
      <c r="CB69" s="185"/>
      <c r="CC69" s="185">
        <v>1653076.03</v>
      </c>
      <c r="CD69" s="188"/>
      <c r="CE69" s="195">
        <f t="shared" si="0"/>
        <v>13032476.539999999</v>
      </c>
      <c r="CF69" s="252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6793894.1299999999</v>
      </c>
      <c r="D71" s="195">
        <f t="shared" ref="D71:AI71" si="5">SUM(D61:D69)-D70</f>
        <v>0</v>
      </c>
      <c r="E71" s="195">
        <f t="shared" si="5"/>
        <v>10413084.609999999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871250.91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528973.77999999991</v>
      </c>
      <c r="P71" s="195">
        <f t="shared" si="5"/>
        <v>11754785.959999999</v>
      </c>
      <c r="Q71" s="195">
        <f t="shared" si="5"/>
        <v>796848.93</v>
      </c>
      <c r="R71" s="195">
        <f t="shared" si="5"/>
        <v>1630894.8699999999</v>
      </c>
      <c r="S71" s="195">
        <f t="shared" si="5"/>
        <v>1036143.2999999999</v>
      </c>
      <c r="T71" s="195">
        <f t="shared" si="5"/>
        <v>188311.36</v>
      </c>
      <c r="U71" s="195">
        <f t="shared" si="5"/>
        <v>11186827.140000001</v>
      </c>
      <c r="V71" s="195">
        <f t="shared" si="5"/>
        <v>3934963.44</v>
      </c>
      <c r="W71" s="195">
        <f t="shared" si="5"/>
        <v>1506329.44</v>
      </c>
      <c r="X71" s="195">
        <f t="shared" si="5"/>
        <v>1605202.46</v>
      </c>
      <c r="Y71" s="195">
        <f t="shared" si="5"/>
        <v>8783515.2599999998</v>
      </c>
      <c r="Z71" s="195">
        <f t="shared" si="5"/>
        <v>4694858.6700000009</v>
      </c>
      <c r="AA71" s="195">
        <f t="shared" si="5"/>
        <v>757459.44</v>
      </c>
      <c r="AB71" s="195">
        <f t="shared" si="5"/>
        <v>24369443.690000001</v>
      </c>
      <c r="AC71" s="195">
        <f t="shared" si="5"/>
        <v>2020185.2899999998</v>
      </c>
      <c r="AD71" s="195">
        <f t="shared" si="5"/>
        <v>0</v>
      </c>
      <c r="AE71" s="195">
        <f t="shared" si="5"/>
        <v>4606139.8200000012</v>
      </c>
      <c r="AF71" s="195">
        <f t="shared" si="5"/>
        <v>0</v>
      </c>
      <c r="AG71" s="195">
        <f t="shared" si="5"/>
        <v>13241584.310000002</v>
      </c>
      <c r="AH71" s="195">
        <f t="shared" si="5"/>
        <v>10364.25</v>
      </c>
      <c r="AI71" s="195">
        <f t="shared" si="5"/>
        <v>3005343.2800000003</v>
      </c>
      <c r="AJ71" s="195">
        <f t="shared" ref="AJ71:BO71" si="6">SUM(AJ61:AJ69)-AJ70</f>
        <v>47085507.289999999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8379007.5700000003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5094914.54</v>
      </c>
      <c r="AW71" s="195">
        <f t="shared" si="6"/>
        <v>0</v>
      </c>
      <c r="AX71" s="195">
        <f t="shared" si="6"/>
        <v>136191.65</v>
      </c>
      <c r="AY71" s="195">
        <f t="shared" si="6"/>
        <v>2794633.47</v>
      </c>
      <c r="AZ71" s="195">
        <f t="shared" si="6"/>
        <v>296707.28000000003</v>
      </c>
      <c r="BA71" s="195">
        <f t="shared" si="6"/>
        <v>638203.93999999994</v>
      </c>
      <c r="BB71" s="195">
        <f t="shared" si="6"/>
        <v>2124498.4299999997</v>
      </c>
      <c r="BC71" s="195">
        <f t="shared" si="6"/>
        <v>0</v>
      </c>
      <c r="BD71" s="195">
        <f t="shared" si="6"/>
        <v>3240626.21</v>
      </c>
      <c r="BE71" s="195">
        <f t="shared" si="6"/>
        <v>4486555.08</v>
      </c>
      <c r="BF71" s="195">
        <f t="shared" si="6"/>
        <v>2631615.0300000003</v>
      </c>
      <c r="BG71" s="195">
        <f t="shared" si="6"/>
        <v>0</v>
      </c>
      <c r="BH71" s="195">
        <f t="shared" si="6"/>
        <v>9957830.8999999985</v>
      </c>
      <c r="BI71" s="195">
        <f t="shared" si="6"/>
        <v>1389209.07</v>
      </c>
      <c r="BJ71" s="195">
        <f t="shared" si="6"/>
        <v>1999863.1800000002</v>
      </c>
      <c r="BK71" s="195">
        <f t="shared" si="6"/>
        <v>3115702.54</v>
      </c>
      <c r="BL71" s="195">
        <f t="shared" si="6"/>
        <v>5344966.3400000008</v>
      </c>
      <c r="BM71" s="195">
        <f t="shared" si="6"/>
        <v>0</v>
      </c>
      <c r="BN71" s="195">
        <f t="shared" si="6"/>
        <v>1655708.62</v>
      </c>
      <c r="BO71" s="195">
        <f t="shared" si="6"/>
        <v>682680.3</v>
      </c>
      <c r="BP71" s="195">
        <f t="shared" ref="BP71:CC71" si="7">SUM(BP61:BP69)-BP70</f>
        <v>693859.26</v>
      </c>
      <c r="BQ71" s="195">
        <f t="shared" si="7"/>
        <v>0</v>
      </c>
      <c r="BR71" s="195">
        <f t="shared" si="7"/>
        <v>2514539.2799999998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1041642.96</v>
      </c>
      <c r="BW71" s="195">
        <f t="shared" si="7"/>
        <v>312129.62</v>
      </c>
      <c r="BX71" s="195">
        <f t="shared" si="7"/>
        <v>0</v>
      </c>
      <c r="BY71" s="195">
        <f t="shared" si="7"/>
        <v>1542753.12</v>
      </c>
      <c r="BZ71" s="195">
        <f t="shared" si="7"/>
        <v>0</v>
      </c>
      <c r="CA71" s="195">
        <f t="shared" si="7"/>
        <v>733216.98</v>
      </c>
      <c r="CB71" s="195">
        <f t="shared" si="7"/>
        <v>0</v>
      </c>
      <c r="CC71" s="195">
        <f t="shared" si="7"/>
        <v>19074229.649999999</v>
      </c>
      <c r="CD71" s="245">
        <f>CD69-CD70</f>
        <v>0</v>
      </c>
      <c r="CE71" s="195">
        <f>SUM(CE61:CE69)-CE70</f>
        <v>240703196.65000004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4644110.22</v>
      </c>
      <c r="CF72" s="252"/>
    </row>
    <row r="73" spans="1:84" ht="12.65" customHeight="1" x14ac:dyDescent="0.3">
      <c r="A73" s="171" t="s">
        <v>245</v>
      </c>
      <c r="B73" s="175"/>
      <c r="C73" s="184">
        <v>15903408.75</v>
      </c>
      <c r="D73" s="184"/>
      <c r="E73" s="185">
        <v>26824578.75</v>
      </c>
      <c r="F73" s="185"/>
      <c r="G73" s="184"/>
      <c r="H73" s="184"/>
      <c r="I73" s="185"/>
      <c r="J73" s="185">
        <v>2128376.6</v>
      </c>
      <c r="K73" s="185"/>
      <c r="L73" s="185"/>
      <c r="M73" s="184"/>
      <c r="N73" s="184"/>
      <c r="O73" s="184">
        <v>1292228.6499999999</v>
      </c>
      <c r="P73" s="185">
        <v>9532600.7400000002</v>
      </c>
      <c r="Q73" s="185">
        <v>812059</v>
      </c>
      <c r="R73" s="185">
        <v>1030808</v>
      </c>
      <c r="S73" s="185"/>
      <c r="T73" s="185">
        <v>488910.25</v>
      </c>
      <c r="U73" s="185">
        <v>10127895.92</v>
      </c>
      <c r="V73" s="185">
        <v>1741052.84</v>
      </c>
      <c r="W73" s="185">
        <v>1050032.95</v>
      </c>
      <c r="X73" s="185">
        <v>6771052.6900000004</v>
      </c>
      <c r="Y73" s="185">
        <v>2703319.72</v>
      </c>
      <c r="Z73" s="185">
        <v>64755.5</v>
      </c>
      <c r="AA73" s="185">
        <v>106463.83</v>
      </c>
      <c r="AB73" s="185">
        <v>13026694.119999999</v>
      </c>
      <c r="AC73" s="185">
        <v>2797905.25</v>
      </c>
      <c r="AD73" s="185"/>
      <c r="AE73" s="185">
        <v>1306734.5</v>
      </c>
      <c r="AF73" s="185"/>
      <c r="AG73" s="185">
        <v>5951381.75</v>
      </c>
      <c r="AH73" s="185"/>
      <c r="AI73" s="185">
        <v>15049.5</v>
      </c>
      <c r="AJ73" s="185">
        <v>74242.058000000005</v>
      </c>
      <c r="AK73" s="185">
        <v>250</v>
      </c>
      <c r="AL73" s="185">
        <v>8260.5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v>3530288.5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107288350.368</v>
      </c>
      <c r="CF73" s="252"/>
    </row>
    <row r="74" spans="1:84" ht="12.65" customHeight="1" x14ac:dyDescent="0.3">
      <c r="A74" s="171" t="s">
        <v>246</v>
      </c>
      <c r="B74" s="175"/>
      <c r="C74" s="184">
        <v>615753.25</v>
      </c>
      <c r="D74" s="184"/>
      <c r="E74" s="185">
        <v>3426263.75</v>
      </c>
      <c r="F74" s="185"/>
      <c r="G74" s="184"/>
      <c r="H74" s="184"/>
      <c r="I74" s="184"/>
      <c r="J74" s="185">
        <v>254990.4</v>
      </c>
      <c r="K74" s="185"/>
      <c r="L74" s="185"/>
      <c r="M74" s="184"/>
      <c r="N74" s="184"/>
      <c r="O74" s="184">
        <v>154815.6</v>
      </c>
      <c r="P74" s="185">
        <v>36051978.43</v>
      </c>
      <c r="Q74" s="185">
        <v>1965775.25</v>
      </c>
      <c r="R74" s="185">
        <v>3670580.25</v>
      </c>
      <c r="S74" s="185"/>
      <c r="T74" s="185">
        <v>203865</v>
      </c>
      <c r="U74" s="185">
        <v>44464271.5</v>
      </c>
      <c r="V74" s="185">
        <v>15988022.699999999</v>
      </c>
      <c r="W74" s="185">
        <v>17170262</v>
      </c>
      <c r="X74" s="185">
        <v>32357085.43</v>
      </c>
      <c r="Y74" s="185">
        <v>32602840.079999998</v>
      </c>
      <c r="Z74" s="185">
        <v>16848251.449999999</v>
      </c>
      <c r="AA74" s="185">
        <v>1952362.15</v>
      </c>
      <c r="AB74" s="185">
        <v>59653185.490000002</v>
      </c>
      <c r="AC74" s="185">
        <v>1502306.25</v>
      </c>
      <c r="AD74" s="185"/>
      <c r="AE74" s="185">
        <v>6365279.25</v>
      </c>
      <c r="AF74" s="185"/>
      <c r="AG74" s="185">
        <v>29833326.780000001</v>
      </c>
      <c r="AH74" s="185"/>
      <c r="AI74" s="185">
        <v>2434768</v>
      </c>
      <c r="AJ74" s="185">
        <v>72657374.299999997</v>
      </c>
      <c r="AK74" s="185">
        <v>1113257.75</v>
      </c>
      <c r="AL74" s="185">
        <v>692398</v>
      </c>
      <c r="AM74" s="185"/>
      <c r="AN74" s="185"/>
      <c r="AO74" s="185"/>
      <c r="AP74" s="185"/>
      <c r="AQ74" s="185"/>
      <c r="AR74" s="185">
        <v>9157050.1999999993</v>
      </c>
      <c r="AS74" s="185"/>
      <c r="AT74" s="185"/>
      <c r="AU74" s="185"/>
      <c r="AV74" s="185">
        <v>583240.19999999995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391719303.45999998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16519162</v>
      </c>
      <c r="D75" s="195">
        <f t="shared" si="9"/>
        <v>0</v>
      </c>
      <c r="E75" s="195">
        <f t="shared" si="9"/>
        <v>30250842.5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2383367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1447044.25</v>
      </c>
      <c r="P75" s="195">
        <f t="shared" si="9"/>
        <v>45584579.170000002</v>
      </c>
      <c r="Q75" s="195">
        <f t="shared" si="9"/>
        <v>2777834.25</v>
      </c>
      <c r="R75" s="195">
        <f t="shared" si="9"/>
        <v>4701388.25</v>
      </c>
      <c r="S75" s="195">
        <f t="shared" si="9"/>
        <v>0</v>
      </c>
      <c r="T75" s="195">
        <f t="shared" si="9"/>
        <v>692775.25</v>
      </c>
      <c r="U75" s="195">
        <f t="shared" si="9"/>
        <v>54592167.420000002</v>
      </c>
      <c r="V75" s="195">
        <f t="shared" si="9"/>
        <v>17729075.539999999</v>
      </c>
      <c r="W75" s="195">
        <f t="shared" si="9"/>
        <v>18220294.949999999</v>
      </c>
      <c r="X75" s="195">
        <f t="shared" si="9"/>
        <v>39128138.119999997</v>
      </c>
      <c r="Y75" s="195">
        <f t="shared" si="9"/>
        <v>35306159.799999997</v>
      </c>
      <c r="Z75" s="195">
        <f t="shared" si="9"/>
        <v>16913006.949999999</v>
      </c>
      <c r="AA75" s="195">
        <f t="shared" si="9"/>
        <v>2058825.98</v>
      </c>
      <c r="AB75" s="195">
        <f t="shared" si="9"/>
        <v>72679879.609999999</v>
      </c>
      <c r="AC75" s="195">
        <f t="shared" si="9"/>
        <v>4300211.5</v>
      </c>
      <c r="AD75" s="195">
        <f t="shared" si="9"/>
        <v>0</v>
      </c>
      <c r="AE75" s="195">
        <f t="shared" si="9"/>
        <v>7672013.75</v>
      </c>
      <c r="AF75" s="195">
        <f t="shared" si="9"/>
        <v>0</v>
      </c>
      <c r="AG75" s="195">
        <f t="shared" si="9"/>
        <v>35784708.530000001</v>
      </c>
      <c r="AH75" s="195">
        <f t="shared" si="9"/>
        <v>0</v>
      </c>
      <c r="AI75" s="195">
        <f t="shared" si="9"/>
        <v>2449817.5</v>
      </c>
      <c r="AJ75" s="195">
        <f t="shared" si="9"/>
        <v>72731616.357999995</v>
      </c>
      <c r="AK75" s="195">
        <f t="shared" si="9"/>
        <v>1113507.75</v>
      </c>
      <c r="AL75" s="195">
        <f t="shared" si="9"/>
        <v>700658.5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9157050.1999999993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4113528.7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499007653.82800001</v>
      </c>
      <c r="CF75" s="252"/>
    </row>
    <row r="76" spans="1:84" ht="12.65" customHeight="1" x14ac:dyDescent="0.3">
      <c r="A76" s="171" t="s">
        <v>248</v>
      </c>
      <c r="B76" s="175"/>
      <c r="C76" s="184">
        <v>6300.62</v>
      </c>
      <c r="D76" s="184"/>
      <c r="E76" s="185">
        <v>16024.35</v>
      </c>
      <c r="F76" s="185"/>
      <c r="G76" s="184"/>
      <c r="H76" s="184"/>
      <c r="I76" s="185"/>
      <c r="J76" s="185">
        <v>1838.22</v>
      </c>
      <c r="K76" s="185"/>
      <c r="L76" s="185"/>
      <c r="M76" s="185"/>
      <c r="N76" s="185"/>
      <c r="O76" s="185">
        <v>1116.06</v>
      </c>
      <c r="P76" s="185">
        <v>7841.97</v>
      </c>
      <c r="Q76" s="185">
        <v>1720.47</v>
      </c>
      <c r="R76" s="185">
        <v>500.56</v>
      </c>
      <c r="S76" s="185">
        <v>3093.06</v>
      </c>
      <c r="T76" s="185"/>
      <c r="U76" s="185">
        <v>8720.26</v>
      </c>
      <c r="V76" s="185">
        <v>9062.01</v>
      </c>
      <c r="W76" s="185">
        <v>1197.6600000000001</v>
      </c>
      <c r="X76" s="185">
        <v>1261.94</v>
      </c>
      <c r="Y76" s="185">
        <v>18896.240000000002</v>
      </c>
      <c r="Z76" s="185">
        <v>6046.97</v>
      </c>
      <c r="AA76" s="185">
        <v>599.78</v>
      </c>
      <c r="AB76" s="185">
        <v>2337.7600000000002</v>
      </c>
      <c r="AC76" s="185">
        <v>2844.88</v>
      </c>
      <c r="AD76" s="185"/>
      <c r="AE76" s="185">
        <v>9733.8799999999992</v>
      </c>
      <c r="AF76" s="185"/>
      <c r="AG76" s="185">
        <v>6022.48</v>
      </c>
      <c r="AH76" s="185">
        <v>97.77</v>
      </c>
      <c r="AI76" s="185">
        <v>5193.58</v>
      </c>
      <c r="AJ76" s="185">
        <v>51071.11</v>
      </c>
      <c r="AK76" s="185"/>
      <c r="AL76" s="185"/>
      <c r="AM76" s="185"/>
      <c r="AN76" s="185"/>
      <c r="AO76" s="185"/>
      <c r="AP76" s="185"/>
      <c r="AQ76" s="185"/>
      <c r="AR76" s="185">
        <v>4731.8500000000004</v>
      </c>
      <c r="AS76" s="185"/>
      <c r="AT76" s="185"/>
      <c r="AU76" s="185"/>
      <c r="AV76" s="185">
        <v>2417.65</v>
      </c>
      <c r="AW76" s="185"/>
      <c r="AX76" s="185">
        <v>1020.73</v>
      </c>
      <c r="AY76" s="185">
        <v>6739.93</v>
      </c>
      <c r="AZ76" s="185">
        <v>1129.03</v>
      </c>
      <c r="BA76" s="185">
        <v>3169.97</v>
      </c>
      <c r="BB76" s="185">
        <v>751.78</v>
      </c>
      <c r="BC76" s="185"/>
      <c r="BD76" s="185">
        <v>10922.31</v>
      </c>
      <c r="BE76" s="185">
        <v>26879.279999999999</v>
      </c>
      <c r="BF76" s="185">
        <v>2050.0500000000002</v>
      </c>
      <c r="BG76" s="185"/>
      <c r="BH76" s="185">
        <v>14635.82</v>
      </c>
      <c r="BI76" s="185">
        <v>3788.29</v>
      </c>
      <c r="BJ76" s="185">
        <v>1565.08</v>
      </c>
      <c r="BK76" s="185">
        <v>4617.05</v>
      </c>
      <c r="BL76" s="185">
        <v>5480.68</v>
      </c>
      <c r="BM76" s="185"/>
      <c r="BN76" s="185">
        <v>1916.88</v>
      </c>
      <c r="BO76" s="185">
        <v>122.76</v>
      </c>
      <c r="BP76" s="185">
        <v>1590.75</v>
      </c>
      <c r="BQ76" s="185"/>
      <c r="BR76" s="185">
        <v>2942.39</v>
      </c>
      <c r="BS76" s="185"/>
      <c r="BT76" s="185"/>
      <c r="BU76" s="185"/>
      <c r="BV76" s="185">
        <v>10331.67</v>
      </c>
      <c r="BW76" s="185">
        <v>331.03</v>
      </c>
      <c r="BX76" s="185"/>
      <c r="BY76" s="185">
        <v>807.15</v>
      </c>
      <c r="BZ76" s="185"/>
      <c r="CA76" s="185">
        <v>5334.4</v>
      </c>
      <c r="CB76" s="185"/>
      <c r="CC76" s="185">
        <v>164586.89000000001</v>
      </c>
      <c r="CD76" s="249" t="s">
        <v>221</v>
      </c>
      <c r="CE76" s="195">
        <f t="shared" si="8"/>
        <v>439385.0500000001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10553</v>
      </c>
      <c r="D77" s="184"/>
      <c r="E77" s="184">
        <v>42279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52832</v>
      </c>
      <c r="CF77" s="195">
        <f>AY59-CE77</f>
        <v>-52832</v>
      </c>
    </row>
    <row r="78" spans="1:84" ht="12.65" customHeight="1" x14ac:dyDescent="0.3">
      <c r="A78" s="171" t="s">
        <v>250</v>
      </c>
      <c r="B78" s="175"/>
      <c r="C78" s="184">
        <v>1592.43</v>
      </c>
      <c r="D78" s="184"/>
      <c r="E78" s="184">
        <v>4050.03</v>
      </c>
      <c r="F78" s="184"/>
      <c r="G78" s="184"/>
      <c r="H78" s="184"/>
      <c r="I78" s="184"/>
      <c r="J78" s="184">
        <v>464.6</v>
      </c>
      <c r="K78" s="184"/>
      <c r="L78" s="184"/>
      <c r="M78" s="184"/>
      <c r="N78" s="184"/>
      <c r="O78" s="184">
        <v>282.08</v>
      </c>
      <c r="P78" s="184">
        <v>1982</v>
      </c>
      <c r="Q78" s="184">
        <v>434.84</v>
      </c>
      <c r="R78" s="184">
        <v>126.51</v>
      </c>
      <c r="S78" s="184">
        <v>781.75</v>
      </c>
      <c r="T78" s="184"/>
      <c r="U78" s="184">
        <v>2115.42</v>
      </c>
      <c r="V78" s="184">
        <v>2290.35</v>
      </c>
      <c r="W78" s="184">
        <v>302.7</v>
      </c>
      <c r="X78" s="184">
        <v>318.95</v>
      </c>
      <c r="Y78" s="184">
        <v>4404.25</v>
      </c>
      <c r="Z78" s="184">
        <v>1528.33</v>
      </c>
      <c r="AA78" s="184">
        <v>151.59</v>
      </c>
      <c r="AB78" s="184">
        <v>590.85</v>
      </c>
      <c r="AC78" s="184">
        <v>719.02</v>
      </c>
      <c r="AD78" s="184"/>
      <c r="AE78" s="184">
        <v>2460.16</v>
      </c>
      <c r="AF78" s="184"/>
      <c r="AG78" s="184">
        <v>1522.14</v>
      </c>
      <c r="AH78" s="184">
        <v>24.71</v>
      </c>
      <c r="AI78" s="184">
        <v>1312.64</v>
      </c>
      <c r="AJ78" s="184">
        <v>8950.48</v>
      </c>
      <c r="AK78" s="184"/>
      <c r="AL78" s="184"/>
      <c r="AM78" s="184"/>
      <c r="AN78" s="184"/>
      <c r="AO78" s="184"/>
      <c r="AP78" s="184"/>
      <c r="AQ78" s="184"/>
      <c r="AR78" s="184">
        <v>714.36</v>
      </c>
      <c r="AS78" s="184"/>
      <c r="AT78" s="184"/>
      <c r="AU78" s="184"/>
      <c r="AV78" s="184">
        <v>282.39</v>
      </c>
      <c r="AW78" s="184"/>
      <c r="AX78" s="249" t="s">
        <v>221</v>
      </c>
      <c r="AY78" s="249" t="s">
        <v>221</v>
      </c>
      <c r="AZ78" s="249" t="s">
        <v>221</v>
      </c>
      <c r="BA78" s="184">
        <v>801.19</v>
      </c>
      <c r="BB78" s="184">
        <v>190.01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3547.6</v>
      </c>
      <c r="BI78" s="184">
        <v>47894.52</v>
      </c>
      <c r="BJ78" s="249" t="s">
        <v>221</v>
      </c>
      <c r="BK78" s="184"/>
      <c r="BL78" s="184">
        <v>1250.83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2291.7800000000002</v>
      </c>
      <c r="BW78" s="184">
        <v>83.67</v>
      </c>
      <c r="BX78" s="184"/>
      <c r="BY78" s="184">
        <v>204</v>
      </c>
      <c r="BZ78" s="184"/>
      <c r="CA78" s="184">
        <v>1348.23</v>
      </c>
      <c r="CB78" s="184"/>
      <c r="CC78" s="249" t="s">
        <v>221</v>
      </c>
      <c r="CD78" s="249" t="s">
        <v>221</v>
      </c>
      <c r="CE78" s="195">
        <f t="shared" si="8"/>
        <v>95014.409999999989</v>
      </c>
      <c r="CF78" s="195"/>
    </row>
    <row r="79" spans="1:84" ht="12.65" customHeight="1" x14ac:dyDescent="0.3">
      <c r="A79" s="171" t="s">
        <v>251</v>
      </c>
      <c r="B79" s="175"/>
      <c r="C79" s="225">
        <v>120598</v>
      </c>
      <c r="D79" s="225"/>
      <c r="E79" s="184">
        <v>229772</v>
      </c>
      <c r="F79" s="184"/>
      <c r="G79" s="184"/>
      <c r="H79" s="184"/>
      <c r="I79" s="184"/>
      <c r="J79" s="184">
        <v>15052</v>
      </c>
      <c r="K79" s="184"/>
      <c r="L79" s="184"/>
      <c r="M79" s="184"/>
      <c r="N79" s="184"/>
      <c r="O79" s="184">
        <v>54086</v>
      </c>
      <c r="P79" s="184">
        <v>117438</v>
      </c>
      <c r="Q79" s="184">
        <v>31119</v>
      </c>
      <c r="R79" s="184"/>
      <c r="S79" s="184">
        <v>18890</v>
      </c>
      <c r="T79" s="184"/>
      <c r="U79" s="184">
        <v>1877</v>
      </c>
      <c r="V79" s="184"/>
      <c r="W79" s="184"/>
      <c r="X79" s="184"/>
      <c r="Y79" s="184">
        <v>117691</v>
      </c>
      <c r="Z79" s="184">
        <v>18952</v>
      </c>
      <c r="AA79" s="184"/>
      <c r="AB79" s="184">
        <v>135</v>
      </c>
      <c r="AC79" s="184">
        <v>120</v>
      </c>
      <c r="AD79" s="184"/>
      <c r="AE79" s="184">
        <v>33061</v>
      </c>
      <c r="AF79" s="184"/>
      <c r="AG79" s="184">
        <v>308393</v>
      </c>
      <c r="AH79" s="184"/>
      <c r="AI79" s="184">
        <v>72901</v>
      </c>
      <c r="AJ79" s="184">
        <v>48162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4340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>
        <v>74040</v>
      </c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1266627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33</v>
      </c>
      <c r="D80" s="187"/>
      <c r="E80" s="187">
        <v>54.69</v>
      </c>
      <c r="F80" s="187"/>
      <c r="G80" s="187"/>
      <c r="H80" s="187"/>
      <c r="I80" s="187"/>
      <c r="J80" s="187">
        <v>4.42</v>
      </c>
      <c r="K80" s="187"/>
      <c r="L80" s="187"/>
      <c r="M80" s="187"/>
      <c r="N80" s="187"/>
      <c r="O80" s="187">
        <v>2.68</v>
      </c>
      <c r="P80" s="187">
        <v>15.57</v>
      </c>
      <c r="Q80" s="187">
        <v>6.47</v>
      </c>
      <c r="R80" s="187">
        <v>1.83</v>
      </c>
      <c r="S80" s="187"/>
      <c r="T80" s="187">
        <v>0.61</v>
      </c>
      <c r="U80" s="187"/>
      <c r="V80" s="187">
        <v>2.25</v>
      </c>
      <c r="W80" s="187"/>
      <c r="X80" s="187"/>
      <c r="Y80" s="187">
        <v>3.45</v>
      </c>
      <c r="Z80" s="187">
        <v>1.99</v>
      </c>
      <c r="AA80" s="187"/>
      <c r="AB80" s="187"/>
      <c r="AC80" s="187"/>
      <c r="AD80" s="187"/>
      <c r="AE80" s="187"/>
      <c r="AF80" s="187"/>
      <c r="AG80" s="187">
        <v>40.78</v>
      </c>
      <c r="AH80" s="187"/>
      <c r="AI80" s="187">
        <v>18.02</v>
      </c>
      <c r="AJ80" s="187">
        <v>48.2</v>
      </c>
      <c r="AK80" s="187"/>
      <c r="AL80" s="187"/>
      <c r="AM80" s="187"/>
      <c r="AN80" s="187"/>
      <c r="AO80" s="187"/>
      <c r="AP80" s="187"/>
      <c r="AQ80" s="187"/>
      <c r="AR80" s="187">
        <v>20.41</v>
      </c>
      <c r="AS80" s="187"/>
      <c r="AT80" s="187"/>
      <c r="AU80" s="187"/>
      <c r="AV80" s="187">
        <f>2.54+0.07</f>
        <v>2.61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256.98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313" t="s">
        <v>1278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315" t="s">
        <v>1268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">
      <c r="A85" s="173" t="s">
        <v>1250</v>
      </c>
      <c r="B85" s="172"/>
      <c r="C85" s="271" t="s">
        <v>1270</v>
      </c>
      <c r="D85" s="205"/>
      <c r="E85" s="204"/>
    </row>
    <row r="86" spans="1:5" ht="12.65" customHeight="1" x14ac:dyDescent="0.3">
      <c r="A86" s="173" t="s">
        <v>1251</v>
      </c>
      <c r="B86" s="172" t="s">
        <v>256</v>
      </c>
      <c r="C86" s="230" t="s">
        <v>1270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29" t="s">
        <v>1279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 t="s">
        <v>1280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3841</v>
      </c>
      <c r="D111" s="174">
        <v>14472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442</v>
      </c>
      <c r="D114" s="174">
        <v>794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9</v>
      </c>
      <c r="D117" s="175"/>
      <c r="E117" s="175"/>
    </row>
    <row r="118" spans="1:5" ht="12.65" customHeight="1" x14ac:dyDescent="0.3">
      <c r="A118" s="173" t="s">
        <v>1238</v>
      </c>
      <c r="B118" s="172" t="s">
        <v>256</v>
      </c>
      <c r="C118" s="189">
        <v>39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9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>
        <v>15</v>
      </c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82</v>
      </c>
    </row>
    <row r="128" spans="1:5" ht="12.65" customHeight="1" x14ac:dyDescent="0.3">
      <c r="A128" s="173" t="s">
        <v>292</v>
      </c>
      <c r="B128" s="172" t="s">
        <v>256</v>
      </c>
      <c r="C128" s="189">
        <v>126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11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1239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2328</v>
      </c>
      <c r="C138" s="189">
        <v>674</v>
      </c>
      <c r="D138" s="174">
        <v>839</v>
      </c>
      <c r="E138" s="175">
        <f>SUM(B138:D138)</f>
        <v>3841</v>
      </c>
    </row>
    <row r="139" spans="1:6" ht="12.65" customHeight="1" x14ac:dyDescent="0.3">
      <c r="A139" s="173" t="s">
        <v>215</v>
      </c>
      <c r="B139" s="174">
        <v>9454</v>
      </c>
      <c r="C139" s="189">
        <v>2456</v>
      </c>
      <c r="D139" s="174">
        <v>2562</v>
      </c>
      <c r="E139" s="175">
        <f>SUM(B139:D139)</f>
        <v>14472</v>
      </c>
    </row>
    <row r="140" spans="1:6" ht="12.65" customHeight="1" x14ac:dyDescent="0.3">
      <c r="A140" s="173" t="s">
        <v>298</v>
      </c>
      <c r="B140" s="174">
        <v>312890.39</v>
      </c>
      <c r="C140" s="174">
        <v>77020.53</v>
      </c>
      <c r="D140" s="174">
        <v>158834.07999999999</v>
      </c>
      <c r="E140" s="175">
        <f>SUM(B140:D140)</f>
        <v>548745</v>
      </c>
    </row>
    <row r="141" spans="1:6" ht="12.65" customHeight="1" x14ac:dyDescent="0.3">
      <c r="A141" s="173" t="s">
        <v>245</v>
      </c>
      <c r="B141" s="174">
        <v>66459934.509999998</v>
      </c>
      <c r="C141" s="189">
        <v>18815470.309999999</v>
      </c>
      <c r="D141" s="174">
        <v>22012945.57</v>
      </c>
      <c r="E141" s="175">
        <f>SUM(B141:D141)</f>
        <v>107288350.38999999</v>
      </c>
      <c r="F141" s="199"/>
    </row>
    <row r="142" spans="1:6" ht="12.65" customHeight="1" x14ac:dyDescent="0.3">
      <c r="A142" s="173" t="s">
        <v>246</v>
      </c>
      <c r="B142" s="174">
        <v>223355483.37</v>
      </c>
      <c r="C142" s="189">
        <v>54980781.490000002</v>
      </c>
      <c r="D142" s="174">
        <v>113383038.59999999</v>
      </c>
      <c r="E142" s="175">
        <f>SUM(B142:D142)</f>
        <v>391719303.46000004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7918129.4900000002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50917.42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1165556.04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16123225.449999999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94949.45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5005589.8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107639.36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605524.99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31071531.999999996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164536.82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35959.370000000003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200496.19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1486866.68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1486866.68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141615.23000000001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1711749.29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1853364.52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1892925.45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1892925.45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10816981.619999999</v>
      </c>
      <c r="C195" s="189">
        <v>622772.81000000006</v>
      </c>
      <c r="D195" s="174"/>
      <c r="E195" s="175">
        <f t="shared" ref="E195:E203" si="10">SUM(B195:C195)-D195</f>
        <v>11439754.43</v>
      </c>
    </row>
    <row r="196" spans="1:8" ht="12.65" customHeight="1" x14ac:dyDescent="0.3">
      <c r="A196" s="173" t="s">
        <v>333</v>
      </c>
      <c r="B196" s="174">
        <v>9310500.1899999995</v>
      </c>
      <c r="C196" s="189">
        <v>236420.21</v>
      </c>
      <c r="D196" s="174"/>
      <c r="E196" s="175">
        <f t="shared" si="10"/>
        <v>9546920.4000000004</v>
      </c>
    </row>
    <row r="197" spans="1:8" ht="12.65" customHeight="1" x14ac:dyDescent="0.3">
      <c r="A197" s="173" t="s">
        <v>334</v>
      </c>
      <c r="B197" s="174">
        <v>124186874.83</v>
      </c>
      <c r="C197" s="189">
        <v>2388423.4300000002</v>
      </c>
      <c r="D197" s="174"/>
      <c r="E197" s="175">
        <f t="shared" si="10"/>
        <v>126575298.26000001</v>
      </c>
    </row>
    <row r="198" spans="1:8" ht="12.65" customHeight="1" x14ac:dyDescent="0.3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">
      <c r="A199" s="173" t="s">
        <v>336</v>
      </c>
      <c r="B199" s="174">
        <v>35000204.299999997</v>
      </c>
      <c r="C199" s="189">
        <v>349983.12</v>
      </c>
      <c r="D199" s="174"/>
      <c r="E199" s="175">
        <f t="shared" si="10"/>
        <v>35350187.419999994</v>
      </c>
    </row>
    <row r="200" spans="1:8" ht="12.65" customHeight="1" x14ac:dyDescent="0.3">
      <c r="A200" s="173" t="s">
        <v>337</v>
      </c>
      <c r="B200" s="174">
        <v>67339700.760000005</v>
      </c>
      <c r="C200" s="189">
        <v>4356844.08</v>
      </c>
      <c r="D200" s="174">
        <v>468601.82</v>
      </c>
      <c r="E200" s="175">
        <f t="shared" si="10"/>
        <v>71227943.020000011</v>
      </c>
    </row>
    <row r="201" spans="1:8" ht="12.65" customHeight="1" x14ac:dyDescent="0.3">
      <c r="A201" s="173" t="s">
        <v>338</v>
      </c>
      <c r="B201" s="174">
        <v>3039255.76</v>
      </c>
      <c r="C201" s="189"/>
      <c r="D201" s="174"/>
      <c r="E201" s="175">
        <f t="shared" si="10"/>
        <v>3039255.76</v>
      </c>
    </row>
    <row r="202" spans="1:8" ht="12.65" customHeight="1" x14ac:dyDescent="0.3">
      <c r="A202" s="173" t="s">
        <v>339</v>
      </c>
      <c r="B202" s="174">
        <v>362736.46</v>
      </c>
      <c r="C202" s="189"/>
      <c r="D202" s="174"/>
      <c r="E202" s="175">
        <f t="shared" si="10"/>
        <v>362736.46</v>
      </c>
    </row>
    <row r="203" spans="1:8" ht="12.65" customHeight="1" x14ac:dyDescent="0.3">
      <c r="A203" s="173" t="s">
        <v>340</v>
      </c>
      <c r="B203" s="174">
        <v>2078625.92</v>
      </c>
      <c r="C203" s="189">
        <v>4201635.83</v>
      </c>
      <c r="D203" s="174"/>
      <c r="E203" s="175">
        <f t="shared" si="10"/>
        <v>6280261.75</v>
      </c>
    </row>
    <row r="204" spans="1:8" ht="12.65" customHeight="1" x14ac:dyDescent="0.3">
      <c r="A204" s="173" t="s">
        <v>203</v>
      </c>
      <c r="B204" s="175">
        <f>SUM(B195:B203)</f>
        <v>252134879.83999997</v>
      </c>
      <c r="C204" s="191">
        <f>SUM(C195:C203)</f>
        <v>12156079.48</v>
      </c>
      <c r="D204" s="175">
        <f>SUM(D195:D203)</f>
        <v>468601.82</v>
      </c>
      <c r="E204" s="175">
        <f>SUM(E195:E203)</f>
        <v>263822357.5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4305833.04</v>
      </c>
      <c r="C209" s="189">
        <v>494381.44</v>
      </c>
      <c r="D209" s="174"/>
      <c r="E209" s="175">
        <f t="shared" ref="E209:E216" si="11">SUM(B209:C209)-D209</f>
        <v>4800214.4800000004</v>
      </c>
      <c r="H209" s="259"/>
    </row>
    <row r="210" spans="1:8" ht="12.65" customHeight="1" x14ac:dyDescent="0.3">
      <c r="A210" s="173" t="s">
        <v>334</v>
      </c>
      <c r="B210" s="174">
        <v>58560849.939999998</v>
      </c>
      <c r="C210" s="189">
        <v>4251450.8</v>
      </c>
      <c r="D210" s="174"/>
      <c r="E210" s="175">
        <f t="shared" si="11"/>
        <v>62812300.739999995</v>
      </c>
      <c r="H210" s="259"/>
    </row>
    <row r="211" spans="1:8" ht="12.65" customHeight="1" x14ac:dyDescent="0.3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">
      <c r="A212" s="173" t="s">
        <v>336</v>
      </c>
      <c r="B212" s="174">
        <v>21475728.489999998</v>
      </c>
      <c r="C212" s="189">
        <v>1350448.62</v>
      </c>
      <c r="D212" s="174"/>
      <c r="E212" s="175">
        <f t="shared" si="11"/>
        <v>22826177.109999999</v>
      </c>
      <c r="H212" s="259"/>
    </row>
    <row r="213" spans="1:8" ht="12.65" customHeight="1" x14ac:dyDescent="0.3">
      <c r="A213" s="173" t="s">
        <v>337</v>
      </c>
      <c r="B213" s="174">
        <v>44830643.539999999</v>
      </c>
      <c r="C213" s="189">
        <f>5067802.87-1963</f>
        <v>5065839.87</v>
      </c>
      <c r="D213" s="174">
        <f>458025-1963</f>
        <v>456062</v>
      </c>
      <c r="E213" s="175">
        <f t="shared" si="11"/>
        <v>49440421.409999996</v>
      </c>
      <c r="H213" s="259"/>
    </row>
    <row r="214" spans="1:8" ht="12.65" customHeight="1" x14ac:dyDescent="0.3">
      <c r="A214" s="173" t="s">
        <v>338</v>
      </c>
      <c r="B214" s="174">
        <v>2255932.5499999998</v>
      </c>
      <c r="C214" s="189">
        <v>189339.38</v>
      </c>
      <c r="D214" s="174"/>
      <c r="E214" s="175">
        <f t="shared" si="11"/>
        <v>2445271.9299999997</v>
      </c>
      <c r="H214" s="259"/>
    </row>
    <row r="215" spans="1:8" ht="12.65" customHeight="1" x14ac:dyDescent="0.3">
      <c r="A215" s="173" t="s">
        <v>339</v>
      </c>
      <c r="B215" s="174">
        <v>176465.36</v>
      </c>
      <c r="C215" s="189">
        <v>43634.02</v>
      </c>
      <c r="D215" s="174"/>
      <c r="E215" s="175">
        <f t="shared" si="11"/>
        <v>220099.37999999998</v>
      </c>
      <c r="H215" s="259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131605452.91999999</v>
      </c>
      <c r="C217" s="191">
        <f>SUM(C208:C216)</f>
        <v>11395094.130000001</v>
      </c>
      <c r="D217" s="175">
        <f>SUM(D208:D216)</f>
        <v>456062</v>
      </c>
      <c r="E217" s="175">
        <f>SUM(E208:E216)</f>
        <v>142544485.05000001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40" t="s">
        <v>1254</v>
      </c>
      <c r="C220" s="340"/>
      <c r="D220" s="208"/>
      <c r="E220" s="208"/>
    </row>
    <row r="221" spans="1:8" ht="12.65" customHeight="1" x14ac:dyDescent="0.3">
      <c r="A221" s="272" t="s">
        <v>1254</v>
      </c>
      <c r="B221" s="208"/>
      <c r="C221" s="189">
        <v>3897202.8</v>
      </c>
      <c r="D221" s="172">
        <f>C221</f>
        <v>3897202.8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178709599.91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45825567.390000001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1980172.72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18093454.109999999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12044896.75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-4409.68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256649281.19999999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337305.05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1725754.78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2063059.83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1892617.88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1892617.88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264502161.71000001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65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65" customHeight="1" x14ac:dyDescent="0.3">
      <c r="A250" s="173" t="s">
        <v>362</v>
      </c>
      <c r="B250" s="172" t="s">
        <v>256</v>
      </c>
      <c r="C250" s="189">
        <v>21579371.82</v>
      </c>
      <c r="D250" s="175"/>
      <c r="E250" s="175"/>
    </row>
    <row r="251" spans="1:5" ht="12.65" customHeight="1" x14ac:dyDescent="0.3">
      <c r="A251" s="173" t="s">
        <v>363</v>
      </c>
      <c r="B251" s="172" t="s">
        <v>256</v>
      </c>
      <c r="C251" s="189">
        <v>13962333.24</v>
      </c>
      <c r="D251" s="175"/>
      <c r="E251" s="175"/>
    </row>
    <row r="252" spans="1:5" ht="12.65" customHeight="1" x14ac:dyDescent="0.3">
      <c r="A252" s="173" t="s">
        <v>364</v>
      </c>
      <c r="B252" s="172" t="s">
        <v>256</v>
      </c>
      <c r="C252" s="189">
        <v>46247032.93</v>
      </c>
      <c r="D252" s="175"/>
      <c r="E252" s="175"/>
    </row>
    <row r="253" spans="1:5" ht="12.65" customHeight="1" x14ac:dyDescent="0.3">
      <c r="A253" s="173" t="s">
        <v>365</v>
      </c>
      <c r="B253" s="172" t="s">
        <v>256</v>
      </c>
      <c r="C253" s="189">
        <v>24663972.579999998</v>
      </c>
      <c r="D253" s="175"/>
      <c r="E253" s="175"/>
    </row>
    <row r="254" spans="1:5" ht="12.65" customHeight="1" x14ac:dyDescent="0.3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">
      <c r="A255" s="173" t="s">
        <v>366</v>
      </c>
      <c r="B255" s="172" t="s">
        <v>256</v>
      </c>
      <c r="C255" s="189">
        <v>1146016.69</v>
      </c>
      <c r="D255" s="175"/>
      <c r="E255" s="175"/>
    </row>
    <row r="256" spans="1:5" ht="12.65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">
      <c r="A257" s="173" t="s">
        <v>368</v>
      </c>
      <c r="B257" s="172" t="s">
        <v>256</v>
      </c>
      <c r="C257" s="189">
        <v>2796847.26</v>
      </c>
      <c r="D257" s="175"/>
      <c r="E257" s="175"/>
    </row>
    <row r="258" spans="1:5" ht="12.65" customHeight="1" x14ac:dyDescent="0.3">
      <c r="A258" s="173" t="s">
        <v>369</v>
      </c>
      <c r="B258" s="172" t="s">
        <v>256</v>
      </c>
      <c r="C258" s="189">
        <v>2704831.05</v>
      </c>
      <c r="D258" s="175"/>
      <c r="E258" s="175"/>
    </row>
    <row r="259" spans="1:5" ht="12.65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">
      <c r="A260" s="173" t="s">
        <v>371</v>
      </c>
      <c r="B260" s="175"/>
      <c r="C260" s="191"/>
      <c r="D260" s="175">
        <f>SUM(C250:C252)-C253+SUM(C254:C259)</f>
        <v>63772460.410000011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65" customHeight="1" x14ac:dyDescent="0.3">
      <c r="A262" s="173" t="s">
        <v>362</v>
      </c>
      <c r="B262" s="172" t="s">
        <v>256</v>
      </c>
      <c r="C262" s="189">
        <v>6182440.0199999996</v>
      </c>
      <c r="D262" s="175"/>
      <c r="E262" s="175"/>
    </row>
    <row r="263" spans="1:5" ht="12.65" customHeight="1" x14ac:dyDescent="0.3">
      <c r="A263" s="173" t="s">
        <v>363</v>
      </c>
      <c r="B263" s="172" t="s">
        <v>256</v>
      </c>
      <c r="C263" s="189">
        <v>35357987.899999999</v>
      </c>
      <c r="D263" s="175"/>
      <c r="E263" s="175"/>
    </row>
    <row r="264" spans="1:5" ht="12.65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">
      <c r="A265" s="173" t="s">
        <v>374</v>
      </c>
      <c r="B265" s="175"/>
      <c r="C265" s="191"/>
      <c r="D265" s="175">
        <f>SUM(C262:C264)</f>
        <v>41540427.920000002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65" customHeight="1" x14ac:dyDescent="0.3">
      <c r="A267" s="173" t="s">
        <v>332</v>
      </c>
      <c r="B267" s="172" t="s">
        <v>256</v>
      </c>
      <c r="C267" s="189">
        <v>11439754.43</v>
      </c>
      <c r="D267" s="175"/>
      <c r="E267" s="175"/>
    </row>
    <row r="268" spans="1:5" ht="12.65" customHeight="1" x14ac:dyDescent="0.3">
      <c r="A268" s="173" t="s">
        <v>333</v>
      </c>
      <c r="B268" s="172" t="s">
        <v>256</v>
      </c>
      <c r="C268" s="189">
        <v>9546920.4000000004</v>
      </c>
      <c r="D268" s="175"/>
      <c r="E268" s="175"/>
    </row>
    <row r="269" spans="1:5" ht="12.65" customHeight="1" x14ac:dyDescent="0.3">
      <c r="A269" s="173" t="s">
        <v>334</v>
      </c>
      <c r="B269" s="172" t="s">
        <v>256</v>
      </c>
      <c r="C269" s="189">
        <v>126575298.26000001</v>
      </c>
      <c r="D269" s="175"/>
      <c r="E269" s="175"/>
    </row>
    <row r="270" spans="1:5" ht="12.65" customHeight="1" x14ac:dyDescent="0.3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">
      <c r="A271" s="173" t="s">
        <v>377</v>
      </c>
      <c r="B271" s="172" t="s">
        <v>256</v>
      </c>
      <c r="C271" s="189">
        <v>35350187.420000002</v>
      </c>
      <c r="D271" s="175"/>
      <c r="E271" s="175"/>
    </row>
    <row r="272" spans="1:5" ht="12.65" customHeight="1" x14ac:dyDescent="0.3">
      <c r="A272" s="173" t="s">
        <v>378</v>
      </c>
      <c r="B272" s="172" t="s">
        <v>256</v>
      </c>
      <c r="C272" s="189">
        <f>71227943.02+3039255.76</f>
        <v>74267198.780000001</v>
      </c>
      <c r="D272" s="175"/>
      <c r="E272" s="175"/>
    </row>
    <row r="273" spans="1:5" ht="12.65" customHeight="1" x14ac:dyDescent="0.3">
      <c r="A273" s="173" t="s">
        <v>339</v>
      </c>
      <c r="B273" s="172" t="s">
        <v>256</v>
      </c>
      <c r="C273" s="189">
        <v>362736.46</v>
      </c>
      <c r="D273" s="175"/>
      <c r="E273" s="175"/>
    </row>
    <row r="274" spans="1:5" ht="12.65" customHeight="1" x14ac:dyDescent="0.3">
      <c r="A274" s="173" t="s">
        <v>340</v>
      </c>
      <c r="B274" s="172" t="s">
        <v>256</v>
      </c>
      <c r="C274" s="189">
        <v>6280261.75</v>
      </c>
      <c r="D274" s="175"/>
      <c r="E274" s="175"/>
    </row>
    <row r="275" spans="1:5" ht="12.65" customHeight="1" x14ac:dyDescent="0.3">
      <c r="A275" s="173" t="s">
        <v>379</v>
      </c>
      <c r="B275" s="175"/>
      <c r="C275" s="191"/>
      <c r="D275" s="175">
        <f>SUM(C267:C274)</f>
        <v>263822357.5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142544485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121277872.5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>
        <v>2235448</v>
      </c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2235448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228826208.83000001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8307532.0899999999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12175920.26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3370.18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1241</v>
      </c>
      <c r="B309" s="172" t="s">
        <v>256</v>
      </c>
      <c r="C309" s="189">
        <v>736308.54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4857002.8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2085113.07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28165246.940000001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f>2085113.07+48602932.32</f>
        <v>50688045.390000001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1064513.1000000001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51752558.490000002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2085113.07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49667445.420000002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150993516.53999999</v>
      </c>
      <c r="D332" s="175"/>
      <c r="E332" s="175"/>
    </row>
    <row r="333" spans="1:5" ht="12.65" customHeight="1" x14ac:dyDescent="0.3">
      <c r="A333" s="173"/>
      <c r="B333" s="172"/>
      <c r="C333" s="231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228826208.89999998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228826208.83000001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107288350.39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391719303.45999998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499007653.84999996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1254</v>
      </c>
      <c r="B363" s="257"/>
      <c r="C363" s="189">
        <v>3897202.8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258541899.08000001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2063059.83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264502161.71000004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234505492.13999993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6041656.0199999996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>
        <v>4644110.22</v>
      </c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10685766.239999998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245191258.37999994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116081054.79000001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31071532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10080533.550000001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40211785.07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/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15890459.23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11403886.33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200496.19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1486866.68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1711749.29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/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f>7605420.71+3826494.89-102846.67+2738171.86</f>
        <v>14067240.789999999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242205603.92000002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2985654.4599999189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2733161.26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5718815.7199999187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5718815.7199999187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Olympic Medical Center   H-0     FYE 12/31/2021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3841</v>
      </c>
      <c r="C414" s="194">
        <f>E138</f>
        <v>3841</v>
      </c>
      <c r="D414" s="179"/>
    </row>
    <row r="415" spans="1:5" ht="12.65" customHeight="1" x14ac:dyDescent="0.3">
      <c r="A415" s="179" t="s">
        <v>464</v>
      </c>
      <c r="B415" s="179">
        <f>D111</f>
        <v>14472</v>
      </c>
      <c r="C415" s="179">
        <f>E139</f>
        <v>14472</v>
      </c>
      <c r="D415" s="194">
        <f>SUM(C59:H59)+N59</f>
        <v>14472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442</v>
      </c>
    </row>
    <row r="424" spans="1:7" ht="12.65" customHeight="1" x14ac:dyDescent="0.3">
      <c r="A424" s="179" t="s">
        <v>1243</v>
      </c>
      <c r="B424" s="179">
        <f>D114</f>
        <v>794</v>
      </c>
      <c r="D424" s="179">
        <f>J59</f>
        <v>794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116081054.79000001</v>
      </c>
      <c r="C427" s="179">
        <f t="shared" ref="C427:C434" si="13">CE61</f>
        <v>116081054.8</v>
      </c>
      <c r="D427" s="179"/>
    </row>
    <row r="428" spans="1:7" ht="12.65" customHeight="1" x14ac:dyDescent="0.3">
      <c r="A428" s="179" t="s">
        <v>3</v>
      </c>
      <c r="B428" s="179">
        <f t="shared" si="12"/>
        <v>31071532</v>
      </c>
      <c r="C428" s="179">
        <f t="shared" si="13"/>
        <v>31071533</v>
      </c>
      <c r="D428" s="179">
        <f>D173</f>
        <v>31071531.999999996</v>
      </c>
    </row>
    <row r="429" spans="1:7" ht="12.65" customHeight="1" x14ac:dyDescent="0.3">
      <c r="A429" s="179" t="s">
        <v>236</v>
      </c>
      <c r="B429" s="179">
        <f t="shared" si="12"/>
        <v>10080533.550000001</v>
      </c>
      <c r="C429" s="179">
        <f t="shared" si="13"/>
        <v>10080533.549999999</v>
      </c>
      <c r="D429" s="179"/>
    </row>
    <row r="430" spans="1:7" ht="12.65" customHeight="1" x14ac:dyDescent="0.3">
      <c r="A430" s="179" t="s">
        <v>237</v>
      </c>
      <c r="B430" s="179">
        <f t="shared" si="12"/>
        <v>40211785.07</v>
      </c>
      <c r="C430" s="179">
        <f t="shared" si="13"/>
        <v>40204584.480000004</v>
      </c>
      <c r="D430" s="179"/>
    </row>
    <row r="431" spans="1:7" ht="12.65" customHeight="1" x14ac:dyDescent="0.3">
      <c r="A431" s="179" t="s">
        <v>444</v>
      </c>
      <c r="B431" s="179">
        <f t="shared" si="12"/>
        <v>0</v>
      </c>
      <c r="C431" s="179">
        <f t="shared" si="13"/>
        <v>2738171.86</v>
      </c>
      <c r="D431" s="179"/>
    </row>
    <row r="432" spans="1:7" ht="12.65" customHeight="1" x14ac:dyDescent="0.3">
      <c r="A432" s="179" t="s">
        <v>445</v>
      </c>
      <c r="B432" s="179">
        <f t="shared" si="12"/>
        <v>15890459.23</v>
      </c>
      <c r="C432" s="179">
        <f t="shared" si="13"/>
        <v>15890459.23</v>
      </c>
      <c r="D432" s="179"/>
    </row>
    <row r="433" spans="1:7" ht="12.65" customHeight="1" x14ac:dyDescent="0.3">
      <c r="A433" s="179" t="s">
        <v>6</v>
      </c>
      <c r="B433" s="179">
        <f t="shared" si="12"/>
        <v>11403886.33</v>
      </c>
      <c r="C433" s="179">
        <f t="shared" si="13"/>
        <v>11403887</v>
      </c>
      <c r="D433" s="179">
        <f>C217</f>
        <v>11395094.130000001</v>
      </c>
    </row>
    <row r="434" spans="1:7" ht="12.65" customHeight="1" x14ac:dyDescent="0.3">
      <c r="A434" s="179" t="s">
        <v>474</v>
      </c>
      <c r="B434" s="179">
        <f t="shared" si="12"/>
        <v>200496.19</v>
      </c>
      <c r="C434" s="179">
        <f t="shared" si="13"/>
        <v>200496.18999999997</v>
      </c>
      <c r="D434" s="179">
        <f>D177</f>
        <v>200496.19</v>
      </c>
    </row>
    <row r="435" spans="1:7" ht="12.65" customHeight="1" x14ac:dyDescent="0.3">
      <c r="A435" s="179" t="s">
        <v>447</v>
      </c>
      <c r="B435" s="179">
        <f t="shared" si="12"/>
        <v>1486866.68</v>
      </c>
      <c r="C435" s="179"/>
      <c r="D435" s="179">
        <f>D181</f>
        <v>1486866.68</v>
      </c>
    </row>
    <row r="436" spans="1:7" ht="12.65" customHeight="1" x14ac:dyDescent="0.3">
      <c r="A436" s="179" t="s">
        <v>475</v>
      </c>
      <c r="B436" s="179">
        <f t="shared" si="12"/>
        <v>1711749.29</v>
      </c>
      <c r="C436" s="179"/>
      <c r="D436" s="179">
        <f>D186</f>
        <v>1853364.52</v>
      </c>
    </row>
    <row r="437" spans="1:7" ht="12.65" customHeight="1" x14ac:dyDescent="0.3">
      <c r="A437" s="194" t="s">
        <v>449</v>
      </c>
      <c r="B437" s="194">
        <f t="shared" si="12"/>
        <v>0</v>
      </c>
      <c r="C437" s="194"/>
      <c r="D437" s="194">
        <f>D190</f>
        <v>1892925.45</v>
      </c>
    </row>
    <row r="438" spans="1:7" ht="12.65" customHeight="1" x14ac:dyDescent="0.3">
      <c r="A438" s="194" t="s">
        <v>476</v>
      </c>
      <c r="B438" s="194">
        <f>C386+C387+C388</f>
        <v>3198615.9699999997</v>
      </c>
      <c r="C438" s="194">
        <f>CD69</f>
        <v>0</v>
      </c>
      <c r="D438" s="194">
        <f>D181+D186+D190</f>
        <v>5233156.6500000004</v>
      </c>
    </row>
    <row r="439" spans="1:7" ht="12.65" customHeight="1" x14ac:dyDescent="0.3">
      <c r="A439" s="179" t="s">
        <v>451</v>
      </c>
      <c r="B439" s="194">
        <f>C389</f>
        <v>14067240.789999999</v>
      </c>
      <c r="C439" s="194">
        <f>SUM(C69:CC69)</f>
        <v>13032476.539999999</v>
      </c>
      <c r="D439" s="179"/>
    </row>
    <row r="440" spans="1:7" ht="12.65" customHeight="1" x14ac:dyDescent="0.3">
      <c r="A440" s="179" t="s">
        <v>477</v>
      </c>
      <c r="B440" s="194">
        <f>B438+B439</f>
        <v>17265856.759999998</v>
      </c>
      <c r="C440" s="194">
        <f>CE69</f>
        <v>13032476.539999999</v>
      </c>
      <c r="D440" s="179"/>
    </row>
    <row r="441" spans="1:7" ht="12.65" customHeight="1" x14ac:dyDescent="0.3">
      <c r="A441" s="179" t="s">
        <v>478</v>
      </c>
      <c r="B441" s="179">
        <f>D390</f>
        <v>242205603.92000002</v>
      </c>
      <c r="C441" s="179">
        <f>SUM(C427:C437)+C440</f>
        <v>240703196.65000004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1256</v>
      </c>
      <c r="B444" s="179">
        <f>D221</f>
        <v>3897202.8</v>
      </c>
      <c r="C444" s="179">
        <f>C363</f>
        <v>3897202.8</v>
      </c>
      <c r="D444" s="179"/>
    </row>
    <row r="445" spans="1:7" ht="12.65" customHeight="1" x14ac:dyDescent="0.3">
      <c r="A445" s="179" t="s">
        <v>343</v>
      </c>
      <c r="B445" s="179">
        <f>D229</f>
        <v>256649281.19999999</v>
      </c>
      <c r="C445" s="179">
        <f>C364</f>
        <v>258541899.08000001</v>
      </c>
      <c r="D445" s="179"/>
    </row>
    <row r="446" spans="1:7" ht="12.65" customHeight="1" x14ac:dyDescent="0.3">
      <c r="A446" s="179" t="s">
        <v>351</v>
      </c>
      <c r="B446" s="179">
        <f>D236</f>
        <v>2063059.83</v>
      </c>
      <c r="C446" s="179">
        <f>C365</f>
        <v>2063059.83</v>
      </c>
      <c r="D446" s="179"/>
    </row>
    <row r="447" spans="1:7" ht="12.65" customHeight="1" x14ac:dyDescent="0.3">
      <c r="A447" s="179" t="s">
        <v>356</v>
      </c>
      <c r="B447" s="179">
        <f>D240</f>
        <v>1892617.88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264502161.71000001</v>
      </c>
      <c r="C448" s="179">
        <f>D367</f>
        <v>264502161.71000004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0</v>
      </c>
    </row>
    <row r="454" spans="1:7" ht="12.65" customHeight="1" x14ac:dyDescent="0.3">
      <c r="A454" s="179" t="s">
        <v>168</v>
      </c>
      <c r="B454" s="179">
        <f>C233</f>
        <v>337305.05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1725754.78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6041656.0199999996</v>
      </c>
      <c r="C458" s="194">
        <f>CE70</f>
        <v>0</v>
      </c>
      <c r="D458" s="194"/>
    </row>
    <row r="459" spans="1:7" ht="12.65" customHeight="1" x14ac:dyDescent="0.3">
      <c r="A459" s="179" t="s">
        <v>244</v>
      </c>
      <c r="B459" s="194">
        <f>C371</f>
        <v>4644110.22</v>
      </c>
      <c r="C459" s="194">
        <f>CE72</f>
        <v>4644110.22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1244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107288350.39</v>
      </c>
      <c r="C463" s="194">
        <f>CE73</f>
        <v>107288350.368</v>
      </c>
      <c r="D463" s="194">
        <f>E141+E147+E153</f>
        <v>107288350.38999999</v>
      </c>
    </row>
    <row r="464" spans="1:7" ht="12.65" customHeight="1" x14ac:dyDescent="0.3">
      <c r="A464" s="179" t="s">
        <v>246</v>
      </c>
      <c r="B464" s="194">
        <f>C360</f>
        <v>391719303.45999998</v>
      </c>
      <c r="C464" s="194">
        <f>CE74</f>
        <v>391719303.45999998</v>
      </c>
      <c r="D464" s="194">
        <f>E142+E148+E154</f>
        <v>391719303.46000004</v>
      </c>
    </row>
    <row r="465" spans="1:7" ht="12.65" customHeight="1" x14ac:dyDescent="0.3">
      <c r="A465" s="179" t="s">
        <v>247</v>
      </c>
      <c r="B465" s="194">
        <f>D361</f>
        <v>499007653.84999996</v>
      </c>
      <c r="C465" s="194">
        <f>CE75</f>
        <v>499007653.82800001</v>
      </c>
      <c r="D465" s="194">
        <f>D463+D464</f>
        <v>499007653.85000002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11439754.43</v>
      </c>
      <c r="C468" s="179">
        <f>E195</f>
        <v>11439754.43</v>
      </c>
      <c r="D468" s="179"/>
    </row>
    <row r="469" spans="1:7" ht="12.65" customHeight="1" x14ac:dyDescent="0.3">
      <c r="A469" s="179" t="s">
        <v>333</v>
      </c>
      <c r="B469" s="179">
        <f t="shared" si="14"/>
        <v>9546920.4000000004</v>
      </c>
      <c r="C469" s="179">
        <f>E196</f>
        <v>9546920.4000000004</v>
      </c>
      <c r="D469" s="179"/>
    </row>
    <row r="470" spans="1:7" ht="12.65" customHeight="1" x14ac:dyDescent="0.3">
      <c r="A470" s="179" t="s">
        <v>334</v>
      </c>
      <c r="B470" s="179">
        <f t="shared" si="14"/>
        <v>126575298.26000001</v>
      </c>
      <c r="C470" s="179">
        <f>E197</f>
        <v>126575298.26000001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35350187.420000002</v>
      </c>
      <c r="C472" s="179">
        <f>E199</f>
        <v>35350187.419999994</v>
      </c>
      <c r="D472" s="179"/>
    </row>
    <row r="473" spans="1:7" ht="12.65" customHeight="1" x14ac:dyDescent="0.3">
      <c r="A473" s="179" t="s">
        <v>495</v>
      </c>
      <c r="B473" s="179">
        <f t="shared" si="14"/>
        <v>74267198.780000001</v>
      </c>
      <c r="C473" s="179">
        <f>SUM(E200:E201)</f>
        <v>74267198.780000016</v>
      </c>
      <c r="D473" s="179"/>
    </row>
    <row r="474" spans="1:7" ht="12.65" customHeight="1" x14ac:dyDescent="0.3">
      <c r="A474" s="179" t="s">
        <v>339</v>
      </c>
      <c r="B474" s="179">
        <f t="shared" si="14"/>
        <v>362736.46</v>
      </c>
      <c r="C474" s="179">
        <f>E202</f>
        <v>362736.46</v>
      </c>
      <c r="D474" s="179"/>
    </row>
    <row r="475" spans="1:7" ht="12.65" customHeight="1" x14ac:dyDescent="0.3">
      <c r="A475" s="179" t="s">
        <v>340</v>
      </c>
      <c r="B475" s="179">
        <f t="shared" si="14"/>
        <v>6280261.75</v>
      </c>
      <c r="C475" s="179">
        <f>E203</f>
        <v>6280261.75</v>
      </c>
      <c r="D475" s="179"/>
    </row>
    <row r="476" spans="1:7" ht="12.65" customHeight="1" x14ac:dyDescent="0.3">
      <c r="A476" s="179" t="s">
        <v>203</v>
      </c>
      <c r="B476" s="179">
        <f>D275</f>
        <v>263822357.5</v>
      </c>
      <c r="C476" s="179">
        <f>E204</f>
        <v>263822357.5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142544485</v>
      </c>
      <c r="C478" s="179">
        <f>E217</f>
        <v>142544485.05000001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228826208.83000001</v>
      </c>
    </row>
    <row r="482" spans="1:12" ht="12.65" customHeight="1" x14ac:dyDescent="0.3">
      <c r="A482" s="180" t="s">
        <v>499</v>
      </c>
      <c r="C482" s="180">
        <f>D339</f>
        <v>228826208.89999998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38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Year'!C71</f>
        <v>6123885.330000001</v>
      </c>
      <c r="C496" s="240">
        <f>C71</f>
        <v>6793894.1299999999</v>
      </c>
      <c r="D496" s="240">
        <f>'Prior Year'!C59</f>
        <v>3934</v>
      </c>
      <c r="E496" s="180">
        <f>C59</f>
        <v>4227</v>
      </c>
      <c r="F496" s="263">
        <f t="shared" ref="F496:G511" si="15">IF(B496=0,"",IF(D496=0,"",B496/D496))</f>
        <v>1556.6561591255722</v>
      </c>
      <c r="G496" s="264">
        <f t="shared" si="15"/>
        <v>1607.2614454696002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Year'!E71</f>
        <v>9132418.8000000007</v>
      </c>
      <c r="C498" s="240">
        <f>E71</f>
        <v>10413084.609999999</v>
      </c>
      <c r="D498" s="240">
        <f>'Prior Year'!E59</f>
        <v>9198</v>
      </c>
      <c r="E498" s="180">
        <f>E59</f>
        <v>10245</v>
      </c>
      <c r="F498" s="263">
        <f t="shared" si="15"/>
        <v>992.87005870841494</v>
      </c>
      <c r="G498" s="263">
        <f t="shared" si="15"/>
        <v>1016.4065017081502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Year'!J71</f>
        <v>788565.69</v>
      </c>
      <c r="C503" s="240">
        <f>J71</f>
        <v>871250.91</v>
      </c>
      <c r="D503" s="240">
        <f>'Prior Year'!J59</f>
        <v>791</v>
      </c>
      <c r="E503" s="180">
        <f>J59</f>
        <v>794</v>
      </c>
      <c r="F503" s="263">
        <f t="shared" si="15"/>
        <v>996.92249051833119</v>
      </c>
      <c r="G503" s="263">
        <f t="shared" si="15"/>
        <v>1097.2933375314863</v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Year'!O71</f>
        <v>478771.85000000003</v>
      </c>
      <c r="C508" s="240">
        <f>O71</f>
        <v>528973.77999999991</v>
      </c>
      <c r="D508" s="240">
        <f>'Prior Year'!O59</f>
        <v>341</v>
      </c>
      <c r="E508" s="180">
        <f>O59</f>
        <v>322</v>
      </c>
      <c r="F508" s="263">
        <f t="shared" si="15"/>
        <v>1404.0230205278594</v>
      </c>
      <c r="G508" s="263">
        <f t="shared" si="15"/>
        <v>1642.775714285714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Year'!P71</f>
        <v>10715633.819999998</v>
      </c>
      <c r="C509" s="240">
        <f>P71</f>
        <v>11754785.959999999</v>
      </c>
      <c r="D509" s="240">
        <f>'Prior Year'!P59</f>
        <v>290498</v>
      </c>
      <c r="E509" s="180">
        <f>P59</f>
        <v>297602</v>
      </c>
      <c r="F509" s="263">
        <f t="shared" si="15"/>
        <v>36.887117363974959</v>
      </c>
      <c r="G509" s="263">
        <f t="shared" si="15"/>
        <v>39.498343290703687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Year'!Q71</f>
        <v>828303.78</v>
      </c>
      <c r="C510" s="240">
        <f>Q71</f>
        <v>796848.93</v>
      </c>
      <c r="D510" s="240">
        <f>'Prior Year'!Q59</f>
        <v>160352</v>
      </c>
      <c r="E510" s="180">
        <f>Q59</f>
        <v>188405</v>
      </c>
      <c r="F510" s="263">
        <f t="shared" si="15"/>
        <v>5.1655344492117345</v>
      </c>
      <c r="G510" s="263">
        <f t="shared" si="15"/>
        <v>4.2294468299673582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Year'!R71</f>
        <v>1315325.43</v>
      </c>
      <c r="C511" s="240">
        <f>R71</f>
        <v>1630894.8699999999</v>
      </c>
      <c r="D511" s="240">
        <f>'Prior Year'!R59</f>
        <v>372757</v>
      </c>
      <c r="E511" s="180">
        <f>R59</f>
        <v>413977</v>
      </c>
      <c r="F511" s="263">
        <f t="shared" si="15"/>
        <v>3.5286404547734849</v>
      </c>
      <c r="G511" s="263">
        <f t="shared" si="15"/>
        <v>3.9395784548416937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Year'!S71</f>
        <v>1476215.75</v>
      </c>
      <c r="C512" s="240">
        <f>S71</f>
        <v>1036143.2999999999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1245</v>
      </c>
      <c r="B513" s="240">
        <f>'Prior Year'!T71</f>
        <v>172466.67</v>
      </c>
      <c r="C513" s="240">
        <f>T71</f>
        <v>188311.36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Year'!U71</f>
        <v>10593250.83</v>
      </c>
      <c r="C514" s="240">
        <f>U71</f>
        <v>11186827.140000001</v>
      </c>
      <c r="D514" s="240">
        <f>'Prior Year'!U59</f>
        <v>621894</v>
      </c>
      <c r="E514" s="180">
        <f>U59</f>
        <v>748874</v>
      </c>
      <c r="F514" s="263">
        <f t="shared" si="17"/>
        <v>17.033852762689463</v>
      </c>
      <c r="G514" s="263">
        <f t="shared" si="17"/>
        <v>14.938196732694687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Year'!V71</f>
        <v>3879140.01</v>
      </c>
      <c r="C515" s="240">
        <f>V71</f>
        <v>3934963.44</v>
      </c>
      <c r="D515" s="240">
        <f>'Prior Year'!V59</f>
        <v>29101</v>
      </c>
      <c r="E515" s="180">
        <f>V59</f>
        <v>30977</v>
      </c>
      <c r="F515" s="263">
        <f t="shared" si="17"/>
        <v>133.29919968385965</v>
      </c>
      <c r="G515" s="263">
        <f t="shared" si="17"/>
        <v>127.02855150595603</v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Year'!W71</f>
        <v>1559383.0999999999</v>
      </c>
      <c r="C516" s="240">
        <f>W71</f>
        <v>1506329.44</v>
      </c>
      <c r="D516" s="240">
        <f>'Prior Year'!W59</f>
        <v>6732</v>
      </c>
      <c r="E516" s="180">
        <f>W59</f>
        <v>7355</v>
      </c>
      <c r="F516" s="263">
        <f t="shared" si="17"/>
        <v>231.63741830065356</v>
      </c>
      <c r="G516" s="263">
        <f t="shared" si="17"/>
        <v>204.80345887151597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Year'!X71</f>
        <v>1768423.9500000002</v>
      </c>
      <c r="C517" s="240">
        <f>X71</f>
        <v>1605202.46</v>
      </c>
      <c r="D517" s="240">
        <f>'Prior Year'!X59</f>
        <v>20418</v>
      </c>
      <c r="E517" s="180">
        <f>X59</f>
        <v>22178</v>
      </c>
      <c r="F517" s="263">
        <f t="shared" si="17"/>
        <v>86.611027034969155</v>
      </c>
      <c r="G517" s="263">
        <f t="shared" si="17"/>
        <v>72.378143204977903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Year'!Y71</f>
        <v>8389324.1099999994</v>
      </c>
      <c r="C518" s="240">
        <f>Y71</f>
        <v>8783515.2599999998</v>
      </c>
      <c r="D518" s="240">
        <f>'Prior Year'!Y59</f>
        <v>69941</v>
      </c>
      <c r="E518" s="180">
        <f>Y59</f>
        <v>77488</v>
      </c>
      <c r="F518" s="263">
        <f t="shared" si="17"/>
        <v>119.94858680888176</v>
      </c>
      <c r="G518" s="263">
        <f t="shared" si="17"/>
        <v>113.35323224241172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Year'!Z71</f>
        <v>5024260.2200000007</v>
      </c>
      <c r="C519" s="240">
        <f>Z71</f>
        <v>4694858.6700000009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Year'!AA71</f>
        <v>538073.55000000005</v>
      </c>
      <c r="C520" s="240">
        <f>AA71</f>
        <v>757459.44</v>
      </c>
      <c r="D520" s="240">
        <f>'Prior Year'!AA59</f>
        <v>700</v>
      </c>
      <c r="E520" s="180">
        <f>AA59</f>
        <v>695</v>
      </c>
      <c r="F520" s="263">
        <f t="shared" si="17"/>
        <v>768.67650000000003</v>
      </c>
      <c r="G520" s="263">
        <f t="shared" si="17"/>
        <v>1089.8696978417265</v>
      </c>
      <c r="H520" s="265">
        <f t="shared" si="16"/>
        <v>0.41785224062622772</v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Year'!AB71</f>
        <v>22662950.039999999</v>
      </c>
      <c r="C521" s="240">
        <f>AB71</f>
        <v>24369443.690000001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Year'!AC71</f>
        <v>1543504.7800000003</v>
      </c>
      <c r="C522" s="240">
        <f>AC71</f>
        <v>2020185.2899999998</v>
      </c>
      <c r="D522" s="240">
        <f>'Prior Year'!AC59</f>
        <v>19835</v>
      </c>
      <c r="E522" s="180">
        <f>AC59</f>
        <v>18650</v>
      </c>
      <c r="F522" s="263">
        <f t="shared" si="17"/>
        <v>77.81723115704564</v>
      </c>
      <c r="G522" s="263">
        <f t="shared" si="17"/>
        <v>108.32092707774798</v>
      </c>
      <c r="H522" s="265">
        <f t="shared" si="16"/>
        <v>0.39199153538554699</v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Year'!AE71</f>
        <v>4383847.7</v>
      </c>
      <c r="C524" s="240">
        <f>AE71</f>
        <v>4606139.8200000012</v>
      </c>
      <c r="D524" s="240">
        <f>'Prior Year'!AE59</f>
        <v>82752</v>
      </c>
      <c r="E524" s="180">
        <f>AE59</f>
        <v>89937</v>
      </c>
      <c r="F524" s="263">
        <f t="shared" si="17"/>
        <v>52.975731100154682</v>
      </c>
      <c r="G524" s="263">
        <f t="shared" si="17"/>
        <v>51.215181960705841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Year'!AG71</f>
        <v>12287853.52</v>
      </c>
      <c r="C526" s="240">
        <f>AG71</f>
        <v>13241584.310000002</v>
      </c>
      <c r="D526" s="240">
        <f>'Prior Year'!AG59</f>
        <v>24082</v>
      </c>
      <c r="E526" s="180">
        <f>AG59</f>
        <v>25003</v>
      </c>
      <c r="F526" s="263">
        <f t="shared" si="17"/>
        <v>510.2505406527697</v>
      </c>
      <c r="G526" s="263">
        <f t="shared" si="17"/>
        <v>529.59982042154957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Year'!AH71</f>
        <v>547.38</v>
      </c>
      <c r="C527" s="240">
        <f>AH71</f>
        <v>10364.25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Year'!AI71</f>
        <v>2631239.8899999997</v>
      </c>
      <c r="C528" s="240">
        <f>AI71</f>
        <v>3005343.2800000003</v>
      </c>
      <c r="D528" s="240">
        <f>'Prior Year'!AI59</f>
        <v>7840</v>
      </c>
      <c r="E528" s="180">
        <f>AI59</f>
        <v>6732</v>
      </c>
      <c r="F528" s="263">
        <f t="shared" ref="F528:G540" si="18">IF(B528=0,"",IF(D528=0,"",B528/D528))</f>
        <v>335.61733290816323</v>
      </c>
      <c r="G528" s="263">
        <f t="shared" si="18"/>
        <v>446.42651218062986</v>
      </c>
      <c r="H528" s="265">
        <f t="shared" si="16"/>
        <v>0.33016524597312125</v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Year'!AJ71</f>
        <v>43375457.990000002</v>
      </c>
      <c r="C529" s="240">
        <f>AJ71</f>
        <v>47085507.289999999</v>
      </c>
      <c r="D529" s="240">
        <f>'Prior Year'!AJ59</f>
        <v>150693</v>
      </c>
      <c r="E529" s="180">
        <f>AJ59</f>
        <v>182822</v>
      </c>
      <c r="F529" s="263">
        <f t="shared" si="18"/>
        <v>287.83989959719429</v>
      </c>
      <c r="G529" s="263">
        <f t="shared" si="18"/>
        <v>257.5483655686952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'Prior Year'!AL71</f>
        <v>23.53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Year'!AP71</f>
        <v>350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Year'!AR71</f>
        <v>7996671.5499999998</v>
      </c>
      <c r="C537" s="240">
        <f>AR71</f>
        <v>8379007.5700000003</v>
      </c>
      <c r="D537" s="240">
        <f>'Prior Year'!AR59</f>
        <v>49402</v>
      </c>
      <c r="E537" s="180">
        <f>AR59</f>
        <v>49870</v>
      </c>
      <c r="F537" s="263">
        <f t="shared" si="18"/>
        <v>161.86938889113802</v>
      </c>
      <c r="G537" s="263">
        <f t="shared" si="18"/>
        <v>168.01699558853019</v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Year'!AV71</f>
        <v>4858378.4700000007</v>
      </c>
      <c r="C541" s="240">
        <f>AV71</f>
        <v>5094914.54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1247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Year'!AX71</f>
        <v>129241.5</v>
      </c>
      <c r="C543" s="240">
        <f>AX71</f>
        <v>136191.65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Year'!AY71</f>
        <v>2700137.4</v>
      </c>
      <c r="C544" s="240">
        <f>AY71</f>
        <v>2794633.47</v>
      </c>
      <c r="D544" s="240">
        <f>'Prior Year'!AY59</f>
        <v>46107</v>
      </c>
      <c r="E544" s="180">
        <f>AY59</f>
        <v>0</v>
      </c>
      <c r="F544" s="263">
        <f t="shared" ref="F544:G550" si="19">IF(B544=0,"",IF(D544=0,"",B544/D544))</f>
        <v>58.562417854121932</v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Year'!AZ71</f>
        <v>319414.67000000004</v>
      </c>
      <c r="C545" s="240">
        <f>AZ71</f>
        <v>296707.28000000003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Year'!BA71</f>
        <v>643051.01</v>
      </c>
      <c r="C546" s="240">
        <f>BA71</f>
        <v>638203.93999999994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Year'!BB71</f>
        <v>1861503.21</v>
      </c>
      <c r="C547" s="240">
        <f>BB71</f>
        <v>2124498.4299999997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Year'!BD71</f>
        <v>1622869.94</v>
      </c>
      <c r="C549" s="240">
        <f>BD71</f>
        <v>3240626.21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Year'!BE71</f>
        <v>4066256.66</v>
      </c>
      <c r="C550" s="240">
        <f>BE71</f>
        <v>4486555.08</v>
      </c>
      <c r="D550" s="240">
        <f>'Prior Year'!BE59</f>
        <v>423858.90000000014</v>
      </c>
      <c r="E550" s="180">
        <f>BE59</f>
        <v>439385.0500000001</v>
      </c>
      <c r="F550" s="263">
        <f t="shared" si="19"/>
        <v>9.5934204991330816</v>
      </c>
      <c r="G550" s="263">
        <f t="shared" si="19"/>
        <v>10.210987105728789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Year'!BF71</f>
        <v>2420737.1500000004</v>
      </c>
      <c r="C551" s="240">
        <f>BF71</f>
        <v>2631615.0300000003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Year'!BH71</f>
        <v>9466334.8399999999</v>
      </c>
      <c r="C553" s="240">
        <f>BH71</f>
        <v>9957830.8999999985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Year'!BI71</f>
        <v>1248764.55</v>
      </c>
      <c r="C554" s="240">
        <f>BI71</f>
        <v>1389209.07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Year'!BJ71</f>
        <v>1791110.32</v>
      </c>
      <c r="C555" s="240">
        <f>BJ71</f>
        <v>1999863.1800000002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Year'!BK71</f>
        <v>2721300.33</v>
      </c>
      <c r="C556" s="240">
        <f>BK71</f>
        <v>3115702.54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Year'!BL71</f>
        <v>5723479.3999999994</v>
      </c>
      <c r="C557" s="240">
        <f>BL71</f>
        <v>5344966.3400000008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Year'!BN71</f>
        <v>1763262.49</v>
      </c>
      <c r="C559" s="240">
        <f>BN71</f>
        <v>1655708.62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Year'!BO71</f>
        <v>413808.5</v>
      </c>
      <c r="C560" s="240">
        <f>BO71</f>
        <v>682680.3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Year'!BP71</f>
        <v>609185.4</v>
      </c>
      <c r="C561" s="240">
        <f>BP71</f>
        <v>693859.26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Year'!BR71</f>
        <v>2822626.58</v>
      </c>
      <c r="C563" s="240">
        <f>BR71</f>
        <v>2514539.2799999998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1248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Year'!BV71</f>
        <v>1131813.06</v>
      </c>
      <c r="C567" s="240">
        <f>BV71</f>
        <v>1041642.96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Year'!BW71</f>
        <v>287667.64</v>
      </c>
      <c r="C568" s="240">
        <f>BW71</f>
        <v>312129.62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Year'!BY71</f>
        <v>1376966.8</v>
      </c>
      <c r="C570" s="240">
        <f>BY71</f>
        <v>1542753.12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Year'!CA71</f>
        <v>660117.22</v>
      </c>
      <c r="C572" s="240">
        <f>CA71</f>
        <v>733216.98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Year'!CC71</f>
        <v>13492672.16</v>
      </c>
      <c r="C574" s="240">
        <f>CC71</f>
        <v>19074229.649999999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Year'!CD71</f>
        <v>0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412505.77000000014</v>
      </c>
      <c r="E612" s="180">
        <f>SUM(C624:D647)+SUM(C668:D713)</f>
        <v>215286966.13165915</v>
      </c>
      <c r="F612" s="180">
        <f>CE64-(AX64+BD64+BE64+BG64+BJ64+BN64+BP64+BQ64+CB64+CC64+CD64)</f>
        <v>37827267.160000004</v>
      </c>
      <c r="G612" s="180">
        <f>CE77-(AX77+AY77+BD77+BE77+BG77+BJ77+BN77+BP77+BQ77+CB77+CC77+CD77)</f>
        <v>52832</v>
      </c>
      <c r="H612" s="197">
        <f>CE60-(AX60+AY60+AZ60+BD60+BE60+BG60+BJ60+BN60+BO60+BP60+BQ60+BR60+CB60+CC60+CD60)</f>
        <v>1239.0100000000002</v>
      </c>
      <c r="I612" s="180">
        <f>CE78-(AX78+AY78+AZ78+BD78+BE78+BF78+BG78+BJ78+BN78+BO78+BP78+BQ78+BR78+CB78+CC78+CD78)</f>
        <v>95014.409999999989</v>
      </c>
      <c r="J612" s="180">
        <f>CE79-(AX79+AY79+AZ79+BA79+BD79+BE79+BF79+BG79+BJ79+BN79+BO79+BP79+BQ79+BR79+CB79+CC79+CD79)</f>
        <v>1266627</v>
      </c>
      <c r="K612" s="180">
        <f>CE75-(AW75+AX75+AY75+AZ75+BA75+BB75+BC75+BD75+BE75+BF75+BG75+BH75+BI75+BJ75+BK75+BL75+BM75+BN75+BO75+BP75+BQ75+BR75+BS75+BT75+BU75+BV75+BW75+BX75+CB75+CC75+CD75)</f>
        <v>499007653.82800001</v>
      </c>
      <c r="L612" s="197">
        <f>CE80-(AW80+AX80+AY80+AZ80+BA80+BB80+BC80+BD80+BE80+BF80+BG80+BH80+BI80+BJ80+BK80+BL80+BM80+BN80+BO80+BP80+BQ80+BR80+BS80+BT80+BU80+BV80+BW80+BX80+BY80+BZ80+CA80+CB80+CC80+CD80)</f>
        <v>256.98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4486555.08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0</v>
      </c>
      <c r="D615" s="266">
        <f>SUM(C614:C615)</f>
        <v>4486555.08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136191.65</v>
      </c>
      <c r="D616" s="180">
        <f>(D615/D612)*AX76</f>
        <v>11101.811659042729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1999863.1800000002</v>
      </c>
      <c r="D617" s="180">
        <f>(D615/D612)*BJ76</f>
        <v>17022.350074294467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1655708.62</v>
      </c>
      <c r="D619" s="180">
        <f>(D615/D612)*BN76</f>
        <v>20848.64825466659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19074229.649999999</v>
      </c>
      <c r="D620" s="180">
        <f>(D615/D612)*CC76</f>
        <v>1790103.8025017225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693859.26</v>
      </c>
      <c r="D621" s="180">
        <f>(D615/D612)*BP76</f>
        <v>17301.545851128329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25416230.518340856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3240626.21</v>
      </c>
      <c r="D624" s="180">
        <f>(D615/D612)*BD76</f>
        <v>118794.81204792549</v>
      </c>
      <c r="E624" s="180">
        <f>(E623/E612)*SUM(C624:D624)</f>
        <v>396604.6836867666</v>
      </c>
      <c r="F624" s="180">
        <f>SUM(C624:E624)</f>
        <v>3756025.705734692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2794633.47</v>
      </c>
      <c r="D625" s="180">
        <f>(D615/D612)*AY76</f>
        <v>73305.80413540492</v>
      </c>
      <c r="E625" s="180">
        <f>(E623/E612)*SUM(C625:D625)</f>
        <v>338581.60117064981</v>
      </c>
      <c r="F625" s="180">
        <f>(F624/F612)*AY64</f>
        <v>72912.505191244287</v>
      </c>
      <c r="G625" s="180">
        <f>SUM(C625:F625)</f>
        <v>3279433.3804972991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2514539.2799999998</v>
      </c>
      <c r="D626" s="180">
        <f>(D615/D612)*BR76</f>
        <v>32002.448842936657</v>
      </c>
      <c r="E626" s="180">
        <f>(E623/E612)*SUM(C626:D626)</f>
        <v>300638.22612124396</v>
      </c>
      <c r="F626" s="180">
        <f>(F624/F612)*BR64</f>
        <v>2161.1497183466454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682680.3</v>
      </c>
      <c r="D627" s="180">
        <f>(D615/D612)*BO76</f>
        <v>1335.1801154703844</v>
      </c>
      <c r="E627" s="180">
        <f>(E623/E612)*SUM(C627:D627)</f>
        <v>80753.124228136076</v>
      </c>
      <c r="F627" s="180">
        <f>(F624/F612)*BO64</f>
        <v>4910.6469644185727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296707.28000000003</v>
      </c>
      <c r="D628" s="180">
        <f>(D615/D612)*AZ76</f>
        <v>12279.719825427892</v>
      </c>
      <c r="E628" s="180">
        <f>(E623/E612)*SUM(C628:D628)</f>
        <v>36478.217682397597</v>
      </c>
      <c r="F628" s="180">
        <f>(F624/F612)*AZ64</f>
        <v>126.12241510832811</v>
      </c>
      <c r="G628" s="180">
        <f>(G625/G612)*AZ77</f>
        <v>0</v>
      </c>
      <c r="H628" s="180">
        <f>SUM(C626:G628)</f>
        <v>3964611.6959134862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2631615.0300000003</v>
      </c>
      <c r="D629" s="180">
        <f>(D615/D612)*BF76</f>
        <v>22297.051121864301</v>
      </c>
      <c r="E629" s="180">
        <f>(E623/E612)*SUM(C629:D629)</f>
        <v>313314.09625584283</v>
      </c>
      <c r="F629" s="180">
        <f>(F624/F612)*BF64</f>
        <v>35711.261125640573</v>
      </c>
      <c r="G629" s="180">
        <f>(G625/G612)*BF77</f>
        <v>0</v>
      </c>
      <c r="H629" s="180">
        <f>(H628/H612)*BF60</f>
        <v>145943.89024351223</v>
      </c>
      <c r="I629" s="180">
        <f>SUM(C629:H629)</f>
        <v>3148881.3287468599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638203.93999999994</v>
      </c>
      <c r="D630" s="180">
        <f>(D615/D612)*BA76</f>
        <v>34477.687444099494</v>
      </c>
      <c r="E630" s="180">
        <f>(E623/E612)*SUM(C630:D630)</f>
        <v>79415.078468411288</v>
      </c>
      <c r="F630" s="180">
        <f>(F624/F612)*BA64</f>
        <v>17866.904915179752</v>
      </c>
      <c r="G630" s="180">
        <f>(G625/G612)*BA77</f>
        <v>0</v>
      </c>
      <c r="H630" s="180">
        <f>(H628/H612)*BA60</f>
        <v>25950.557988925324</v>
      </c>
      <c r="I630" s="180">
        <f>(I629/I612)*BA78</f>
        <v>26552.311715440817</v>
      </c>
      <c r="J630" s="180">
        <f>SUM(C630:I630)</f>
        <v>822466.48053205654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2124498.4299999997</v>
      </c>
      <c r="D632" s="180">
        <f>(D615/D612)*BB76</f>
        <v>8176.6186641277736</v>
      </c>
      <c r="E632" s="180">
        <f>(E623/E612)*SUM(C632:D632)</f>
        <v>251778.18068378727</v>
      </c>
      <c r="F632" s="180">
        <f>(F624/F612)*BB64</f>
        <v>398.57459438197253</v>
      </c>
      <c r="G632" s="180">
        <f>(G625/G612)*BB77</f>
        <v>0</v>
      </c>
      <c r="H632" s="180">
        <f>(H628/H612)*BB60</f>
        <v>45277.484037397458</v>
      </c>
      <c r="I632" s="180">
        <f>(I629/I612)*BB78</f>
        <v>6297.1389421372078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1389209.07</v>
      </c>
      <c r="D634" s="180">
        <f>(D615/D612)*BI76</f>
        <v>41202.749100971829</v>
      </c>
      <c r="E634" s="180">
        <f>(E623/E612)*SUM(C634:D634)</f>
        <v>168870.77366400434</v>
      </c>
      <c r="F634" s="180">
        <f>(F624/F612)*BI64</f>
        <v>802.81491200698849</v>
      </c>
      <c r="G634" s="180">
        <f>(G625/G612)*BI77</f>
        <v>0</v>
      </c>
      <c r="H634" s="180">
        <f>(H628/H612)*BI60</f>
        <v>55644.907944193765</v>
      </c>
      <c r="I634" s="180">
        <f>(I629/I612)*BI78</f>
        <v>1587276.7065258108</v>
      </c>
      <c r="J634" s="180">
        <f>(J630/J612)*BI79</f>
        <v>48076.835736640278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3115702.54</v>
      </c>
      <c r="D635" s="180">
        <f>(D615/D612)*BK76</f>
        <v>50216.628805250395</v>
      </c>
      <c r="E635" s="180">
        <f>(E623/E612)*SUM(C635:D635)</f>
        <v>373760.34807225328</v>
      </c>
      <c r="F635" s="180">
        <f>(F624/F612)*BK64</f>
        <v>1827.0090729109693</v>
      </c>
      <c r="G635" s="180">
        <f>(G625/G612)*BK77</f>
        <v>0</v>
      </c>
      <c r="H635" s="180">
        <f>(H628/H612)*BK60</f>
        <v>118297.4264920554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9957830.8999999985</v>
      </c>
      <c r="D636" s="180">
        <f>(D615/D612)*BH76</f>
        <v>159184.22806780515</v>
      </c>
      <c r="E636" s="180">
        <f>(E623/E612)*SUM(C636:D636)</f>
        <v>1194389.0207234414</v>
      </c>
      <c r="F636" s="180">
        <f>(F624/F612)*BH64</f>
        <v>56044.940122475593</v>
      </c>
      <c r="G636" s="180">
        <f>(G625/G612)*BH77</f>
        <v>0</v>
      </c>
      <c r="H636" s="180">
        <f>(H628/H612)*BH60</f>
        <v>94234.763597268902</v>
      </c>
      <c r="I636" s="180">
        <f>(I629/I612)*BH78</f>
        <v>117571.3389354558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5344966.3400000008</v>
      </c>
      <c r="D637" s="180">
        <f>(D615/D612)*BL76</f>
        <v>59609.766660607907</v>
      </c>
      <c r="E637" s="180">
        <f>(E623/E612)*SUM(C637:D637)</f>
        <v>638050.48047729</v>
      </c>
      <c r="F637" s="180">
        <f>(F624/F612)*BL64</f>
        <v>4433.7680236171054</v>
      </c>
      <c r="G637" s="180">
        <f>(G625/G612)*BL77</f>
        <v>0</v>
      </c>
      <c r="H637" s="180">
        <f>(H628/H612)*BL60</f>
        <v>329197.7072627173</v>
      </c>
      <c r="I637" s="180">
        <f>(I629/I612)*BL78</f>
        <v>41453.872443521308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1041642.96</v>
      </c>
      <c r="D642" s="180">
        <f>(D615/D612)*BV76</f>
        <v>112370.80762139056</v>
      </c>
      <c r="E642" s="180">
        <f>(E623/E612)*SUM(C642:D642)</f>
        <v>136239.92416367217</v>
      </c>
      <c r="F642" s="180">
        <f>(F624/F612)*BV64</f>
        <v>572.59749230972818</v>
      </c>
      <c r="G642" s="180">
        <f>(G625/G612)*BV77</f>
        <v>0</v>
      </c>
      <c r="H642" s="180">
        <f>(H628/H612)*BV60</f>
        <v>44637.51959870632</v>
      </c>
      <c r="I642" s="180">
        <f>(I629/I612)*BV78</f>
        <v>75952.092441509449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312129.62</v>
      </c>
      <c r="D643" s="180">
        <f>(D615/D612)*BW76</f>
        <v>3600.396494168795</v>
      </c>
      <c r="E643" s="180">
        <f>(E623/E612)*SUM(C643:D643)</f>
        <v>37274.281044342715</v>
      </c>
      <c r="F643" s="180">
        <f>(F624/F612)*BW64</f>
        <v>1773.7794739602039</v>
      </c>
      <c r="G643" s="180">
        <f>(G625/G612)*BW77</f>
        <v>0</v>
      </c>
      <c r="H643" s="180">
        <f>(H628/H612)*BW60</f>
        <v>6367.6461649767443</v>
      </c>
      <c r="I643" s="180">
        <f>(I629/I612)*BW78</f>
        <v>2772.9151901932541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29159615.903247356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1542753.12</v>
      </c>
      <c r="D645" s="180">
        <f>(D615/D612)*BY76</f>
        <v>8778.8418882528567</v>
      </c>
      <c r="E645" s="180">
        <f>(E623/E612)*SUM(C645:D645)</f>
        <v>183169.90902184707</v>
      </c>
      <c r="F645" s="180">
        <f>(F624/F612)*BY64</f>
        <v>554.69178126139298</v>
      </c>
      <c r="G645" s="180">
        <f>(G625/G612)*BY77</f>
        <v>0</v>
      </c>
      <c r="H645" s="180">
        <f>(H628/H612)*BY60</f>
        <v>44061.551603884305</v>
      </c>
      <c r="I645" s="180">
        <f>(I629/I612)*BY78</f>
        <v>6760.7828229882134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733216.98</v>
      </c>
      <c r="D647" s="180">
        <f>(D615/D612)*CA76</f>
        <v>58018.774910110929</v>
      </c>
      <c r="E647" s="180">
        <f>(E623/E612)*SUM(C647:D647)</f>
        <v>93411.276597443342</v>
      </c>
      <c r="F647" s="180">
        <f>(F624/F612)*CA64</f>
        <v>668.4659779591907</v>
      </c>
      <c r="G647" s="180">
        <f>(G625/G612)*CA77</f>
        <v>0</v>
      </c>
      <c r="H647" s="180">
        <f>(H628/H612)*CA60</f>
        <v>15967.112745343697</v>
      </c>
      <c r="I647" s="180">
        <f>(I629/I612)*CA78</f>
        <v>44681.814830575488</v>
      </c>
      <c r="J647" s="180">
        <f>(J630/J612)*CA79</f>
        <v>0</v>
      </c>
      <c r="K647" s="180">
        <v>0</v>
      </c>
      <c r="L647" s="180">
        <f>SUM(C645:K647)</f>
        <v>2732043.3221796672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66407362.909999996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6793894.1299999999</v>
      </c>
      <c r="D668" s="180">
        <f>(D615/D612)*C76</f>
        <v>68527.717001751487</v>
      </c>
      <c r="E668" s="180">
        <f>(E623/E612)*SUM(C668:D668)</f>
        <v>810160.03296191164</v>
      </c>
      <c r="F668" s="180">
        <f>(F624/F612)*C64</f>
        <v>45754.66113643007</v>
      </c>
      <c r="G668" s="180">
        <f>(G625/G612)*C77</f>
        <v>655054.89976506657</v>
      </c>
      <c r="H668" s="180">
        <f>(H628/H612)*C60</f>
        <v>156759.28925739232</v>
      </c>
      <c r="I668" s="180">
        <f>(I629/I612)*C78</f>
        <v>52774.869562799613</v>
      </c>
      <c r="J668" s="180">
        <f>(J630/J612)*C79</f>
        <v>78308.620153529773</v>
      </c>
      <c r="K668" s="180">
        <f>(K644/K612)*C75</f>
        <v>965300.66276208078</v>
      </c>
      <c r="L668" s="180">
        <f>(L647/L612)*C80</f>
        <v>350834.42147999461</v>
      </c>
      <c r="M668" s="180">
        <f t="shared" ref="M668:M713" si="20">ROUND(SUM(D668:L668),0)</f>
        <v>3183475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10413084.609999999</v>
      </c>
      <c r="D670" s="180">
        <f>(D615/D612)*E76</f>
        <v>174286.35942764624</v>
      </c>
      <c r="E670" s="180">
        <f>(E623/E612)*SUM(C670:D670)</f>
        <v>1249918.0325556716</v>
      </c>
      <c r="F670" s="180">
        <f>(F624/F612)*E64</f>
        <v>54575.275740998666</v>
      </c>
      <c r="G670" s="180">
        <f>(G625/G612)*E77</f>
        <v>2624378.4807322323</v>
      </c>
      <c r="H670" s="180">
        <f>(H628/H612)*E60</f>
        <v>267889.11403610703</v>
      </c>
      <c r="I670" s="180">
        <f>(I629/I612)*E78</f>
        <v>134222.41792444585</v>
      </c>
      <c r="J670" s="180">
        <f>(J630/J612)*E79</f>
        <v>149199.22610587938</v>
      </c>
      <c r="K670" s="180">
        <f>(K644/K612)*E75</f>
        <v>1767714.265067521</v>
      </c>
      <c r="L670" s="180">
        <f>(L647/L612)*E80</f>
        <v>581428.31850730011</v>
      </c>
      <c r="M670" s="180">
        <f t="shared" si="20"/>
        <v>7003611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871250.91</v>
      </c>
      <c r="D675" s="180">
        <f>(D615/D612)*J76</f>
        <v>19993.114954871049</v>
      </c>
      <c r="E675" s="180">
        <f>(E623/E612)*SUM(C675:D675)</f>
        <v>105217.99806725886</v>
      </c>
      <c r="F675" s="180">
        <f>(F624/F612)*J64</f>
        <v>4315.4153744353134</v>
      </c>
      <c r="G675" s="180">
        <f>(G625/G612)*J77</f>
        <v>0</v>
      </c>
      <c r="H675" s="180">
        <f>(H628/H612)*J60</f>
        <v>17087.050513053175</v>
      </c>
      <c r="I675" s="180">
        <f>(I629/I612)*J78</f>
        <v>15397.35146843296</v>
      </c>
      <c r="J675" s="180">
        <f>(J630/J612)*J79</f>
        <v>9773.8051257146053</v>
      </c>
      <c r="K675" s="180">
        <f>(K644/K612)*J75</f>
        <v>139272.54570814624</v>
      </c>
      <c r="L675" s="180">
        <f>(L647/L612)*J80</f>
        <v>46990.549786108371</v>
      </c>
      <c r="M675" s="180">
        <f t="shared" si="20"/>
        <v>358048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528973.77999999991</v>
      </c>
      <c r="D680" s="180">
        <f>(D615/D612)*O76</f>
        <v>12138.653630432364</v>
      </c>
      <c r="E680" s="180">
        <f>(E623/E612)*SUM(C680:D680)</f>
        <v>63882.354777951521</v>
      </c>
      <c r="F680" s="180">
        <f>(F624/F612)*O64</f>
        <v>2620.0742939744873</v>
      </c>
      <c r="G680" s="180">
        <f>(G625/G612)*O77</f>
        <v>0</v>
      </c>
      <c r="H680" s="180">
        <f>(H628/H612)*O60</f>
        <v>10367.423906796308</v>
      </c>
      <c r="I680" s="180">
        <f>(I629/I612)*O78</f>
        <v>9348.4393073946812</v>
      </c>
      <c r="J680" s="180">
        <f>(J630/J612)*O79</f>
        <v>35119.985651700779</v>
      </c>
      <c r="K680" s="180">
        <f>(K644/K612)*O75</f>
        <v>84558.33132280306</v>
      </c>
      <c r="L680" s="180">
        <f>(L647/L612)*O80</f>
        <v>28492.007562617746</v>
      </c>
      <c r="M680" s="180">
        <f t="shared" si="20"/>
        <v>246527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11754785.959999999</v>
      </c>
      <c r="D681" s="180">
        <f>(D615/D612)*P76</f>
        <v>85291.971408563782</v>
      </c>
      <c r="E681" s="180">
        <f>(E623/E612)*SUM(C681:D681)</f>
        <v>1397809.4237055022</v>
      </c>
      <c r="F681" s="180">
        <f>(F624/F612)*P64</f>
        <v>697287.55876479472</v>
      </c>
      <c r="G681" s="180">
        <f>(G625/G612)*P77</f>
        <v>0</v>
      </c>
      <c r="H681" s="180">
        <f>(H628/H612)*P60</f>
        <v>118297.4264920554</v>
      </c>
      <c r="I681" s="180">
        <f>(I629/I612)*P78</f>
        <v>65685.644878248233</v>
      </c>
      <c r="J681" s="180">
        <f>(J630/J612)*P79</f>
        <v>76256.718466228529</v>
      </c>
      <c r="K681" s="180">
        <f>(K644/K612)*P75</f>
        <v>2663744.3524394003</v>
      </c>
      <c r="L681" s="180">
        <f>(L647/L612)*P80</f>
        <v>165530.05886192474</v>
      </c>
      <c r="M681" s="180">
        <f t="shared" si="20"/>
        <v>5269903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796848.93</v>
      </c>
      <c r="D682" s="180">
        <f>(D615/D612)*Q76</f>
        <v>18712.425327984132</v>
      </c>
      <c r="E682" s="180">
        <f>(E623/E612)*SUM(C682:D682)</f>
        <v>96283.094983975912</v>
      </c>
      <c r="F682" s="180">
        <f>(F624/F612)*Q64</f>
        <v>3149.5523159806048</v>
      </c>
      <c r="G682" s="180">
        <f>(G625/G612)*Q77</f>
        <v>0</v>
      </c>
      <c r="H682" s="180">
        <f>(H628/H612)*Q60</f>
        <v>20734.847813592616</v>
      </c>
      <c r="I682" s="180">
        <f>(I629/I612)*Q78</f>
        <v>14411.072562491148</v>
      </c>
      <c r="J682" s="180">
        <f>(J630/J612)*Q79</f>
        <v>20206.686268078185</v>
      </c>
      <c r="K682" s="180">
        <f>(K644/K612)*Q75</f>
        <v>162323.32139900365</v>
      </c>
      <c r="L682" s="180">
        <f>(L647/L612)*Q80</f>
        <v>68784.809302289854</v>
      </c>
      <c r="M682" s="180">
        <f t="shared" si="20"/>
        <v>404606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1630894.8699999999</v>
      </c>
      <c r="D683" s="180">
        <f>(D615/D612)*R76</f>
        <v>5444.2632665351548</v>
      </c>
      <c r="E683" s="180">
        <f>(E623/E612)*SUM(C683:D683)</f>
        <v>193182.02752622819</v>
      </c>
      <c r="F683" s="180">
        <f>(F624/F612)*R64</f>
        <v>21461.844044661379</v>
      </c>
      <c r="G683" s="180">
        <f>(G625/G612)*R77</f>
        <v>0</v>
      </c>
      <c r="H683" s="180">
        <f>(H628/H612)*R60</f>
        <v>8959.5021416758209</v>
      </c>
      <c r="I683" s="180">
        <f>(I629/I612)*R78</f>
        <v>4192.6795830207784</v>
      </c>
      <c r="J683" s="180">
        <f>(J630/J612)*R79</f>
        <v>0</v>
      </c>
      <c r="K683" s="180">
        <f>(K644/K612)*R75</f>
        <v>274726.59894169326</v>
      </c>
      <c r="L683" s="180">
        <f>(L647/L612)*R80</f>
        <v>19455.363372981519</v>
      </c>
      <c r="M683" s="180">
        <f t="shared" si="20"/>
        <v>527422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1036143.2999999999</v>
      </c>
      <c r="D684" s="180">
        <f>(D615/D612)*S76</f>
        <v>33641.187748100579</v>
      </c>
      <c r="E684" s="180">
        <f>(E623/E612)*SUM(C684:D684)</f>
        <v>126296.03005749491</v>
      </c>
      <c r="F684" s="180">
        <f>(F624/F612)*S64</f>
        <v>19250.203259558904</v>
      </c>
      <c r="G684" s="180">
        <f>(G625/G612)*S77</f>
        <v>0</v>
      </c>
      <c r="H684" s="180">
        <f>(H628/H612)*S60</f>
        <v>36381.978339590743</v>
      </c>
      <c r="I684" s="180">
        <f>(I629/I612)*S78</f>
        <v>25908.048881720762</v>
      </c>
      <c r="J684" s="180">
        <f>(J630/J612)*S79</f>
        <v>12265.956605417812</v>
      </c>
      <c r="K684" s="180">
        <f>(K644/K612)*S75</f>
        <v>0</v>
      </c>
      <c r="L684" s="180">
        <f>(L647/L612)*S80</f>
        <v>0</v>
      </c>
      <c r="M684" s="180">
        <f t="shared" si="20"/>
        <v>253743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188311.36</v>
      </c>
      <c r="D685" s="180">
        <f>(D615/D612)*T76</f>
        <v>0</v>
      </c>
      <c r="E685" s="180">
        <f>(E623/E612)*SUM(C685:D685)</f>
        <v>22231.559211323936</v>
      </c>
      <c r="F685" s="180">
        <f>(F624/F612)*T64</f>
        <v>9723.4216875787697</v>
      </c>
      <c r="G685" s="180">
        <f>(G625/G612)*T77</f>
        <v>0</v>
      </c>
      <c r="H685" s="180">
        <f>(H628/H612)*T60</f>
        <v>1951.8915380079468</v>
      </c>
      <c r="I685" s="180">
        <f>(I629/I612)*T78</f>
        <v>0</v>
      </c>
      <c r="J685" s="180">
        <f>(J630/J612)*T79</f>
        <v>0</v>
      </c>
      <c r="K685" s="180">
        <f>(K644/K612)*T75</f>
        <v>40482.465634162691</v>
      </c>
      <c r="L685" s="180">
        <f>(L647/L612)*T80</f>
        <v>6485.1211243271728</v>
      </c>
      <c r="M685" s="180">
        <f t="shared" si="20"/>
        <v>80874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11186827.140000001</v>
      </c>
      <c r="D686" s="180">
        <f>(D615/D612)*U76</f>
        <v>94844.556482011845</v>
      </c>
      <c r="E686" s="180">
        <f>(E623/E612)*SUM(C686:D686)</f>
        <v>1331885.4068233443</v>
      </c>
      <c r="F686" s="180">
        <f>(F624/F612)*U64</f>
        <v>180309.61164482895</v>
      </c>
      <c r="G686" s="180">
        <f>(G625/G612)*U77</f>
        <v>0</v>
      </c>
      <c r="H686" s="180">
        <f>(H628/H612)*U60</f>
        <v>225203.48597540866</v>
      </c>
      <c r="I686" s="180">
        <f>(I629/I612)*U78</f>
        <v>70107.329408851598</v>
      </c>
      <c r="J686" s="180">
        <f>(J630/J612)*U79</f>
        <v>1218.8036288178525</v>
      </c>
      <c r="K686" s="180">
        <f>(K644/K612)*U75</f>
        <v>3190104.6428471659</v>
      </c>
      <c r="L686" s="180">
        <f>(L647/L612)*U80</f>
        <v>0</v>
      </c>
      <c r="M686" s="180">
        <f t="shared" si="20"/>
        <v>5093674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3934963.44</v>
      </c>
      <c r="D687" s="180">
        <f>(D615/D612)*V76</f>
        <v>98561.547394866226</v>
      </c>
      <c r="E687" s="180">
        <f>(E623/E612)*SUM(C687:D687)</f>
        <v>476187.67974286631</v>
      </c>
      <c r="F687" s="180">
        <f>(F624/F612)*V64</f>
        <v>36065.516776589313</v>
      </c>
      <c r="G687" s="180">
        <f>(G625/G612)*V77</f>
        <v>0</v>
      </c>
      <c r="H687" s="180">
        <f>(H628/H612)*V60</f>
        <v>100826.39731578754</v>
      </c>
      <c r="I687" s="180">
        <f>(I629/I612)*V78</f>
        <v>75904.70067956399</v>
      </c>
      <c r="J687" s="180">
        <f>(J630/J612)*V79</f>
        <v>0</v>
      </c>
      <c r="K687" s="180">
        <f>(K644/K612)*V75</f>
        <v>1036002.2117902224</v>
      </c>
      <c r="L687" s="180">
        <f>(L647/L612)*V80</f>
        <v>23920.528737272361</v>
      </c>
      <c r="M687" s="180">
        <f t="shared" si="20"/>
        <v>1847469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1506329.44</v>
      </c>
      <c r="D688" s="180">
        <f>(D615/D612)*W76</f>
        <v>13026.163384606229</v>
      </c>
      <c r="E688" s="180">
        <f>(E623/E612)*SUM(C688:D688)</f>
        <v>179371.25014498158</v>
      </c>
      <c r="F688" s="180">
        <f>(F624/F612)*W64</f>
        <v>5127.9690550311152</v>
      </c>
      <c r="G688" s="180">
        <f>(G625/G612)*W77</f>
        <v>0</v>
      </c>
      <c r="H688" s="180">
        <f>(H628/H612)*W60</f>
        <v>24350.646892197499</v>
      </c>
      <c r="I688" s="180">
        <f>(I629/I612)*W78</f>
        <v>10031.808629992804</v>
      </c>
      <c r="J688" s="180">
        <f>(J630/J612)*W79</f>
        <v>0</v>
      </c>
      <c r="K688" s="180">
        <f>(K644/K612)*W75</f>
        <v>1064706.7200476388</v>
      </c>
      <c r="L688" s="180">
        <f>(L647/L612)*W80</f>
        <v>0</v>
      </c>
      <c r="M688" s="180">
        <f t="shared" si="20"/>
        <v>1296615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1605202.46</v>
      </c>
      <c r="D689" s="180">
        <f>(D615/D612)*X76</f>
        <v>13725.294842918678</v>
      </c>
      <c r="E689" s="180">
        <f>(E623/E612)*SUM(C689:D689)</f>
        <v>191126.48456601912</v>
      </c>
      <c r="F689" s="180">
        <f>(F624/F612)*X64</f>
        <v>17809.398717910062</v>
      </c>
      <c r="G689" s="180">
        <f>(G625/G612)*X77</f>
        <v>0</v>
      </c>
      <c r="H689" s="180">
        <f>(H628/H612)*X60</f>
        <v>35838.008566703284</v>
      </c>
      <c r="I689" s="180">
        <f>(I629/I612)*X78</f>
        <v>10570.351379372993</v>
      </c>
      <c r="J689" s="180">
        <f>(J630/J612)*X79</f>
        <v>0</v>
      </c>
      <c r="K689" s="180">
        <f>(K644/K612)*X75</f>
        <v>2286460.8785773902</v>
      </c>
      <c r="L689" s="180">
        <f>(L647/L612)*X80</f>
        <v>0</v>
      </c>
      <c r="M689" s="180">
        <f t="shared" si="20"/>
        <v>2555530</v>
      </c>
      <c r="N689" s="198" t="s">
        <v>699</v>
      </c>
    </row>
    <row r="690" spans="1:14" ht="12.65" customHeight="1" x14ac:dyDescent="0.3">
      <c r="A690" s="196">
        <v>7140</v>
      </c>
      <c r="B690" s="198" t="s">
        <v>1249</v>
      </c>
      <c r="C690" s="180">
        <f>Y71</f>
        <v>8783515.2599999998</v>
      </c>
      <c r="D690" s="180">
        <f>(D615/D612)*Y76</f>
        <v>205522.02594620475</v>
      </c>
      <c r="E690" s="180">
        <f>(E623/E612)*SUM(C690:D690)</f>
        <v>1061222.8315663575</v>
      </c>
      <c r="F690" s="180">
        <f>(F624/F612)*Y64</f>
        <v>38430.134075136622</v>
      </c>
      <c r="G690" s="180">
        <f>(G625/G612)*Y77</f>
        <v>0</v>
      </c>
      <c r="H690" s="180">
        <f>(H628/H612)*Y60</f>
        <v>215828.00694858364</v>
      </c>
      <c r="I690" s="180">
        <f>(I629/I612)*Y78</f>
        <v>145961.65562816587</v>
      </c>
      <c r="J690" s="180">
        <f>(J630/J612)*Y79</f>
        <v>76421.000468408034</v>
      </c>
      <c r="K690" s="180">
        <f>(K644/K612)*Y75</f>
        <v>2063122.7815626441</v>
      </c>
      <c r="L690" s="180">
        <f>(L647/L612)*Y80</f>
        <v>36678.144063817621</v>
      </c>
      <c r="M690" s="180">
        <f t="shared" si="20"/>
        <v>3843187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4694858.6700000009</v>
      </c>
      <c r="D691" s="180">
        <f>(D615/D612)*Z76</f>
        <v>65768.932085744134</v>
      </c>
      <c r="E691" s="180">
        <f>(E623/E612)*SUM(C691:D691)</f>
        <v>562027.56126254064</v>
      </c>
      <c r="F691" s="180">
        <f>(F624/F612)*Z64</f>
        <v>6034.9157104563365</v>
      </c>
      <c r="G691" s="180">
        <f>(G625/G612)*Z77</f>
        <v>0</v>
      </c>
      <c r="H691" s="180">
        <f>(H628/H612)*Z60</f>
        <v>71388.03313599556</v>
      </c>
      <c r="I691" s="180">
        <f>(I629/I612)*Z78</f>
        <v>50650.52554832145</v>
      </c>
      <c r="J691" s="180">
        <f>(J630/J612)*Z79</f>
        <v>12306.215435991444</v>
      </c>
      <c r="K691" s="180">
        <f>(K644/K612)*Z75</f>
        <v>988315.07422317658</v>
      </c>
      <c r="L691" s="180">
        <f>(L647/L612)*Z80</f>
        <v>21156.378749854222</v>
      </c>
      <c r="M691" s="180">
        <f t="shared" si="20"/>
        <v>1777648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757459.44</v>
      </c>
      <c r="D692" s="180">
        <f>(D615/D612)*AA76</f>
        <v>6523.4142200784217</v>
      </c>
      <c r="E692" s="180">
        <f>(E623/E612)*SUM(C692:D692)</f>
        <v>90193.86860160713</v>
      </c>
      <c r="F692" s="180">
        <f>(F624/F612)*AA64</f>
        <v>55911.187946168604</v>
      </c>
      <c r="G692" s="180">
        <f>(G625/G612)*AA77</f>
        <v>0</v>
      </c>
      <c r="H692" s="180">
        <f>(H628/H612)*AA60</f>
        <v>3007.832861848311</v>
      </c>
      <c r="I692" s="180">
        <f>(I629/I612)*AA78</f>
        <v>5023.8581771410945</v>
      </c>
      <c r="J692" s="180">
        <f>(J630/J612)*AA79</f>
        <v>0</v>
      </c>
      <c r="K692" s="180">
        <f>(K644/K612)*AA75</f>
        <v>120307.92379212641</v>
      </c>
      <c r="L692" s="180">
        <f>(L647/L612)*AA80</f>
        <v>0</v>
      </c>
      <c r="M692" s="180">
        <f t="shared" si="20"/>
        <v>280968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24369443.690000001</v>
      </c>
      <c r="D693" s="180">
        <f>(D615/D612)*AB76</f>
        <v>25426.284349479032</v>
      </c>
      <c r="E693" s="180">
        <f>(E623/E612)*SUM(C693:D693)</f>
        <v>2879996.1738224342</v>
      </c>
      <c r="F693" s="180">
        <f>(F624/F612)*AB64</f>
        <v>1930999.5892905449</v>
      </c>
      <c r="G693" s="180">
        <f>(G625/G612)*AB77</f>
        <v>0</v>
      </c>
      <c r="H693" s="180">
        <f>(H628/H612)*AB60</f>
        <v>73435.91933980718</v>
      </c>
      <c r="I693" s="180">
        <f>(I629/I612)*AB78</f>
        <v>19581.414367463658</v>
      </c>
      <c r="J693" s="180">
        <f>(J630/J612)*AB79</f>
        <v>87.66035689419823</v>
      </c>
      <c r="K693" s="180">
        <f>(K644/K612)*AB75</f>
        <v>4247063.8617746616</v>
      </c>
      <c r="L693" s="180">
        <f>(L647/L612)*AB80</f>
        <v>0</v>
      </c>
      <c r="M693" s="180">
        <f t="shared" si="20"/>
        <v>9176591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2020185.2899999998</v>
      </c>
      <c r="D694" s="180">
        <f>(D615/D612)*AC76</f>
        <v>30941.896439388947</v>
      </c>
      <c r="E694" s="180">
        <f>(E623/E612)*SUM(C694:D694)</f>
        <v>242150.84791105299</v>
      </c>
      <c r="F694" s="180">
        <f>(F624/F612)*AC64</f>
        <v>17212.832614775969</v>
      </c>
      <c r="G694" s="180">
        <f>(G625/G612)*AC77</f>
        <v>0</v>
      </c>
      <c r="H694" s="180">
        <f>(H628/H612)*AC60</f>
        <v>34206.099248040904</v>
      </c>
      <c r="I694" s="180">
        <f>(I629/I612)*AC78</f>
        <v>23829.108163651887</v>
      </c>
      <c r="J694" s="180">
        <f>(J630/J612)*AC79</f>
        <v>77.920317239287314</v>
      </c>
      <c r="K694" s="180">
        <f>(K644/K612)*AC75</f>
        <v>251283.75222466621</v>
      </c>
      <c r="L694" s="180">
        <f>(L647/L612)*AC80</f>
        <v>0</v>
      </c>
      <c r="M694" s="180">
        <f t="shared" si="20"/>
        <v>599702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4606139.8200000012</v>
      </c>
      <c r="D696" s="180">
        <f>(D615/D612)*AE76</f>
        <v>105869.03732791515</v>
      </c>
      <c r="E696" s="180">
        <f>(E623/E612)*SUM(C696:D696)</f>
        <v>556287.75617131346</v>
      </c>
      <c r="F696" s="180">
        <f>(F624/F612)*AE64</f>
        <v>6304.0186986155777</v>
      </c>
      <c r="G696" s="180">
        <f>(G625/G612)*AE77</f>
        <v>0</v>
      </c>
      <c r="H696" s="180">
        <f>(H628/H612)*AE60</f>
        <v>137752.34542826575</v>
      </c>
      <c r="I696" s="180">
        <f>(I629/I612)*AE78</f>
        <v>81532.389557856281</v>
      </c>
      <c r="J696" s="180">
        <f>(J630/J612)*AE79</f>
        <v>21467.696735400648</v>
      </c>
      <c r="K696" s="180">
        <f>(K644/K612)*AE75</f>
        <v>448315.71708024881</v>
      </c>
      <c r="L696" s="180">
        <f>(L647/L612)*AE80</f>
        <v>0</v>
      </c>
      <c r="M696" s="180">
        <f t="shared" si="20"/>
        <v>1357529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13241584.310000002</v>
      </c>
      <c r="D698" s="180">
        <f>(D615/D612)*AG76</f>
        <v>65502.570396041701</v>
      </c>
      <c r="E698" s="180">
        <f>(E623/E612)*SUM(C698:D698)</f>
        <v>1571000.7612485865</v>
      </c>
      <c r="F698" s="180">
        <f>(F624/F612)*AG64</f>
        <v>71835.681167954346</v>
      </c>
      <c r="G698" s="180">
        <f>(G625/G612)*AG77</f>
        <v>0</v>
      </c>
      <c r="H698" s="180">
        <f>(H628/H612)*AG60</f>
        <v>189653.4614061164</v>
      </c>
      <c r="I698" s="180">
        <f>(I629/I612)*AG78</f>
        <v>50445.382187172938</v>
      </c>
      <c r="J698" s="180">
        <f>(J630/J612)*AG79</f>
        <v>200250.66995312946</v>
      </c>
      <c r="K698" s="180">
        <f>(K644/K612)*AG75</f>
        <v>2091086.8760023594</v>
      </c>
      <c r="L698" s="180">
        <f>(L647/L612)*AG80</f>
        <v>433546.29418042972</v>
      </c>
      <c r="M698" s="180">
        <f t="shared" si="20"/>
        <v>4673322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10364.25</v>
      </c>
      <c r="D699" s="180">
        <f>(D615/D612)*AH76</f>
        <v>1063.3802532546388</v>
      </c>
      <c r="E699" s="180">
        <f>(E623/E612)*SUM(C699:D699)</f>
        <v>1349.1169020304844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818.91638998058215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3231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3005343.2800000003</v>
      </c>
      <c r="D700" s="180">
        <f>(D615/D612)*AI76</f>
        <v>56487.168003459417</v>
      </c>
      <c r="E700" s="180">
        <f>(E623/E612)*SUM(C700:D700)</f>
        <v>361471.89898593171</v>
      </c>
      <c r="F700" s="180">
        <f>(F624/F612)*AI64</f>
        <v>26133.820679819422</v>
      </c>
      <c r="G700" s="180">
        <f>(G625/G612)*AI77</f>
        <v>0</v>
      </c>
      <c r="H700" s="180">
        <f>(H628/H612)*AI60</f>
        <v>75931.780650702582</v>
      </c>
      <c r="I700" s="180">
        <f>(I629/I612)*AI78</f>
        <v>43502.323356702203</v>
      </c>
      <c r="J700" s="180">
        <f>(J630/J612)*AI79</f>
        <v>47337.242058844036</v>
      </c>
      <c r="K700" s="180">
        <f>(K644/K612)*AI75</f>
        <v>143155.59447846955</v>
      </c>
      <c r="L700" s="180">
        <f>(L647/L612)*AI80</f>
        <v>191576.85682028797</v>
      </c>
      <c r="M700" s="180">
        <f t="shared" si="20"/>
        <v>945597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47085507.289999999</v>
      </c>
      <c r="D701" s="180">
        <f>(D615/D612)*AJ76</f>
        <v>555467.01325350848</v>
      </c>
      <c r="E701" s="180">
        <f>(E623/E612)*SUM(C701:D701)</f>
        <v>5624372.0034093671</v>
      </c>
      <c r="F701" s="180">
        <f>(F624/F612)*AJ64</f>
        <v>278935.90545931616</v>
      </c>
      <c r="G701" s="180">
        <f>(G625/G612)*AJ77</f>
        <v>0</v>
      </c>
      <c r="H701" s="180">
        <f>(H628/H612)*AJ60</f>
        <v>934700.06093033007</v>
      </c>
      <c r="I701" s="180">
        <f>(I629/I612)*AJ78</f>
        <v>296628.68353676243</v>
      </c>
      <c r="J701" s="180">
        <f>(J630/J612)*AJ79</f>
        <v>31273.319323987966</v>
      </c>
      <c r="K701" s="180">
        <f>(K644/K612)*AJ75</f>
        <v>4250087.1093905848</v>
      </c>
      <c r="L701" s="180">
        <f>(L647/L612)*AJ80</f>
        <v>512430.88228290126</v>
      </c>
      <c r="M701" s="180">
        <f t="shared" si="20"/>
        <v>12483895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65068.056664479307</v>
      </c>
      <c r="L702" s="180">
        <f>(L647/L612)*AK80</f>
        <v>0</v>
      </c>
      <c r="M702" s="180">
        <f t="shared" si="20"/>
        <v>65068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40943.124985388808</v>
      </c>
      <c r="L703" s="180">
        <f>(L647/L612)*AL80</f>
        <v>0</v>
      </c>
      <c r="M703" s="180">
        <f t="shared" si="20"/>
        <v>40943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8379007.5700000003</v>
      </c>
      <c r="D709" s="180">
        <f>(D615/D612)*AR76</f>
        <v>51465.233214308719</v>
      </c>
      <c r="E709" s="180">
        <f>(E623/E612)*SUM(C709:D709)</f>
        <v>995280.13235162781</v>
      </c>
      <c r="F709" s="180">
        <f>(F624/F612)*AR64</f>
        <v>24179.152118617465</v>
      </c>
      <c r="G709" s="180">
        <f>(G625/G612)*AR77</f>
        <v>0</v>
      </c>
      <c r="H709" s="180">
        <f>(H628/H612)*AR60</f>
        <v>219187.82025171205</v>
      </c>
      <c r="I709" s="180">
        <f>(I629/I612)*AR78</f>
        <v>23674.670673675784</v>
      </c>
      <c r="J709" s="180">
        <f>(J630/J612)*AR79</f>
        <v>0</v>
      </c>
      <c r="K709" s="180">
        <f>(K644/K612)*AR75</f>
        <v>535094.13050163467</v>
      </c>
      <c r="L709" s="180">
        <f>(L647/L612)*AR80</f>
        <v>216985.77401232393</v>
      </c>
      <c r="M709" s="180">
        <f t="shared" si="20"/>
        <v>2065867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5094914.54</v>
      </c>
      <c r="D713" s="180">
        <f>(D615/D612)*AV76</f>
        <v>26295.195553657337</v>
      </c>
      <c r="E713" s="180">
        <f>(E623/E612)*SUM(C713:D713)</f>
        <v>604596.96892194788</v>
      </c>
      <c r="F713" s="180">
        <f>(F624/F612)*AV64</f>
        <v>1832.7333796926278</v>
      </c>
      <c r="G713" s="180">
        <f>(G625/G612)*AV77</f>
        <v>0</v>
      </c>
      <c r="H713" s="180">
        <f>(H628/H612)*AV60</f>
        <v>59292.70524473321</v>
      </c>
      <c r="I713" s="180">
        <f>(I629/I612)*AV78</f>
        <v>9358.7130459982418</v>
      </c>
      <c r="J713" s="180">
        <f>(J630/J612)*AV79</f>
        <v>2818.1181401542249</v>
      </c>
      <c r="K713" s="180">
        <f>(K644/K612)*AV75</f>
        <v>240374.90402968629</v>
      </c>
      <c r="L713" s="180">
        <f>(L647/L612)*AV80</f>
        <v>27747.813335235936</v>
      </c>
      <c r="M713" s="180">
        <f t="shared" si="20"/>
        <v>972317</v>
      </c>
      <c r="N713" s="199" t="s">
        <v>741</v>
      </c>
    </row>
    <row r="715" spans="1:83" ht="12.65" customHeight="1" x14ac:dyDescent="0.3">
      <c r="C715" s="180">
        <f>SUM(C614:C647)+SUM(C668:C713)</f>
        <v>240703196.65000001</v>
      </c>
      <c r="D715" s="180">
        <f>SUM(D616:D647)+SUM(D668:D713)</f>
        <v>4486555.0799999991</v>
      </c>
      <c r="E715" s="180">
        <f>SUM(E624:E647)+SUM(E668:E713)</f>
        <v>25416230.51834086</v>
      </c>
      <c r="F715" s="180">
        <f>SUM(F625:F648)+SUM(F668:F713)</f>
        <v>3756025.7057346911</v>
      </c>
      <c r="G715" s="180">
        <f>SUM(G626:G647)+SUM(G668:G713)</f>
        <v>3279433.3804972991</v>
      </c>
      <c r="H715" s="180">
        <f>SUM(H629:H647)+SUM(H668:H713)</f>
        <v>3964611.6959134853</v>
      </c>
      <c r="I715" s="180">
        <f>SUM(I630:I647)+SUM(I668:I713)</f>
        <v>3148881.3287468599</v>
      </c>
      <c r="J715" s="180">
        <f>SUM(J631:J647)+SUM(J668:J713)</f>
        <v>822466.48053205642</v>
      </c>
      <c r="K715" s="180">
        <f>SUM(K668:K713)</f>
        <v>29159615.903247356</v>
      </c>
      <c r="L715" s="180">
        <f>SUM(L668:L713)</f>
        <v>2732043.3221796672</v>
      </c>
      <c r="M715" s="180">
        <f>SUM(M668:M713)</f>
        <v>66407362</v>
      </c>
      <c r="N715" s="198" t="s">
        <v>742</v>
      </c>
    </row>
    <row r="716" spans="1:83" ht="12.65" customHeight="1" x14ac:dyDescent="0.3">
      <c r="C716" s="180">
        <f>CE71</f>
        <v>240703196.65000004</v>
      </c>
      <c r="D716" s="180">
        <f>D615</f>
        <v>4486555.08</v>
      </c>
      <c r="E716" s="180">
        <f>E623</f>
        <v>25416230.518340856</v>
      </c>
      <c r="F716" s="180">
        <f>F624</f>
        <v>3756025.705734692</v>
      </c>
      <c r="G716" s="180">
        <f>G625</f>
        <v>3279433.3804972991</v>
      </c>
      <c r="H716" s="180">
        <f>H628</f>
        <v>3964611.6959134862</v>
      </c>
      <c r="I716" s="180">
        <f>I629</f>
        <v>3148881.3287468599</v>
      </c>
      <c r="J716" s="180">
        <f>J630</f>
        <v>822466.48053205654</v>
      </c>
      <c r="K716" s="180">
        <f>K644</f>
        <v>29159615.903247356</v>
      </c>
      <c r="L716" s="180">
        <f>L647</f>
        <v>2732043.3221796672</v>
      </c>
      <c r="M716" s="180">
        <f>C648</f>
        <v>66407362.909999996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">
      <c r="A722" s="202" t="str">
        <f>RIGHT(C83,3)&amp;"*"&amp;RIGHT(C82,4)&amp;"*"&amp;"A"</f>
        <v>38*2021*A</v>
      </c>
      <c r="B722" s="276">
        <f>ROUND(C165,0)</f>
        <v>7918129</v>
      </c>
      <c r="C722" s="276">
        <f>ROUND(C166,0)</f>
        <v>50917</v>
      </c>
      <c r="D722" s="276">
        <f>ROUND(C167,0)</f>
        <v>1165556</v>
      </c>
      <c r="E722" s="276">
        <f>ROUND(C168,0)</f>
        <v>16123225</v>
      </c>
      <c r="F722" s="276">
        <f>ROUND(C169,0)</f>
        <v>94949</v>
      </c>
      <c r="G722" s="276">
        <f>ROUND(C170,0)</f>
        <v>5005590</v>
      </c>
      <c r="H722" s="276">
        <f>ROUND(C171+C172,0)</f>
        <v>713164</v>
      </c>
      <c r="I722" s="276">
        <f>ROUND(C175,0)</f>
        <v>164537</v>
      </c>
      <c r="J722" s="276">
        <f>ROUND(C176,0)</f>
        <v>35959</v>
      </c>
      <c r="K722" s="276">
        <f>ROUND(C179,0)</f>
        <v>1486867</v>
      </c>
      <c r="L722" s="276">
        <f>ROUND(C180,0)</f>
        <v>0</v>
      </c>
      <c r="M722" s="276">
        <f>ROUND(C183,0)</f>
        <v>141615</v>
      </c>
      <c r="N722" s="276">
        <f>ROUND(C184,0)</f>
        <v>1711749</v>
      </c>
      <c r="O722" s="276">
        <f>ROUND(C185,0)</f>
        <v>0</v>
      </c>
      <c r="P722" s="276">
        <f>ROUND(C188,0)</f>
        <v>0</v>
      </c>
      <c r="Q722" s="276">
        <f>ROUND(C189,0)</f>
        <v>1892925</v>
      </c>
      <c r="R722" s="276">
        <f>ROUND(B195,0)</f>
        <v>10816982</v>
      </c>
      <c r="S722" s="276">
        <f>ROUND(C195,0)</f>
        <v>622773</v>
      </c>
      <c r="T722" s="276">
        <f>ROUND(D195,0)</f>
        <v>0</v>
      </c>
      <c r="U722" s="276">
        <f>ROUND(B196,0)</f>
        <v>9310500</v>
      </c>
      <c r="V722" s="276">
        <f>ROUND(C196,0)</f>
        <v>236420</v>
      </c>
      <c r="W722" s="276">
        <f>ROUND(D196,0)</f>
        <v>0</v>
      </c>
      <c r="X722" s="276">
        <f>ROUND(B197,0)</f>
        <v>124186875</v>
      </c>
      <c r="Y722" s="276">
        <f>ROUND(C197,0)</f>
        <v>2388423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35000204</v>
      </c>
      <c r="AE722" s="276">
        <f>ROUND(C199,0)</f>
        <v>349983</v>
      </c>
      <c r="AF722" s="276">
        <f>ROUND(D199,0)</f>
        <v>0</v>
      </c>
      <c r="AG722" s="276">
        <f>ROUND(B200,0)</f>
        <v>67339701</v>
      </c>
      <c r="AH722" s="276">
        <f>ROUND(C200,0)</f>
        <v>4356844</v>
      </c>
      <c r="AI722" s="276">
        <f>ROUND(D200,0)</f>
        <v>468602</v>
      </c>
      <c r="AJ722" s="276">
        <f>ROUND(B201,0)</f>
        <v>3039256</v>
      </c>
      <c r="AK722" s="276">
        <f>ROUND(C201,0)</f>
        <v>0</v>
      </c>
      <c r="AL722" s="276">
        <f>ROUND(D201,0)</f>
        <v>0</v>
      </c>
      <c r="AM722" s="276">
        <f>ROUND(B202,0)</f>
        <v>362736</v>
      </c>
      <c r="AN722" s="276">
        <f>ROUND(C202,0)</f>
        <v>0</v>
      </c>
      <c r="AO722" s="276">
        <f>ROUND(D202,0)</f>
        <v>0</v>
      </c>
      <c r="AP722" s="276">
        <f>ROUND(B203,0)</f>
        <v>2078626</v>
      </c>
      <c r="AQ722" s="276">
        <f>ROUND(C203,0)</f>
        <v>4201636</v>
      </c>
      <c r="AR722" s="276">
        <f>ROUND(D203,0)</f>
        <v>0</v>
      </c>
      <c r="AS722" s="276"/>
      <c r="AT722" s="276"/>
      <c r="AU722" s="276"/>
      <c r="AV722" s="276">
        <f>ROUND(B209,0)</f>
        <v>4305833</v>
      </c>
      <c r="AW722" s="276">
        <f>ROUND(C209,0)</f>
        <v>494381</v>
      </c>
      <c r="AX722" s="276">
        <f>ROUND(D209,0)</f>
        <v>0</v>
      </c>
      <c r="AY722" s="276">
        <f>ROUND(B210,0)</f>
        <v>58560850</v>
      </c>
      <c r="AZ722" s="276">
        <f>ROUND(C210,0)</f>
        <v>4251451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21475728</v>
      </c>
      <c r="BF722" s="276">
        <f>ROUND(C212,0)</f>
        <v>1350449</v>
      </c>
      <c r="BG722" s="276">
        <f>ROUND(D212,0)</f>
        <v>0</v>
      </c>
      <c r="BH722" s="276">
        <f>ROUND(B213,0)</f>
        <v>44830644</v>
      </c>
      <c r="BI722" s="276">
        <f>ROUND(C213,0)</f>
        <v>5065840</v>
      </c>
      <c r="BJ722" s="276">
        <f>ROUND(D213,0)</f>
        <v>456062</v>
      </c>
      <c r="BK722" s="276">
        <f>ROUND(B214,0)</f>
        <v>2255933</v>
      </c>
      <c r="BL722" s="276">
        <f>ROUND(C214,0)</f>
        <v>189339</v>
      </c>
      <c r="BM722" s="276">
        <f>ROUND(D214,0)</f>
        <v>0</v>
      </c>
      <c r="BN722" s="276">
        <f>ROUND(B215,0)</f>
        <v>176465</v>
      </c>
      <c r="BO722" s="276">
        <f>ROUND(C215,0)</f>
        <v>43634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178709600</v>
      </c>
      <c r="BU722" s="276">
        <f>ROUND(C224,0)</f>
        <v>45825567</v>
      </c>
      <c r="BV722" s="276">
        <f>ROUND(C225,0)</f>
        <v>1980173</v>
      </c>
      <c r="BW722" s="276">
        <f>ROUND(C226,0)</f>
        <v>18093454</v>
      </c>
      <c r="BX722" s="276">
        <f>ROUND(C227,0)</f>
        <v>12044897</v>
      </c>
      <c r="BY722" s="276">
        <f>ROUND(C228,0)</f>
        <v>-4410</v>
      </c>
      <c r="BZ722" s="276">
        <f>ROUND(C231,0)</f>
        <v>0</v>
      </c>
      <c r="CA722" s="276">
        <f>ROUND(C233,0)</f>
        <v>337305</v>
      </c>
      <c r="CB722" s="276">
        <f>ROUND(C234,0)</f>
        <v>1725755</v>
      </c>
      <c r="CC722" s="276">
        <f>ROUND(C238+C239,0)</f>
        <v>1892618</v>
      </c>
      <c r="CD722" s="276">
        <f>D221</f>
        <v>3897202.8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38*2021*A</v>
      </c>
      <c r="B726" s="276">
        <f>ROUND(C111,0)</f>
        <v>3841</v>
      </c>
      <c r="C726" s="276">
        <f>ROUND(C112,0)</f>
        <v>0</v>
      </c>
      <c r="D726" s="276">
        <f>ROUND(C113,0)</f>
        <v>0</v>
      </c>
      <c r="E726" s="276">
        <f>ROUND(C114,0)</f>
        <v>442</v>
      </c>
      <c r="F726" s="276">
        <f>ROUND(D111,0)</f>
        <v>14472</v>
      </c>
      <c r="G726" s="276">
        <f>ROUND(D112,0)</f>
        <v>0</v>
      </c>
      <c r="H726" s="276">
        <f>ROUND(D113,0)</f>
        <v>0</v>
      </c>
      <c r="I726" s="276">
        <f>ROUND(D114,0)</f>
        <v>794</v>
      </c>
      <c r="J726" s="276">
        <f>ROUND(C116,0)</f>
        <v>10</v>
      </c>
      <c r="K726" s="276">
        <f>ROUND(C117,0)</f>
        <v>9</v>
      </c>
      <c r="L726" s="276">
        <f>ROUND(C118,0)</f>
        <v>39</v>
      </c>
      <c r="M726" s="276">
        <f>ROUND(C119,0)</f>
        <v>0</v>
      </c>
      <c r="N726" s="276">
        <f>ROUND(C120,0)</f>
        <v>9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15</v>
      </c>
      <c r="V726" s="276">
        <f>ROUND(C128,0)</f>
        <v>126</v>
      </c>
      <c r="W726" s="276">
        <f>ROUND(C129,0)</f>
        <v>11</v>
      </c>
      <c r="X726" s="276">
        <f>ROUND(B138,0)</f>
        <v>2328</v>
      </c>
      <c r="Y726" s="276">
        <f>ROUND(B139,0)</f>
        <v>9454</v>
      </c>
      <c r="Z726" s="276">
        <f>ROUND(B140,0)</f>
        <v>312890</v>
      </c>
      <c r="AA726" s="276">
        <f>ROUND(B141,0)</f>
        <v>66459935</v>
      </c>
      <c r="AB726" s="276">
        <f>ROUND(B142,0)</f>
        <v>223355483</v>
      </c>
      <c r="AC726" s="276">
        <f>ROUND(C138,0)</f>
        <v>674</v>
      </c>
      <c r="AD726" s="276">
        <f>ROUND(C139,0)</f>
        <v>2456</v>
      </c>
      <c r="AE726" s="276">
        <f>ROUND(C140,0)</f>
        <v>77021</v>
      </c>
      <c r="AF726" s="276">
        <f>ROUND(C141,0)</f>
        <v>18815470</v>
      </c>
      <c r="AG726" s="276">
        <f>ROUND(C142,0)</f>
        <v>54980781</v>
      </c>
      <c r="AH726" s="276">
        <f>ROUND(D138,0)</f>
        <v>839</v>
      </c>
      <c r="AI726" s="276">
        <f>ROUND(D139,0)</f>
        <v>2562</v>
      </c>
      <c r="AJ726" s="276">
        <f>ROUND(D140,0)</f>
        <v>158834</v>
      </c>
      <c r="AK726" s="276">
        <f>ROUND(D141,0)</f>
        <v>22012946</v>
      </c>
      <c r="AL726" s="276">
        <f>ROUND(D142,0)</f>
        <v>113383039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38*2021*A</v>
      </c>
      <c r="B730" s="276">
        <f>ROUND(C250,0)</f>
        <v>21579372</v>
      </c>
      <c r="C730" s="276">
        <f>ROUND(C251,0)</f>
        <v>13962333</v>
      </c>
      <c r="D730" s="276">
        <f>ROUND(C252,0)</f>
        <v>46247033</v>
      </c>
      <c r="E730" s="276">
        <f>ROUND(C253,0)</f>
        <v>24663973</v>
      </c>
      <c r="F730" s="276">
        <f>ROUND(C254,0)</f>
        <v>0</v>
      </c>
      <c r="G730" s="276">
        <f>ROUND(C255,0)</f>
        <v>1146017</v>
      </c>
      <c r="H730" s="276">
        <f>ROUND(C256,0)</f>
        <v>0</v>
      </c>
      <c r="I730" s="276">
        <f>ROUND(C257,0)</f>
        <v>2796847</v>
      </c>
      <c r="J730" s="276">
        <f>ROUND(C258,0)</f>
        <v>2704831</v>
      </c>
      <c r="K730" s="276">
        <f>ROUND(C259,0)</f>
        <v>0</v>
      </c>
      <c r="L730" s="276">
        <f>ROUND(C262,0)</f>
        <v>6182440</v>
      </c>
      <c r="M730" s="276">
        <f>ROUND(C263,0)</f>
        <v>35357988</v>
      </c>
      <c r="N730" s="276">
        <f>ROUND(C264,0)</f>
        <v>0</v>
      </c>
      <c r="O730" s="276">
        <f>ROUND(C267,0)</f>
        <v>11439754</v>
      </c>
      <c r="P730" s="276">
        <f>ROUND(C268,0)</f>
        <v>9546920</v>
      </c>
      <c r="Q730" s="276">
        <f>ROUND(C269,0)</f>
        <v>126575298</v>
      </c>
      <c r="R730" s="276">
        <f>ROUND(C270,0)</f>
        <v>0</v>
      </c>
      <c r="S730" s="276">
        <f>ROUND(C271,0)</f>
        <v>35350187</v>
      </c>
      <c r="T730" s="276">
        <f>ROUND(C272,0)</f>
        <v>74267199</v>
      </c>
      <c r="U730" s="276">
        <f>ROUND(C273,0)</f>
        <v>362736</v>
      </c>
      <c r="V730" s="276">
        <f>ROUND(C274,0)</f>
        <v>6280262</v>
      </c>
      <c r="W730" s="276">
        <f>ROUND(C275,0)</f>
        <v>0</v>
      </c>
      <c r="X730" s="276">
        <f>ROUND(C276,0)</f>
        <v>142544485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2235448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8307532</v>
      </c>
      <c r="AI730" s="276">
        <f>ROUND(C306,0)</f>
        <v>12175920</v>
      </c>
      <c r="AJ730" s="276">
        <f>ROUND(C307,0)</f>
        <v>3370</v>
      </c>
      <c r="AK730" s="276">
        <f>ROUND(C308,0)</f>
        <v>0</v>
      </c>
      <c r="AL730" s="276">
        <f>ROUND(C309,0)</f>
        <v>736309</v>
      </c>
      <c r="AM730" s="276">
        <f>ROUND(C310,0)</f>
        <v>0</v>
      </c>
      <c r="AN730" s="276">
        <f>ROUND(C311,0)</f>
        <v>0</v>
      </c>
      <c r="AO730" s="276">
        <f>ROUND(C312,0)</f>
        <v>4857003</v>
      </c>
      <c r="AP730" s="276">
        <f>ROUND(C313,0)</f>
        <v>2085113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50688045</v>
      </c>
      <c r="AY730" s="276">
        <f>ROUND(C326,0)</f>
        <v>0</v>
      </c>
      <c r="AZ730" s="276">
        <f>ROUND(C327,0)</f>
        <v>1064513</v>
      </c>
      <c r="BA730" s="276">
        <f>ROUND(C328,0)</f>
        <v>0</v>
      </c>
      <c r="BB730" s="276">
        <f>ROUND(C332,0)</f>
        <v>150993517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1410.32</v>
      </c>
      <c r="BJ730" s="276">
        <f>ROUND(C359,0)</f>
        <v>107288350</v>
      </c>
      <c r="BK730" s="276">
        <f>ROUND(C360,0)</f>
        <v>391719303</v>
      </c>
      <c r="BL730" s="276">
        <f>ROUND(C364,0)</f>
        <v>258541899</v>
      </c>
      <c r="BM730" s="276">
        <f>ROUND(C365,0)</f>
        <v>2063060</v>
      </c>
      <c r="BN730" s="276">
        <f>ROUND(C366,0)</f>
        <v>0</v>
      </c>
      <c r="BO730" s="276">
        <f>ROUND(C370,0)</f>
        <v>6041656</v>
      </c>
      <c r="BP730" s="276">
        <f>ROUND(C371,0)</f>
        <v>4644110</v>
      </c>
      <c r="BQ730" s="276">
        <f>ROUND(C378,0)</f>
        <v>116081055</v>
      </c>
      <c r="BR730" s="276">
        <f>ROUND(C379,0)</f>
        <v>31071532</v>
      </c>
      <c r="BS730" s="276">
        <f>ROUND(C380,0)</f>
        <v>10080534</v>
      </c>
      <c r="BT730" s="276">
        <f>ROUND(C381,0)</f>
        <v>40211785</v>
      </c>
      <c r="BU730" s="276">
        <f>ROUND(C382,0)</f>
        <v>0</v>
      </c>
      <c r="BV730" s="276">
        <f>ROUND(C383,0)</f>
        <v>15890459</v>
      </c>
      <c r="BW730" s="276">
        <f>ROUND(C384,0)</f>
        <v>11403886</v>
      </c>
      <c r="BX730" s="276">
        <f>ROUND(C385,0)</f>
        <v>200496</v>
      </c>
      <c r="BY730" s="276">
        <f>ROUND(C386,0)</f>
        <v>1486867</v>
      </c>
      <c r="BZ730" s="276">
        <f>ROUND(C387,0)</f>
        <v>1711749</v>
      </c>
      <c r="CA730" s="276">
        <f>ROUND(C388,0)</f>
        <v>0</v>
      </c>
      <c r="CB730" s="276">
        <f>C363</f>
        <v>3897202.8</v>
      </c>
      <c r="CC730" s="276">
        <f>ROUND(C389,0)</f>
        <v>14067241</v>
      </c>
      <c r="CD730" s="276">
        <f>ROUND(C392,0)</f>
        <v>2733161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38*2021*6010*A</v>
      </c>
      <c r="B734" s="276">
        <f>ROUND(C59,0)</f>
        <v>4227</v>
      </c>
      <c r="C734" s="276">
        <f>ROUND(C60,2)</f>
        <v>48.99</v>
      </c>
      <c r="D734" s="276">
        <f>ROUND(C61,0)</f>
        <v>4517937</v>
      </c>
      <c r="E734" s="276">
        <f>ROUND(C62,0)</f>
        <v>1209321</v>
      </c>
      <c r="F734" s="276">
        <f>ROUND(C63,0)</f>
        <v>0</v>
      </c>
      <c r="G734" s="276">
        <f>ROUND(C64,0)</f>
        <v>460799</v>
      </c>
      <c r="H734" s="276">
        <f>ROUND(C65,0)</f>
        <v>0</v>
      </c>
      <c r="I734" s="276">
        <f>ROUND(C66,0)</f>
        <v>534523</v>
      </c>
      <c r="J734" s="276">
        <f>ROUND(C67,0)</f>
        <v>64304</v>
      </c>
      <c r="K734" s="276">
        <f>ROUND(C68,0)</f>
        <v>1570</v>
      </c>
      <c r="L734" s="276">
        <f>ROUND(C69,0)</f>
        <v>5440</v>
      </c>
      <c r="M734" s="276">
        <f>ROUND(C70,0)</f>
        <v>0</v>
      </c>
      <c r="N734" s="276">
        <f>ROUND(C75,0)</f>
        <v>16519162</v>
      </c>
      <c r="O734" s="276">
        <f>ROUND(C73,0)</f>
        <v>15903409</v>
      </c>
      <c r="P734" s="276">
        <f>IF(C76&gt;0,ROUND(C76,0),0)</f>
        <v>6301</v>
      </c>
      <c r="Q734" s="276">
        <f>IF(C77&gt;0,ROUND(C77,0),0)</f>
        <v>10553</v>
      </c>
      <c r="R734" s="276">
        <f>IF(C78&gt;0,ROUND(C78,0),0)</f>
        <v>1592</v>
      </c>
      <c r="S734" s="276">
        <f>IF(C79&gt;0,ROUND(C79,0),0)</f>
        <v>120598</v>
      </c>
      <c r="T734" s="276">
        <f>IF(C80&gt;0,ROUND(C80,2),0)</f>
        <v>33</v>
      </c>
      <c r="U734" s="276"/>
      <c r="V734" s="276"/>
      <c r="W734" s="276"/>
      <c r="X734" s="276"/>
      <c r="Y734" s="276">
        <f>IF(M668&lt;&gt;0,ROUND(M668,0),0)</f>
        <v>3183475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38*2021*6030*A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38*2021*6070*A</v>
      </c>
      <c r="B736" s="276">
        <f>ROUND(E59,0)</f>
        <v>10245</v>
      </c>
      <c r="C736" s="278">
        <f>ROUND(E60,2)</f>
        <v>83.72</v>
      </c>
      <c r="D736" s="276">
        <f>ROUND(E61,0)</f>
        <v>7148913</v>
      </c>
      <c r="E736" s="276">
        <f>ROUND(E62,0)</f>
        <v>1913557</v>
      </c>
      <c r="F736" s="276">
        <f>ROUND(E63,0)</f>
        <v>68195</v>
      </c>
      <c r="G736" s="276">
        <f>ROUND(E64,0)</f>
        <v>549632</v>
      </c>
      <c r="H736" s="276">
        <f>ROUND(E65,0)</f>
        <v>0</v>
      </c>
      <c r="I736" s="276">
        <f>ROUND(E66,0)</f>
        <v>641117</v>
      </c>
      <c r="J736" s="276">
        <f>ROUND(E67,0)</f>
        <v>52997</v>
      </c>
      <c r="K736" s="276">
        <f>ROUND(E68,0)</f>
        <v>8321</v>
      </c>
      <c r="L736" s="276">
        <f>ROUND(E69,0)</f>
        <v>30353</v>
      </c>
      <c r="M736" s="276">
        <f>ROUND(E70,0)</f>
        <v>0</v>
      </c>
      <c r="N736" s="276">
        <f>ROUND(E75,0)</f>
        <v>30250843</v>
      </c>
      <c r="O736" s="276">
        <f>ROUND(E73,0)</f>
        <v>26824579</v>
      </c>
      <c r="P736" s="276">
        <f>IF(E76&gt;0,ROUND(E76,0),0)</f>
        <v>16024</v>
      </c>
      <c r="Q736" s="276">
        <f>IF(E77&gt;0,ROUND(E77,0),0)</f>
        <v>42279</v>
      </c>
      <c r="R736" s="276">
        <f>IF(E78&gt;0,ROUND(E78,0),0)</f>
        <v>4050</v>
      </c>
      <c r="S736" s="276">
        <f>IF(E79&gt;0,ROUND(E79,0),0)</f>
        <v>229772</v>
      </c>
      <c r="T736" s="278">
        <f>IF(E80&gt;0,ROUND(E80,2),0)</f>
        <v>54.69</v>
      </c>
      <c r="U736" s="276"/>
      <c r="V736" s="277"/>
      <c r="W736" s="276"/>
      <c r="X736" s="276"/>
      <c r="Y736" s="276">
        <f t="shared" si="21"/>
        <v>7003611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38*2021*6100*A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38*2021*6120*A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38*2021*6140*A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38*2021*6150*A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38*2021*6170*A</v>
      </c>
      <c r="B741" s="276">
        <f>ROUND(J59,0)</f>
        <v>794</v>
      </c>
      <c r="C741" s="278">
        <f>ROUND(J60,2)</f>
        <v>5.34</v>
      </c>
      <c r="D741" s="276">
        <f>ROUND(J61,0)</f>
        <v>576814</v>
      </c>
      <c r="E741" s="276">
        <f>ROUND(J62,0)</f>
        <v>154396</v>
      </c>
      <c r="F741" s="276">
        <f>ROUND(J63,0)</f>
        <v>0</v>
      </c>
      <c r="G741" s="276">
        <f>ROUND(J64,0)</f>
        <v>43461</v>
      </c>
      <c r="H741" s="276">
        <f>ROUND(J65,0)</f>
        <v>0</v>
      </c>
      <c r="I741" s="276">
        <f>ROUND(J66,0)</f>
        <v>80585</v>
      </c>
      <c r="J741" s="276">
        <f>ROUND(J67,0)</f>
        <v>7696</v>
      </c>
      <c r="K741" s="276">
        <f>ROUND(J68,0)</f>
        <v>0</v>
      </c>
      <c r="L741" s="276">
        <f>ROUND(J69,0)</f>
        <v>8299</v>
      </c>
      <c r="M741" s="276">
        <f>ROUND(J70,0)</f>
        <v>0</v>
      </c>
      <c r="N741" s="276">
        <f>ROUND(J75,0)</f>
        <v>2383367</v>
      </c>
      <c r="O741" s="276">
        <f>ROUND(J73,0)</f>
        <v>2128377</v>
      </c>
      <c r="P741" s="276">
        <f>IF(J76&gt;0,ROUND(J76,0),0)</f>
        <v>1838</v>
      </c>
      <c r="Q741" s="276">
        <f>IF(J77&gt;0,ROUND(J77,0),0)</f>
        <v>0</v>
      </c>
      <c r="R741" s="276">
        <f>IF(J78&gt;0,ROUND(J78,0),0)</f>
        <v>465</v>
      </c>
      <c r="S741" s="276">
        <f>IF(J79&gt;0,ROUND(J79,0),0)</f>
        <v>15052</v>
      </c>
      <c r="T741" s="278">
        <f>IF(J80&gt;0,ROUND(J80,2),0)</f>
        <v>4.42</v>
      </c>
      <c r="U741" s="276"/>
      <c r="V741" s="277"/>
      <c r="W741" s="276"/>
      <c r="X741" s="276"/>
      <c r="Y741" s="276">
        <f t="shared" si="21"/>
        <v>358048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38*2021*6200*A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38*2021*6210*A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38*2021*6330*A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38*2021*6400*A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38*2021*7010*A</v>
      </c>
      <c r="B746" s="276">
        <f>ROUND(O59,0)</f>
        <v>322</v>
      </c>
      <c r="C746" s="278">
        <f>ROUND(O60,2)</f>
        <v>3.24</v>
      </c>
      <c r="D746" s="276">
        <f>ROUND(O61,0)</f>
        <v>350208</v>
      </c>
      <c r="E746" s="276">
        <f>ROUND(O62,0)</f>
        <v>93741</v>
      </c>
      <c r="F746" s="276">
        <f>ROUND(O63,0)</f>
        <v>0</v>
      </c>
      <c r="G746" s="276">
        <f>ROUND(O64,0)</f>
        <v>26387</v>
      </c>
      <c r="H746" s="276">
        <f>ROUND(O65,0)</f>
        <v>0</v>
      </c>
      <c r="I746" s="276">
        <f>ROUND(O66,0)</f>
        <v>48927</v>
      </c>
      <c r="J746" s="276">
        <f>ROUND(O67,0)</f>
        <v>4672</v>
      </c>
      <c r="K746" s="276">
        <f>ROUND(O68,0)</f>
        <v>0</v>
      </c>
      <c r="L746" s="276">
        <f>ROUND(O69,0)</f>
        <v>5039</v>
      </c>
      <c r="M746" s="276">
        <f>ROUND(O70,0)</f>
        <v>0</v>
      </c>
      <c r="N746" s="276">
        <f>ROUND(O75,0)</f>
        <v>1447044</v>
      </c>
      <c r="O746" s="276">
        <f>ROUND(O73,0)</f>
        <v>1292229</v>
      </c>
      <c r="P746" s="276">
        <f>IF(O76&gt;0,ROUND(O76,0),0)</f>
        <v>1116</v>
      </c>
      <c r="Q746" s="276">
        <f>IF(O77&gt;0,ROUND(O77,0),0)</f>
        <v>0</v>
      </c>
      <c r="R746" s="276">
        <f>IF(O78&gt;0,ROUND(O78,0),0)</f>
        <v>282</v>
      </c>
      <c r="S746" s="276">
        <f>IF(O79&gt;0,ROUND(O79,0),0)</f>
        <v>54086</v>
      </c>
      <c r="T746" s="278">
        <f>IF(O80&gt;0,ROUND(O80,2),0)</f>
        <v>2.68</v>
      </c>
      <c r="U746" s="276"/>
      <c r="V746" s="277"/>
      <c r="W746" s="276"/>
      <c r="X746" s="276"/>
      <c r="Y746" s="276">
        <f t="shared" si="21"/>
        <v>246527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38*2021*7020*A</v>
      </c>
      <c r="B747" s="276">
        <f>ROUND(P59,0)</f>
        <v>297602</v>
      </c>
      <c r="C747" s="278">
        <f>ROUND(P60,2)</f>
        <v>36.97</v>
      </c>
      <c r="D747" s="276">
        <f>ROUND(P61,0)</f>
        <v>2794653</v>
      </c>
      <c r="E747" s="276">
        <f>ROUND(P62,0)</f>
        <v>748048</v>
      </c>
      <c r="F747" s="276">
        <f>ROUND(P63,0)</f>
        <v>0</v>
      </c>
      <c r="G747" s="276">
        <f>ROUND(P64,0)</f>
        <v>7022445</v>
      </c>
      <c r="H747" s="276">
        <f>ROUND(P65,0)</f>
        <v>0</v>
      </c>
      <c r="I747" s="276">
        <f>ROUND(P66,0)</f>
        <v>208531</v>
      </c>
      <c r="J747" s="276">
        <f>ROUND(P67,0)</f>
        <v>563604</v>
      </c>
      <c r="K747" s="276">
        <f>ROUND(P68,0)</f>
        <v>7951</v>
      </c>
      <c r="L747" s="276">
        <f>ROUND(P69,0)</f>
        <v>409555</v>
      </c>
      <c r="M747" s="276">
        <f>ROUND(P70,0)</f>
        <v>0</v>
      </c>
      <c r="N747" s="276">
        <f>ROUND(P75,0)</f>
        <v>45584579</v>
      </c>
      <c r="O747" s="276">
        <f>ROUND(P73,0)</f>
        <v>9532601</v>
      </c>
      <c r="P747" s="276">
        <f>IF(P76&gt;0,ROUND(P76,0),0)</f>
        <v>7842</v>
      </c>
      <c r="Q747" s="276">
        <f>IF(P77&gt;0,ROUND(P77,0),0)</f>
        <v>0</v>
      </c>
      <c r="R747" s="276">
        <f>IF(P78&gt;0,ROUND(P78,0),0)</f>
        <v>1982</v>
      </c>
      <c r="S747" s="276">
        <f>IF(P79&gt;0,ROUND(P79,0),0)</f>
        <v>117438</v>
      </c>
      <c r="T747" s="278">
        <f>IF(P80&gt;0,ROUND(P80,2),0)</f>
        <v>15.57</v>
      </c>
      <c r="U747" s="276"/>
      <c r="V747" s="277"/>
      <c r="W747" s="276"/>
      <c r="X747" s="276"/>
      <c r="Y747" s="276">
        <f t="shared" si="21"/>
        <v>5269903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38*2021*7030*A</v>
      </c>
      <c r="B748" s="276">
        <f>ROUND(Q59,0)</f>
        <v>188405</v>
      </c>
      <c r="C748" s="278">
        <f>ROUND(Q60,2)</f>
        <v>6.48</v>
      </c>
      <c r="D748" s="276">
        <f>ROUND(Q61,0)</f>
        <v>602185</v>
      </c>
      <c r="E748" s="276">
        <f>ROUND(Q62,0)</f>
        <v>161187</v>
      </c>
      <c r="F748" s="276">
        <f>ROUND(Q63,0)</f>
        <v>0</v>
      </c>
      <c r="G748" s="276">
        <f>ROUND(Q64,0)</f>
        <v>31719</v>
      </c>
      <c r="H748" s="276">
        <f>ROUND(Q65,0)</f>
        <v>0</v>
      </c>
      <c r="I748" s="276">
        <f>ROUND(Q66,0)</f>
        <v>0</v>
      </c>
      <c r="J748" s="276">
        <f>ROUND(Q67,0)</f>
        <v>449</v>
      </c>
      <c r="K748" s="276">
        <f>ROUND(Q68,0)</f>
        <v>0</v>
      </c>
      <c r="L748" s="276">
        <f>ROUND(Q69,0)</f>
        <v>1309</v>
      </c>
      <c r="M748" s="276">
        <f>ROUND(Q70,0)</f>
        <v>0</v>
      </c>
      <c r="N748" s="276">
        <f>ROUND(Q75,0)</f>
        <v>2777834</v>
      </c>
      <c r="O748" s="276">
        <f>ROUND(Q73,0)</f>
        <v>812059</v>
      </c>
      <c r="P748" s="276">
        <f>IF(Q76&gt;0,ROUND(Q76,0),0)</f>
        <v>1720</v>
      </c>
      <c r="Q748" s="276">
        <f>IF(Q77&gt;0,ROUND(Q77,0),0)</f>
        <v>0</v>
      </c>
      <c r="R748" s="276">
        <f>IF(Q78&gt;0,ROUND(Q78,0),0)</f>
        <v>435</v>
      </c>
      <c r="S748" s="276">
        <f>IF(Q79&gt;0,ROUND(Q79,0),0)</f>
        <v>31119</v>
      </c>
      <c r="T748" s="278">
        <f>IF(Q80&gt;0,ROUND(Q80,2),0)</f>
        <v>6.47</v>
      </c>
      <c r="U748" s="276"/>
      <c r="V748" s="277"/>
      <c r="W748" s="276"/>
      <c r="X748" s="276"/>
      <c r="Y748" s="276">
        <f t="shared" si="21"/>
        <v>404606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38*2021*7040*A</v>
      </c>
      <c r="B749" s="276">
        <f>ROUND(R59,0)</f>
        <v>413977</v>
      </c>
      <c r="C749" s="278">
        <f>ROUND(R60,2)</f>
        <v>2.8</v>
      </c>
      <c r="D749" s="276">
        <f>ROUND(R61,0)</f>
        <v>261410</v>
      </c>
      <c r="E749" s="276">
        <f>ROUND(R62,0)</f>
        <v>69972</v>
      </c>
      <c r="F749" s="276">
        <f>ROUND(R63,0)</f>
        <v>1029393</v>
      </c>
      <c r="G749" s="276">
        <f>ROUND(R64,0)</f>
        <v>216144</v>
      </c>
      <c r="H749" s="276">
        <f>ROUND(R65,0)</f>
        <v>0</v>
      </c>
      <c r="I749" s="276">
        <f>ROUND(R66,0)</f>
        <v>0</v>
      </c>
      <c r="J749" s="276">
        <f>ROUND(R67,0)</f>
        <v>52382</v>
      </c>
      <c r="K749" s="276">
        <f>ROUND(R68,0)</f>
        <v>0</v>
      </c>
      <c r="L749" s="276">
        <f>ROUND(R69,0)</f>
        <v>1593</v>
      </c>
      <c r="M749" s="276">
        <f>ROUND(R70,0)</f>
        <v>0</v>
      </c>
      <c r="N749" s="276">
        <f>ROUND(R75,0)</f>
        <v>4701388</v>
      </c>
      <c r="O749" s="276">
        <f>ROUND(R73,0)</f>
        <v>1030808</v>
      </c>
      <c r="P749" s="276">
        <f>IF(R76&gt;0,ROUND(R76,0),0)</f>
        <v>501</v>
      </c>
      <c r="Q749" s="276">
        <f>IF(R77&gt;0,ROUND(R77,0),0)</f>
        <v>0</v>
      </c>
      <c r="R749" s="276">
        <f>IF(R78&gt;0,ROUND(R78,0),0)</f>
        <v>127</v>
      </c>
      <c r="S749" s="276">
        <f>IF(R79&gt;0,ROUND(R79,0),0)</f>
        <v>0</v>
      </c>
      <c r="T749" s="278">
        <f>IF(R80&gt;0,ROUND(R80,2),0)</f>
        <v>1.83</v>
      </c>
      <c r="U749" s="276"/>
      <c r="V749" s="277"/>
      <c r="W749" s="276"/>
      <c r="X749" s="276"/>
      <c r="Y749" s="276">
        <f t="shared" si="21"/>
        <v>527422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38*2021*7050*A</v>
      </c>
      <c r="B750" s="276"/>
      <c r="C750" s="278">
        <f>ROUND(S60,2)</f>
        <v>11.37</v>
      </c>
      <c r="D750" s="276">
        <f>ROUND(S61,0)</f>
        <v>519545</v>
      </c>
      <c r="E750" s="276">
        <f>ROUND(S62,0)</f>
        <v>139067</v>
      </c>
      <c r="F750" s="276">
        <f>ROUND(S63,0)</f>
        <v>0</v>
      </c>
      <c r="G750" s="276">
        <f>ROUND(S64,0)</f>
        <v>193871</v>
      </c>
      <c r="H750" s="276">
        <f>ROUND(S65,0)</f>
        <v>0</v>
      </c>
      <c r="I750" s="276">
        <f>ROUND(S66,0)</f>
        <v>0</v>
      </c>
      <c r="J750" s="276">
        <f>ROUND(S67,0)</f>
        <v>143946</v>
      </c>
      <c r="K750" s="276">
        <f>ROUND(S68,0)</f>
        <v>130</v>
      </c>
      <c r="L750" s="276">
        <f>ROUND(S69,0)</f>
        <v>39584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3093</v>
      </c>
      <c r="Q750" s="276">
        <f>IF(S77&gt;0,ROUND(S77,0),0)</f>
        <v>0</v>
      </c>
      <c r="R750" s="276">
        <f>IF(S78&gt;0,ROUND(S78,0),0)</f>
        <v>782</v>
      </c>
      <c r="S750" s="276">
        <f>IF(S79&gt;0,ROUND(S79,0),0)</f>
        <v>18890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253743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38*2021*7060*A</v>
      </c>
      <c r="B751" s="276"/>
      <c r="C751" s="278">
        <f>ROUND(T60,2)</f>
        <v>0.61</v>
      </c>
      <c r="D751" s="276">
        <f>ROUND(T61,0)</f>
        <v>71301</v>
      </c>
      <c r="E751" s="276">
        <f>ROUND(T62,0)</f>
        <v>19085</v>
      </c>
      <c r="F751" s="276">
        <f>ROUND(T63,0)</f>
        <v>0</v>
      </c>
      <c r="G751" s="276">
        <f>ROUND(T64,0)</f>
        <v>97925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692775</v>
      </c>
      <c r="O751" s="276">
        <f>ROUND(T73,0)</f>
        <v>488910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0.61</v>
      </c>
      <c r="U751" s="276"/>
      <c r="V751" s="277"/>
      <c r="W751" s="276"/>
      <c r="X751" s="276"/>
      <c r="Y751" s="276">
        <f t="shared" si="21"/>
        <v>80874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38*2021*7070*A</v>
      </c>
      <c r="B752" s="276">
        <f>ROUND(U59,0)</f>
        <v>748874</v>
      </c>
      <c r="C752" s="278">
        <f>ROUND(U60,2)</f>
        <v>70.38</v>
      </c>
      <c r="D752" s="276">
        <f>ROUND(U61,0)</f>
        <v>4477103</v>
      </c>
      <c r="E752" s="276">
        <f>ROUND(U62,0)</f>
        <v>1198391</v>
      </c>
      <c r="F752" s="276">
        <f>ROUND(U63,0)</f>
        <v>41250</v>
      </c>
      <c r="G752" s="276">
        <f>ROUND(U64,0)</f>
        <v>1815914</v>
      </c>
      <c r="H752" s="276">
        <f>ROUND(U65,0)</f>
        <v>800</v>
      </c>
      <c r="I752" s="276">
        <f>ROUND(U66,0)</f>
        <v>2887064</v>
      </c>
      <c r="J752" s="276">
        <f>ROUND(U67,0)</f>
        <v>297277</v>
      </c>
      <c r="K752" s="276">
        <f>ROUND(U68,0)</f>
        <v>27241</v>
      </c>
      <c r="L752" s="276">
        <f>ROUND(U69,0)</f>
        <v>441787</v>
      </c>
      <c r="M752" s="276">
        <f>ROUND(U70,0)</f>
        <v>0</v>
      </c>
      <c r="N752" s="276">
        <f>ROUND(U75,0)</f>
        <v>54592167</v>
      </c>
      <c r="O752" s="276">
        <f>ROUND(U73,0)</f>
        <v>10127896</v>
      </c>
      <c r="P752" s="276">
        <f>IF(U76&gt;0,ROUND(U76,0),0)</f>
        <v>8720</v>
      </c>
      <c r="Q752" s="276">
        <f>IF(U77&gt;0,ROUND(U77,0),0)</f>
        <v>0</v>
      </c>
      <c r="R752" s="276">
        <f>IF(U78&gt;0,ROUND(U78,0),0)</f>
        <v>2115</v>
      </c>
      <c r="S752" s="276">
        <f>IF(U79&gt;0,ROUND(U79,0),0)</f>
        <v>1877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5093674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38*2021*7110*A</v>
      </c>
      <c r="B753" s="276">
        <f>ROUND(V59,0)</f>
        <v>30977</v>
      </c>
      <c r="C753" s="278">
        <f>ROUND(V60,2)</f>
        <v>31.51</v>
      </c>
      <c r="D753" s="276">
        <f>ROUND(V61,0)</f>
        <v>2456234</v>
      </c>
      <c r="E753" s="276">
        <f>ROUND(V62,0)</f>
        <v>657463</v>
      </c>
      <c r="F753" s="276">
        <f>ROUND(V63,0)</f>
        <v>177800</v>
      </c>
      <c r="G753" s="276">
        <f>ROUND(V64,0)</f>
        <v>363219</v>
      </c>
      <c r="H753" s="276">
        <f>ROUND(V65,0)</f>
        <v>2452</v>
      </c>
      <c r="I753" s="276">
        <f>ROUND(V66,0)</f>
        <v>509</v>
      </c>
      <c r="J753" s="276">
        <f>ROUND(V67,0)</f>
        <v>213710</v>
      </c>
      <c r="K753" s="276">
        <f>ROUND(V68,0)</f>
        <v>338</v>
      </c>
      <c r="L753" s="276">
        <f>ROUND(V69,0)</f>
        <v>63238</v>
      </c>
      <c r="M753" s="276">
        <f>ROUND(V70,0)</f>
        <v>0</v>
      </c>
      <c r="N753" s="276">
        <f>ROUND(V75,0)</f>
        <v>17729076</v>
      </c>
      <c r="O753" s="276">
        <f>ROUND(V73,0)</f>
        <v>1741053</v>
      </c>
      <c r="P753" s="276">
        <f>IF(V76&gt;0,ROUND(V76,0),0)</f>
        <v>9062</v>
      </c>
      <c r="Q753" s="276">
        <f>IF(V77&gt;0,ROUND(V77,0),0)</f>
        <v>0</v>
      </c>
      <c r="R753" s="276">
        <f>IF(V78&gt;0,ROUND(V78,0),0)</f>
        <v>2290</v>
      </c>
      <c r="S753" s="276">
        <f>IF(V79&gt;0,ROUND(V79,0),0)</f>
        <v>0</v>
      </c>
      <c r="T753" s="278">
        <f>IF(V80&gt;0,ROUND(V80,2),0)</f>
        <v>2.25</v>
      </c>
      <c r="U753" s="276"/>
      <c r="V753" s="277"/>
      <c r="W753" s="276"/>
      <c r="X753" s="276"/>
      <c r="Y753" s="276">
        <f t="shared" si="21"/>
        <v>1847469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38*2021*7120*A</v>
      </c>
      <c r="B754" s="276">
        <f>ROUND(W59,0)</f>
        <v>7355</v>
      </c>
      <c r="C754" s="278">
        <f>ROUND(W60,2)</f>
        <v>7.61</v>
      </c>
      <c r="D754" s="276">
        <f>ROUND(W61,0)</f>
        <v>703217</v>
      </c>
      <c r="E754" s="276">
        <f>ROUND(W62,0)</f>
        <v>188231</v>
      </c>
      <c r="F754" s="276">
        <f>ROUND(W63,0)</f>
        <v>0</v>
      </c>
      <c r="G754" s="276">
        <f>ROUND(W64,0)</f>
        <v>51644</v>
      </c>
      <c r="H754" s="276">
        <f>ROUND(W65,0)</f>
        <v>0</v>
      </c>
      <c r="I754" s="276">
        <f>ROUND(W66,0)</f>
        <v>0</v>
      </c>
      <c r="J754" s="276">
        <f>ROUND(W67,0)</f>
        <v>218819</v>
      </c>
      <c r="K754" s="276">
        <f>ROUND(W68,0)</f>
        <v>0</v>
      </c>
      <c r="L754" s="276">
        <f>ROUND(W69,0)</f>
        <v>344418</v>
      </c>
      <c r="M754" s="276">
        <f>ROUND(W70,0)</f>
        <v>0</v>
      </c>
      <c r="N754" s="276">
        <f>ROUND(W75,0)</f>
        <v>18220295</v>
      </c>
      <c r="O754" s="276">
        <f>ROUND(W73,0)</f>
        <v>1050033</v>
      </c>
      <c r="P754" s="276">
        <f>IF(W76&gt;0,ROUND(W76,0),0)</f>
        <v>1198</v>
      </c>
      <c r="Q754" s="276">
        <f>IF(W77&gt;0,ROUND(W77,0),0)</f>
        <v>0</v>
      </c>
      <c r="R754" s="276">
        <f>IF(W78&gt;0,ROUND(W78,0),0)</f>
        <v>303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1296615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38*2021*7130*A</v>
      </c>
      <c r="B755" s="276">
        <f>ROUND(X59,0)</f>
        <v>22178</v>
      </c>
      <c r="C755" s="278">
        <f>ROUND(X60,2)</f>
        <v>11.2</v>
      </c>
      <c r="D755" s="276">
        <f>ROUND(X61,0)</f>
        <v>956586</v>
      </c>
      <c r="E755" s="276">
        <f>ROUND(X62,0)</f>
        <v>256050</v>
      </c>
      <c r="F755" s="276">
        <f>ROUND(X63,0)</f>
        <v>0</v>
      </c>
      <c r="G755" s="276">
        <f>ROUND(X64,0)</f>
        <v>179360</v>
      </c>
      <c r="H755" s="276">
        <f>ROUND(X65,0)</f>
        <v>0</v>
      </c>
      <c r="I755" s="276">
        <f>ROUND(X66,0)</f>
        <v>9520</v>
      </c>
      <c r="J755" s="276">
        <f>ROUND(X67,0)</f>
        <v>73659</v>
      </c>
      <c r="K755" s="276">
        <f>ROUND(X68,0)</f>
        <v>0</v>
      </c>
      <c r="L755" s="276">
        <f>ROUND(X69,0)</f>
        <v>130028</v>
      </c>
      <c r="M755" s="276">
        <f>ROUND(X70,0)</f>
        <v>0</v>
      </c>
      <c r="N755" s="276">
        <f>ROUND(X75,0)</f>
        <v>39128138</v>
      </c>
      <c r="O755" s="276">
        <f>ROUND(X73,0)</f>
        <v>6771053</v>
      </c>
      <c r="P755" s="276">
        <f>IF(X76&gt;0,ROUND(X76,0),0)</f>
        <v>1262</v>
      </c>
      <c r="Q755" s="276">
        <f>IF(X77&gt;0,ROUND(X77,0),0)</f>
        <v>0</v>
      </c>
      <c r="R755" s="276">
        <f>IF(X78&gt;0,ROUND(X78,0),0)</f>
        <v>319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2555530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38*2021*7140*A</v>
      </c>
      <c r="B756" s="276">
        <f>ROUND(Y59,0)</f>
        <v>77488</v>
      </c>
      <c r="C756" s="278">
        <f>ROUND(Y60,2)</f>
        <v>67.45</v>
      </c>
      <c r="D756" s="276">
        <f>ROUND(Y61,0)</f>
        <v>4891213</v>
      </c>
      <c r="E756" s="276">
        <f>ROUND(Y62,0)</f>
        <v>1309236</v>
      </c>
      <c r="F756" s="276">
        <f>ROUND(Y63,0)</f>
        <v>12000</v>
      </c>
      <c r="G756" s="276">
        <f>ROUND(Y64,0)</f>
        <v>387033</v>
      </c>
      <c r="H756" s="276">
        <f>ROUND(Y65,0)</f>
        <v>0</v>
      </c>
      <c r="I756" s="276">
        <f>ROUND(Y66,0)</f>
        <v>797532</v>
      </c>
      <c r="J756" s="276">
        <f>ROUND(Y67,0)</f>
        <v>594495</v>
      </c>
      <c r="K756" s="276">
        <f>ROUND(Y68,0)</f>
        <v>27106</v>
      </c>
      <c r="L756" s="276">
        <f>ROUND(Y69,0)</f>
        <v>764899</v>
      </c>
      <c r="M756" s="276">
        <f>ROUND(Y70,0)</f>
        <v>0</v>
      </c>
      <c r="N756" s="276">
        <f>ROUND(Y75,0)</f>
        <v>35306160</v>
      </c>
      <c r="O756" s="276">
        <f>ROUND(Y73,0)</f>
        <v>2703320</v>
      </c>
      <c r="P756" s="276">
        <f>IF(Y76&gt;0,ROUND(Y76,0),0)</f>
        <v>18896</v>
      </c>
      <c r="Q756" s="276">
        <f>IF(Y77&gt;0,ROUND(Y77,0),0)</f>
        <v>0</v>
      </c>
      <c r="R756" s="276">
        <f>IF(Y78&gt;0,ROUND(Y78,0),0)</f>
        <v>4404</v>
      </c>
      <c r="S756" s="276">
        <f>IF(Y79&gt;0,ROUND(Y79,0),0)</f>
        <v>117691</v>
      </c>
      <c r="T756" s="278">
        <f>IF(Y80&gt;0,ROUND(Y80,2),0)</f>
        <v>3.45</v>
      </c>
      <c r="U756" s="276"/>
      <c r="V756" s="277"/>
      <c r="W756" s="276"/>
      <c r="X756" s="276"/>
      <c r="Y756" s="276">
        <f t="shared" si="21"/>
        <v>3843187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38*2021*7150*A</v>
      </c>
      <c r="B757" s="276">
        <f>ROUND(Z59,0)</f>
        <v>0</v>
      </c>
      <c r="C757" s="278">
        <f>ROUND(Z60,2)</f>
        <v>22.31</v>
      </c>
      <c r="D757" s="276">
        <f>ROUND(Z61,0)</f>
        <v>2688006</v>
      </c>
      <c r="E757" s="276">
        <f>ROUND(Z62,0)</f>
        <v>719501</v>
      </c>
      <c r="F757" s="276">
        <f>ROUND(Z63,0)</f>
        <v>6192</v>
      </c>
      <c r="G757" s="276">
        <f>ROUND(Z64,0)</f>
        <v>60778</v>
      </c>
      <c r="H757" s="276">
        <f>ROUND(Z65,0)</f>
        <v>150</v>
      </c>
      <c r="I757" s="276">
        <f>ROUND(Z66,0)</f>
        <v>478753</v>
      </c>
      <c r="J757" s="276">
        <f>ROUND(Z67,0)</f>
        <v>359523</v>
      </c>
      <c r="K757" s="276">
        <f>ROUND(Z68,0)</f>
        <v>0</v>
      </c>
      <c r="L757" s="276">
        <f>ROUND(Z69,0)</f>
        <v>381956</v>
      </c>
      <c r="M757" s="276">
        <f>ROUND(Z70,0)</f>
        <v>0</v>
      </c>
      <c r="N757" s="276">
        <f>ROUND(Z75,0)</f>
        <v>16913007</v>
      </c>
      <c r="O757" s="276">
        <f>ROUND(Z73,0)</f>
        <v>64756</v>
      </c>
      <c r="P757" s="276">
        <f>IF(Z76&gt;0,ROUND(Z76,0),0)</f>
        <v>6047</v>
      </c>
      <c r="Q757" s="276">
        <f>IF(Z77&gt;0,ROUND(Z77,0),0)</f>
        <v>0</v>
      </c>
      <c r="R757" s="276">
        <f>IF(Z78&gt;0,ROUND(Z78,0),0)</f>
        <v>1528</v>
      </c>
      <c r="S757" s="276">
        <f>IF(Z79&gt;0,ROUND(Z79,0),0)</f>
        <v>18952</v>
      </c>
      <c r="T757" s="278">
        <f>IF(Z80&gt;0,ROUND(Z80,2),0)</f>
        <v>1.99</v>
      </c>
      <c r="U757" s="276"/>
      <c r="V757" s="277"/>
      <c r="W757" s="276"/>
      <c r="X757" s="276"/>
      <c r="Y757" s="276">
        <f t="shared" si="21"/>
        <v>1777648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38*2021*7160*A</v>
      </c>
      <c r="B758" s="276">
        <f>ROUND(AA59,0)</f>
        <v>695</v>
      </c>
      <c r="C758" s="278">
        <f>ROUND(AA60,2)</f>
        <v>0.94</v>
      </c>
      <c r="D758" s="276">
        <f>ROUND(AA61,0)</f>
        <v>93509</v>
      </c>
      <c r="E758" s="276">
        <f>ROUND(AA62,0)</f>
        <v>25030</v>
      </c>
      <c r="F758" s="276">
        <f>ROUND(AA63,0)</f>
        <v>0</v>
      </c>
      <c r="G758" s="276">
        <f>ROUND(AA64,0)</f>
        <v>563087</v>
      </c>
      <c r="H758" s="276">
        <f>ROUND(AA65,0)</f>
        <v>0</v>
      </c>
      <c r="I758" s="276">
        <f>ROUND(AA66,0)</f>
        <v>5331</v>
      </c>
      <c r="J758" s="276">
        <f>ROUND(AA67,0)</f>
        <v>13026</v>
      </c>
      <c r="K758" s="276">
        <f>ROUND(AA68,0)</f>
        <v>0</v>
      </c>
      <c r="L758" s="276">
        <f>ROUND(AA69,0)</f>
        <v>57476</v>
      </c>
      <c r="M758" s="276">
        <f>ROUND(AA70,0)</f>
        <v>0</v>
      </c>
      <c r="N758" s="276">
        <f>ROUND(AA75,0)</f>
        <v>2058826</v>
      </c>
      <c r="O758" s="276">
        <f>ROUND(AA73,0)</f>
        <v>106464</v>
      </c>
      <c r="P758" s="276">
        <f>IF(AA76&gt;0,ROUND(AA76,0),0)</f>
        <v>600</v>
      </c>
      <c r="Q758" s="276">
        <f>IF(AA77&gt;0,ROUND(AA77,0),0)</f>
        <v>0</v>
      </c>
      <c r="R758" s="276">
        <f>IF(AA78&gt;0,ROUND(AA78,0),0)</f>
        <v>152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280968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38*2021*7170*A</v>
      </c>
      <c r="B759" s="276"/>
      <c r="C759" s="278">
        <f>ROUND(AB60,2)</f>
        <v>22.95</v>
      </c>
      <c r="D759" s="276">
        <f>ROUND(AB61,0)</f>
        <v>2529031</v>
      </c>
      <c r="E759" s="276">
        <f>ROUND(AB62,0)</f>
        <v>676948</v>
      </c>
      <c r="F759" s="276">
        <f>ROUND(AB63,0)</f>
        <v>55358</v>
      </c>
      <c r="G759" s="276">
        <f>ROUND(AB64,0)</f>
        <v>19447268</v>
      </c>
      <c r="H759" s="276">
        <f>ROUND(AB65,0)</f>
        <v>0</v>
      </c>
      <c r="I759" s="276">
        <f>ROUND(AB66,0)</f>
        <v>433920</v>
      </c>
      <c r="J759" s="276">
        <f>ROUND(AB67,0)</f>
        <v>203546</v>
      </c>
      <c r="K759" s="276">
        <f>ROUND(AB68,0)</f>
        <v>130</v>
      </c>
      <c r="L759" s="276">
        <f>ROUND(AB69,0)</f>
        <v>1023243</v>
      </c>
      <c r="M759" s="276">
        <f>ROUND(AB70,0)</f>
        <v>0</v>
      </c>
      <c r="N759" s="276">
        <f>ROUND(AB75,0)</f>
        <v>72679880</v>
      </c>
      <c r="O759" s="276">
        <f>ROUND(AB73,0)</f>
        <v>13026694</v>
      </c>
      <c r="P759" s="276">
        <f>IF(AB76&gt;0,ROUND(AB76,0),0)</f>
        <v>2338</v>
      </c>
      <c r="Q759" s="276">
        <f>IF(AB77&gt;0,ROUND(AB77,0),0)</f>
        <v>0</v>
      </c>
      <c r="R759" s="276">
        <f>IF(AB78&gt;0,ROUND(AB78,0),0)</f>
        <v>591</v>
      </c>
      <c r="S759" s="276">
        <f>IF(AB79&gt;0,ROUND(AB79,0),0)</f>
        <v>135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9176591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38*2021*7180*A</v>
      </c>
      <c r="B760" s="276">
        <f>ROUND(AC59,0)</f>
        <v>18650</v>
      </c>
      <c r="C760" s="278">
        <f>ROUND(AC60,2)</f>
        <v>10.69</v>
      </c>
      <c r="D760" s="276">
        <f>ROUND(AC61,0)</f>
        <v>937665</v>
      </c>
      <c r="E760" s="276">
        <f>ROUND(AC62,0)</f>
        <v>250986</v>
      </c>
      <c r="F760" s="276">
        <f>ROUND(AC63,0)</f>
        <v>0</v>
      </c>
      <c r="G760" s="276">
        <f>ROUND(AC64,0)</f>
        <v>173352</v>
      </c>
      <c r="H760" s="276">
        <f>ROUND(AC65,0)</f>
        <v>0</v>
      </c>
      <c r="I760" s="276">
        <f>ROUND(AC66,0)</f>
        <v>587559</v>
      </c>
      <c r="J760" s="276">
        <f>ROUND(AC67,0)</f>
        <v>51588</v>
      </c>
      <c r="K760" s="276">
        <f>ROUND(AC68,0)</f>
        <v>5711</v>
      </c>
      <c r="L760" s="276">
        <f>ROUND(AC69,0)</f>
        <v>13324</v>
      </c>
      <c r="M760" s="276">
        <f>ROUND(AC70,0)</f>
        <v>0</v>
      </c>
      <c r="N760" s="276">
        <f>ROUND(AC75,0)</f>
        <v>4300212</v>
      </c>
      <c r="O760" s="276">
        <f>ROUND(AC73,0)</f>
        <v>2797905</v>
      </c>
      <c r="P760" s="276">
        <f>IF(AC76&gt;0,ROUND(AC76,0),0)</f>
        <v>2845</v>
      </c>
      <c r="Q760" s="276">
        <f>IF(AC77&gt;0,ROUND(AC77,0),0)</f>
        <v>0</v>
      </c>
      <c r="R760" s="276">
        <f>IF(AC78&gt;0,ROUND(AC78,0),0)</f>
        <v>719</v>
      </c>
      <c r="S760" s="276">
        <f>IF(AC79&gt;0,ROUND(AC79,0),0)</f>
        <v>120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599702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38*2021*7190*A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38*2021*7200*A</v>
      </c>
      <c r="B762" s="276">
        <f>ROUND(AE59,0)</f>
        <v>89937</v>
      </c>
      <c r="C762" s="278">
        <f>ROUND(AE60,2)</f>
        <v>43.05</v>
      </c>
      <c r="D762" s="276">
        <f>ROUND(AE61,0)</f>
        <v>3525667</v>
      </c>
      <c r="E762" s="276">
        <f>ROUND(AE62,0)</f>
        <v>943719</v>
      </c>
      <c r="F762" s="276">
        <f>ROUND(AE63,0)</f>
        <v>0</v>
      </c>
      <c r="G762" s="276">
        <f>ROUND(AE64,0)</f>
        <v>63488</v>
      </c>
      <c r="H762" s="276">
        <f>ROUND(AE65,0)</f>
        <v>0</v>
      </c>
      <c r="I762" s="276">
        <f>ROUND(AE66,0)</f>
        <v>45610</v>
      </c>
      <c r="J762" s="276">
        <f>ROUND(AE67,0)</f>
        <v>9487</v>
      </c>
      <c r="K762" s="276">
        <f>ROUND(AE68,0)</f>
        <v>4400</v>
      </c>
      <c r="L762" s="276">
        <f>ROUND(AE69,0)</f>
        <v>13767</v>
      </c>
      <c r="M762" s="276">
        <f>ROUND(AE70,0)</f>
        <v>0</v>
      </c>
      <c r="N762" s="276">
        <f>ROUND(AE75,0)</f>
        <v>7672014</v>
      </c>
      <c r="O762" s="276">
        <f>ROUND(AE73,0)</f>
        <v>1306735</v>
      </c>
      <c r="P762" s="276">
        <f>IF(AE76&gt;0,ROUND(AE76,0),0)</f>
        <v>9734</v>
      </c>
      <c r="Q762" s="276">
        <f>IF(AE77&gt;0,ROUND(AE77,0),0)</f>
        <v>0</v>
      </c>
      <c r="R762" s="276">
        <f>IF(AE78&gt;0,ROUND(AE78,0),0)</f>
        <v>2460</v>
      </c>
      <c r="S762" s="276">
        <f>IF(AE79&gt;0,ROUND(AE79,0),0)</f>
        <v>33061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1357529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38*2021*7220*A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38*2021*7230*A</v>
      </c>
      <c r="B764" s="276">
        <f>ROUND(AG59,0)</f>
        <v>25003</v>
      </c>
      <c r="C764" s="278">
        <f>ROUND(AG60,2)</f>
        <v>59.27</v>
      </c>
      <c r="D764" s="276">
        <f>ROUND(AG61,0)</f>
        <v>5300011</v>
      </c>
      <c r="E764" s="276">
        <f>ROUND(AG62,0)</f>
        <v>1418659</v>
      </c>
      <c r="F764" s="276">
        <f>ROUND(AG63,0)</f>
        <v>5145209</v>
      </c>
      <c r="G764" s="276">
        <f>ROUND(AG64,0)</f>
        <v>723464</v>
      </c>
      <c r="H764" s="276">
        <f>ROUND(AG65,0)</f>
        <v>0</v>
      </c>
      <c r="I764" s="276">
        <f>ROUND(AG66,0)</f>
        <v>505754</v>
      </c>
      <c r="J764" s="276">
        <f>ROUND(AG67,0)</f>
        <v>113786</v>
      </c>
      <c r="K764" s="276">
        <f>ROUND(AG68,0)</f>
        <v>130</v>
      </c>
      <c r="L764" s="276">
        <f>ROUND(AG69,0)</f>
        <v>34572</v>
      </c>
      <c r="M764" s="276">
        <f>ROUND(AG70,0)</f>
        <v>0</v>
      </c>
      <c r="N764" s="276">
        <f>ROUND(AG75,0)</f>
        <v>35784709</v>
      </c>
      <c r="O764" s="276">
        <f>ROUND(AG73,0)</f>
        <v>5951382</v>
      </c>
      <c r="P764" s="276">
        <f>IF(AG76&gt;0,ROUND(AG76,0),0)</f>
        <v>6022</v>
      </c>
      <c r="Q764" s="276">
        <f>IF(AG77&gt;0,ROUND(AG77,0),0)</f>
        <v>0</v>
      </c>
      <c r="R764" s="276">
        <f>IF(AG78&gt;0,ROUND(AG78,0),0)</f>
        <v>1522</v>
      </c>
      <c r="S764" s="276">
        <f>IF(AG79&gt;0,ROUND(AG79,0),0)</f>
        <v>308393</v>
      </c>
      <c r="T764" s="278">
        <f>IF(AG80&gt;0,ROUND(AG80,2),0)</f>
        <v>40.78</v>
      </c>
      <c r="U764" s="276"/>
      <c r="V764" s="277"/>
      <c r="W764" s="276"/>
      <c r="X764" s="276"/>
      <c r="Y764" s="276">
        <f t="shared" si="21"/>
        <v>4673322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38*2021*7240*A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10364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98</v>
      </c>
      <c r="Q765" s="276">
        <f>IF(AH77&gt;0,ROUND(AH77,0),0)</f>
        <v>0</v>
      </c>
      <c r="R765" s="276">
        <f>IF(AH78&gt;0,ROUND(AH78,0),0)</f>
        <v>25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3231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38*2021*7250*A</v>
      </c>
      <c r="B766" s="276">
        <f>ROUND(AI59,0)</f>
        <v>6732</v>
      </c>
      <c r="C766" s="278">
        <f>ROUND(AI60,2)</f>
        <v>23.73</v>
      </c>
      <c r="D766" s="276">
        <f>ROUND(AI61,0)</f>
        <v>2131467</v>
      </c>
      <c r="E766" s="276">
        <f>ROUND(AI62,0)</f>
        <v>570532</v>
      </c>
      <c r="F766" s="276">
        <f>ROUND(AI63,0)</f>
        <v>0</v>
      </c>
      <c r="G766" s="276">
        <f>ROUND(AI64,0)</f>
        <v>263196</v>
      </c>
      <c r="H766" s="276">
        <f>ROUND(AI65,0)</f>
        <v>0</v>
      </c>
      <c r="I766" s="276">
        <f>ROUND(AI66,0)</f>
        <v>0</v>
      </c>
      <c r="J766" s="276">
        <f>ROUND(AI67,0)</f>
        <v>35920</v>
      </c>
      <c r="K766" s="276">
        <f>ROUND(AI68,0)</f>
        <v>0</v>
      </c>
      <c r="L766" s="276">
        <f>ROUND(AI69,0)</f>
        <v>4228</v>
      </c>
      <c r="M766" s="276">
        <f>ROUND(AI70,0)</f>
        <v>0</v>
      </c>
      <c r="N766" s="276">
        <f>ROUND(AI75,0)</f>
        <v>2449818</v>
      </c>
      <c r="O766" s="276">
        <f>ROUND(AI73,0)</f>
        <v>15050</v>
      </c>
      <c r="P766" s="276">
        <f>IF(AI76&gt;0,ROUND(AI76,0),0)</f>
        <v>5194</v>
      </c>
      <c r="Q766" s="276">
        <f>IF(AI77&gt;0,ROUND(AI77,0),0)</f>
        <v>0</v>
      </c>
      <c r="R766" s="276">
        <f>IF(AI78&gt;0,ROUND(AI78,0),0)</f>
        <v>1313</v>
      </c>
      <c r="S766" s="276">
        <f>IF(AI79&gt;0,ROUND(AI79,0),0)</f>
        <v>72901</v>
      </c>
      <c r="T766" s="278">
        <f>IF(AI80&gt;0,ROUND(AI80,2),0)</f>
        <v>18.02</v>
      </c>
      <c r="U766" s="276"/>
      <c r="V766" s="277"/>
      <c r="W766" s="276"/>
      <c r="X766" s="276"/>
      <c r="Y766" s="276">
        <f t="shared" si="21"/>
        <v>945597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38*2021*7260*A</v>
      </c>
      <c r="B767" s="276">
        <f>ROUND(AJ59,0)</f>
        <v>182822</v>
      </c>
      <c r="C767" s="278">
        <f>ROUND(AJ60,2)</f>
        <v>292.11</v>
      </c>
      <c r="D767" s="276">
        <f>ROUND(AJ61,0)</f>
        <v>31950677</v>
      </c>
      <c r="E767" s="276">
        <f>ROUND(AJ62,0)</f>
        <v>8552270</v>
      </c>
      <c r="F767" s="276">
        <f>ROUND(AJ63,0)</f>
        <v>2547588</v>
      </c>
      <c r="G767" s="276">
        <f>ROUND(AJ64,0)</f>
        <v>2809188</v>
      </c>
      <c r="H767" s="276">
        <f>ROUND(AJ65,0)</f>
        <v>229</v>
      </c>
      <c r="I767" s="276">
        <f>ROUND(AJ66,0)</f>
        <v>217167</v>
      </c>
      <c r="J767" s="276">
        <f>ROUND(AJ67,0)</f>
        <v>836015</v>
      </c>
      <c r="K767" s="276">
        <f>ROUND(AJ68,0)</f>
        <v>24047</v>
      </c>
      <c r="L767" s="276">
        <f>ROUND(AJ69,0)</f>
        <v>148326</v>
      </c>
      <c r="M767" s="276">
        <f>ROUND(AJ70,0)</f>
        <v>0</v>
      </c>
      <c r="N767" s="276">
        <f>ROUND(AJ75,0)</f>
        <v>72731616</v>
      </c>
      <c r="O767" s="276">
        <f>ROUND(AJ73,0)</f>
        <v>74242</v>
      </c>
      <c r="P767" s="276">
        <f>IF(AJ76&gt;0,ROUND(AJ76,0),0)</f>
        <v>51071</v>
      </c>
      <c r="Q767" s="276">
        <f>IF(AJ77&gt;0,ROUND(AJ77,0),0)</f>
        <v>0</v>
      </c>
      <c r="R767" s="276">
        <f>IF(AJ78&gt;0,ROUND(AJ78,0),0)</f>
        <v>8950</v>
      </c>
      <c r="S767" s="276">
        <f>IF(AJ79&gt;0,ROUND(AJ79,0),0)</f>
        <v>48162</v>
      </c>
      <c r="T767" s="278">
        <f>IF(AJ80&gt;0,ROUND(AJ80,2),0)</f>
        <v>48.2</v>
      </c>
      <c r="U767" s="276"/>
      <c r="V767" s="277"/>
      <c r="W767" s="276"/>
      <c r="X767" s="276"/>
      <c r="Y767" s="276">
        <f t="shared" si="21"/>
        <v>12483895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38*2021*7310*A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1113508</v>
      </c>
      <c r="O768" s="276">
        <f>ROUND(AK73,0)</f>
        <v>250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65068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38*2021*7320*A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700659</v>
      </c>
      <c r="O769" s="276">
        <f>ROUND(AL73,0)</f>
        <v>8261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40943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38*2021*7330*A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38*2021*7340*A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38*2021*7350*A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38*2021*7380*A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38*2021*7390*A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38*2021*7400*A</v>
      </c>
      <c r="B775" s="276">
        <f>ROUND(AR59,0)</f>
        <v>49870</v>
      </c>
      <c r="C775" s="278">
        <f>ROUND(AR60,2)</f>
        <v>68.5</v>
      </c>
      <c r="D775" s="276">
        <f>ROUND(AR61,0)</f>
        <v>5449069</v>
      </c>
      <c r="E775" s="276">
        <f>ROUND(AR62,0)</f>
        <v>1458558</v>
      </c>
      <c r="F775" s="276">
        <f>ROUND(AR63,0)</f>
        <v>16750</v>
      </c>
      <c r="G775" s="276">
        <f>ROUND(AR64,0)</f>
        <v>243510</v>
      </c>
      <c r="H775" s="276">
        <f>ROUND(AR65,0)</f>
        <v>27860</v>
      </c>
      <c r="I775" s="276">
        <f>ROUND(AR66,0)</f>
        <v>935874</v>
      </c>
      <c r="J775" s="276">
        <f>ROUND(AR67,0)</f>
        <v>7391</v>
      </c>
      <c r="K775" s="276">
        <f>ROUND(AR68,0)</f>
        <v>130</v>
      </c>
      <c r="L775" s="276">
        <f>ROUND(AR69,0)</f>
        <v>239865</v>
      </c>
      <c r="M775" s="276">
        <f>ROUND(AR70,0)</f>
        <v>0</v>
      </c>
      <c r="N775" s="276">
        <f>ROUND(AR75,0)</f>
        <v>9157050</v>
      </c>
      <c r="O775" s="276">
        <f>ROUND(AR73,0)</f>
        <v>0</v>
      </c>
      <c r="P775" s="276">
        <f>IF(AR76&gt;0,ROUND(AR76,0),0)</f>
        <v>4732</v>
      </c>
      <c r="Q775" s="276">
        <f>IF(AR77&gt;0,ROUND(AR77,0),0)</f>
        <v>0</v>
      </c>
      <c r="R775" s="276">
        <f>IF(AR78&gt;0,ROUND(AR78,0),0)</f>
        <v>714</v>
      </c>
      <c r="S775" s="276">
        <f>IF(AR79&gt;0,ROUND(AR79,0),0)</f>
        <v>0</v>
      </c>
      <c r="T775" s="278">
        <f>IF(AR80&gt;0,ROUND(AR80,2),0)</f>
        <v>20.41</v>
      </c>
      <c r="U775" s="276"/>
      <c r="V775" s="277"/>
      <c r="W775" s="276"/>
      <c r="X775" s="276"/>
      <c r="Y775" s="276">
        <f t="shared" si="21"/>
        <v>2065867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38*2021*7410*A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38*2021*7420*A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38*2021*7430*A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38*2021*7490*A</v>
      </c>
      <c r="B779" s="276"/>
      <c r="C779" s="278">
        <f>ROUND(AV60,2)</f>
        <v>18.53</v>
      </c>
      <c r="D779" s="276">
        <f>ROUND(AV61,0)</f>
        <v>3832256</v>
      </c>
      <c r="E779" s="276">
        <f>ROUND(AV62,0)</f>
        <v>1025784</v>
      </c>
      <c r="F779" s="276">
        <f>ROUND(AV63,0)</f>
        <v>148511</v>
      </c>
      <c r="G779" s="276">
        <f>ROUND(AV64,0)</f>
        <v>18458</v>
      </c>
      <c r="H779" s="276">
        <f>ROUND(AV65,0)</f>
        <v>1080</v>
      </c>
      <c r="I779" s="276">
        <f>ROUND(AV66,0)</f>
        <v>234</v>
      </c>
      <c r="J779" s="276">
        <f>ROUND(AV67,0)</f>
        <v>1413</v>
      </c>
      <c r="K779" s="276">
        <f>ROUND(AV68,0)</f>
        <v>60260</v>
      </c>
      <c r="L779" s="276">
        <f>ROUND(AV69,0)</f>
        <v>6920</v>
      </c>
      <c r="M779" s="276">
        <f>ROUND(AV70,0)</f>
        <v>0</v>
      </c>
      <c r="N779" s="276">
        <f>ROUND(AV75,0)</f>
        <v>4113529</v>
      </c>
      <c r="O779" s="276">
        <f>ROUND(AV73,0)</f>
        <v>3530289</v>
      </c>
      <c r="P779" s="276">
        <f>IF(AV76&gt;0,ROUND(AV76,0),0)</f>
        <v>2418</v>
      </c>
      <c r="Q779" s="276">
        <f>IF(AV77&gt;0,ROUND(AV77,0),0)</f>
        <v>0</v>
      </c>
      <c r="R779" s="276">
        <f>IF(AV78&gt;0,ROUND(AV78,0),0)</f>
        <v>282</v>
      </c>
      <c r="S779" s="276">
        <f>IF(AV79&gt;0,ROUND(AV79,0),0)</f>
        <v>4340</v>
      </c>
      <c r="T779" s="278">
        <f>IF(AV80&gt;0,ROUND(AV80,2),0)</f>
        <v>2.61</v>
      </c>
      <c r="U779" s="276"/>
      <c r="V779" s="277"/>
      <c r="W779" s="276"/>
      <c r="X779" s="276"/>
      <c r="Y779" s="276">
        <f t="shared" si="21"/>
        <v>972317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38*2021*8200*A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38*2021*8310*A</v>
      </c>
      <c r="B781" s="276"/>
      <c r="C781" s="278">
        <f>ROUND(AX60,2)</f>
        <v>1.01</v>
      </c>
      <c r="D781" s="276">
        <f>ROUND(AX61,0)</f>
        <v>54051</v>
      </c>
      <c r="E781" s="276">
        <f>ROUND(AX62,0)</f>
        <v>14468</v>
      </c>
      <c r="F781" s="276">
        <f>ROUND(AX63,0)</f>
        <v>0</v>
      </c>
      <c r="G781" s="276">
        <f>ROUND(AX64,0)</f>
        <v>55793</v>
      </c>
      <c r="H781" s="276">
        <f>ROUND(AX65,0)</f>
        <v>0</v>
      </c>
      <c r="I781" s="276">
        <f>ROUND(AX66,0)</f>
        <v>1075</v>
      </c>
      <c r="J781" s="276">
        <f>ROUND(AX67,0)</f>
        <v>10669</v>
      </c>
      <c r="K781" s="276">
        <f>ROUND(AX68,0)</f>
        <v>130</v>
      </c>
      <c r="L781" s="276">
        <f>ROUND(AX69,0)</f>
        <v>5</v>
      </c>
      <c r="M781" s="276">
        <f>ROUND(AX70,0)</f>
        <v>0</v>
      </c>
      <c r="N781" s="276"/>
      <c r="O781" s="276"/>
      <c r="P781" s="276">
        <f>IF(AX76&gt;0,ROUND(AX76,0),0)</f>
        <v>1021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38*2021*8320*A</v>
      </c>
      <c r="B782" s="276">
        <f>ROUND(AY59,0)</f>
        <v>0</v>
      </c>
      <c r="C782" s="278">
        <f>ROUND(AY60,2)</f>
        <v>3.67</v>
      </c>
      <c r="D782" s="276">
        <f>ROUND(AY61,0)</f>
        <v>1485394</v>
      </c>
      <c r="E782" s="276">
        <f>ROUND(AY62,0)</f>
        <v>397597</v>
      </c>
      <c r="F782" s="276">
        <f>ROUND(AY63,0)</f>
        <v>0</v>
      </c>
      <c r="G782" s="276">
        <f>ROUND(AY64,0)</f>
        <v>734308</v>
      </c>
      <c r="H782" s="276">
        <f>ROUND(AY65,0)</f>
        <v>0</v>
      </c>
      <c r="I782" s="276">
        <f>ROUND(AY66,0)</f>
        <v>12104</v>
      </c>
      <c r="J782" s="276">
        <f>ROUND(AY67,0)</f>
        <v>60038</v>
      </c>
      <c r="K782" s="276">
        <f>ROUND(AY68,0)</f>
        <v>0</v>
      </c>
      <c r="L782" s="276">
        <f>ROUND(AY69,0)</f>
        <v>105193</v>
      </c>
      <c r="M782" s="276">
        <f>ROUND(AY70,0)</f>
        <v>0</v>
      </c>
      <c r="N782" s="276"/>
      <c r="O782" s="276"/>
      <c r="P782" s="276">
        <f>IF(AY76&gt;0,ROUND(AY76,0),0)</f>
        <v>6740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38*2021*8330*A</v>
      </c>
      <c r="B783" s="276">
        <f>ROUND(AZ59,0)</f>
        <v>0</v>
      </c>
      <c r="C783" s="278">
        <f>ROUND(AZ60,2)</f>
        <v>36.04</v>
      </c>
      <c r="D783" s="276">
        <f>ROUND(AZ61,0)</f>
        <v>223170</v>
      </c>
      <c r="E783" s="276">
        <f>ROUND(AZ62,0)</f>
        <v>59736</v>
      </c>
      <c r="F783" s="276">
        <f>ROUND(AZ63,0)</f>
        <v>0</v>
      </c>
      <c r="G783" s="276">
        <f>ROUND(AZ64,0)</f>
        <v>1270</v>
      </c>
      <c r="H783" s="276">
        <f>ROUND(AZ65,0)</f>
        <v>0</v>
      </c>
      <c r="I783" s="276">
        <f>ROUND(AZ66,0)</f>
        <v>0</v>
      </c>
      <c r="J783" s="276">
        <f>ROUND(AZ67,0)</f>
        <v>2725</v>
      </c>
      <c r="K783" s="276">
        <f>ROUND(AZ68,0)</f>
        <v>0</v>
      </c>
      <c r="L783" s="276">
        <f>ROUND(AZ69,0)</f>
        <v>9806</v>
      </c>
      <c r="M783" s="276">
        <f>ROUND(AZ70,0)</f>
        <v>0</v>
      </c>
      <c r="N783" s="276"/>
      <c r="O783" s="276"/>
      <c r="P783" s="276">
        <f>IF(AZ76&gt;0,ROUND(AZ76,0),0)</f>
        <v>1129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38*2021*8350*A</v>
      </c>
      <c r="B784" s="276">
        <f>ROUND(BA59,0)</f>
        <v>0</v>
      </c>
      <c r="C784" s="278">
        <f>ROUND(BA60,2)</f>
        <v>8.11</v>
      </c>
      <c r="D784" s="276">
        <f>ROUND(BA61,0)</f>
        <v>327904</v>
      </c>
      <c r="E784" s="276">
        <f>ROUND(BA62,0)</f>
        <v>87770</v>
      </c>
      <c r="F784" s="276">
        <f>ROUND(BA63,0)</f>
        <v>0</v>
      </c>
      <c r="G784" s="276">
        <f>ROUND(BA64,0)</f>
        <v>179939</v>
      </c>
      <c r="H784" s="276">
        <f>ROUND(BA65,0)</f>
        <v>0</v>
      </c>
      <c r="I784" s="276">
        <f>ROUND(BA66,0)</f>
        <v>0</v>
      </c>
      <c r="J784" s="276">
        <f>ROUND(BA67,0)</f>
        <v>31494</v>
      </c>
      <c r="K784" s="276">
        <f>ROUND(BA68,0)</f>
        <v>130</v>
      </c>
      <c r="L784" s="276">
        <f>ROUND(BA69,0)</f>
        <v>10967</v>
      </c>
      <c r="M784" s="276">
        <f>ROUND(BA70,0)</f>
        <v>0</v>
      </c>
      <c r="N784" s="276"/>
      <c r="O784" s="276"/>
      <c r="P784" s="276">
        <f>IF(BA76&gt;0,ROUND(BA76,0),0)</f>
        <v>3170</v>
      </c>
      <c r="Q784" s="276">
        <f>IF(BA77&gt;0,ROUND(BA77,0),0)</f>
        <v>0</v>
      </c>
      <c r="R784" s="276">
        <f>IF(BA78&gt;0,ROUND(BA78,0),0)</f>
        <v>801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38*2021*8360*A</v>
      </c>
      <c r="B785" s="276"/>
      <c r="C785" s="278">
        <f>ROUND(BB60,2)</f>
        <v>14.15</v>
      </c>
      <c r="D785" s="276">
        <f>ROUND(BB61,0)</f>
        <v>1232471</v>
      </c>
      <c r="E785" s="276">
        <f>ROUND(BB62,0)</f>
        <v>329897</v>
      </c>
      <c r="F785" s="276">
        <f>ROUND(BB63,0)</f>
        <v>0</v>
      </c>
      <c r="G785" s="276">
        <f>ROUND(BB64,0)</f>
        <v>4014</v>
      </c>
      <c r="H785" s="276">
        <f>ROUND(BB65,0)</f>
        <v>60</v>
      </c>
      <c r="I785" s="276">
        <f>ROUND(BB66,0)</f>
        <v>531827</v>
      </c>
      <c r="J785" s="276">
        <f>ROUND(BB67,0)</f>
        <v>675</v>
      </c>
      <c r="K785" s="276">
        <f>ROUND(BB68,0)</f>
        <v>0</v>
      </c>
      <c r="L785" s="276">
        <f>ROUND(BB69,0)</f>
        <v>25554</v>
      </c>
      <c r="M785" s="276">
        <f>ROUND(BB70,0)</f>
        <v>0</v>
      </c>
      <c r="N785" s="276"/>
      <c r="O785" s="276"/>
      <c r="P785" s="276">
        <f>IF(BB76&gt;0,ROUND(BB76,0),0)</f>
        <v>752</v>
      </c>
      <c r="Q785" s="276">
        <f>IF(BB77&gt;0,ROUND(BB77,0),0)</f>
        <v>0</v>
      </c>
      <c r="R785" s="276">
        <f>IF(BB78&gt;0,ROUND(BB78,0),0)</f>
        <v>190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38*2021*8370*A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38*2021*8420*A</v>
      </c>
      <c r="B787" s="276"/>
      <c r="C787" s="278">
        <f>ROUND(BD60,2)</f>
        <v>25.58</v>
      </c>
      <c r="D787" s="276">
        <f>ROUND(BD61,0)</f>
        <v>1228882</v>
      </c>
      <c r="E787" s="276">
        <f>ROUND(BD62,0)</f>
        <v>328936</v>
      </c>
      <c r="F787" s="276">
        <f>ROUND(BD63,0)</f>
        <v>8319</v>
      </c>
      <c r="G787" s="276">
        <f>ROUND(BD64,0)</f>
        <v>151258</v>
      </c>
      <c r="H787" s="276">
        <f>ROUND(BD65,0)</f>
        <v>0</v>
      </c>
      <c r="I787" s="276">
        <f>ROUND(BD66,0)</f>
        <v>54629</v>
      </c>
      <c r="J787" s="276">
        <f>ROUND(BD67,0)</f>
        <v>11508</v>
      </c>
      <c r="K787" s="276">
        <f>ROUND(BD68,0)</f>
        <v>2125</v>
      </c>
      <c r="L787" s="276">
        <f>ROUND(BD69,0)</f>
        <v>1454969</v>
      </c>
      <c r="M787" s="276">
        <f>ROUND(BD70,0)</f>
        <v>0</v>
      </c>
      <c r="N787" s="276"/>
      <c r="O787" s="276"/>
      <c r="P787" s="276">
        <f>IF(BD76&gt;0,ROUND(BD76,0),0)</f>
        <v>10922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38*2021*8430*A</v>
      </c>
      <c r="B788" s="276">
        <f>ROUND(BE59,0)</f>
        <v>439385</v>
      </c>
      <c r="C788" s="278">
        <f>ROUND(BE60,2)</f>
        <v>20.54</v>
      </c>
      <c r="D788" s="276">
        <f>ROUND(BE61,0)</f>
        <v>1100535</v>
      </c>
      <c r="E788" s="276">
        <f>ROUND(BE62,0)</f>
        <v>294581</v>
      </c>
      <c r="F788" s="276">
        <f>ROUND(BE63,0)</f>
        <v>10468</v>
      </c>
      <c r="G788" s="276">
        <f>ROUND(BE64,0)</f>
        <v>269858</v>
      </c>
      <c r="H788" s="276">
        <f>ROUND(BE65,0)</f>
        <v>2057223</v>
      </c>
      <c r="I788" s="276">
        <f>ROUND(BE66,0)</f>
        <v>200218</v>
      </c>
      <c r="J788" s="276">
        <f>ROUND(BE67,0)</f>
        <v>95008</v>
      </c>
      <c r="K788" s="276">
        <f>ROUND(BE68,0)</f>
        <v>217</v>
      </c>
      <c r="L788" s="276">
        <f>ROUND(BE69,0)</f>
        <v>458447</v>
      </c>
      <c r="M788" s="276">
        <f>ROUND(BE70,0)</f>
        <v>0</v>
      </c>
      <c r="N788" s="276"/>
      <c r="O788" s="276"/>
      <c r="P788" s="276">
        <f>IF(BE76&gt;0,ROUND(BE76,0),0)</f>
        <v>26879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38*2021*8460*A</v>
      </c>
      <c r="B789" s="276"/>
      <c r="C789" s="278">
        <f>ROUND(BF60,2)</f>
        <v>45.61</v>
      </c>
      <c r="D789" s="276">
        <f>ROUND(BF61,0)</f>
        <v>1770476</v>
      </c>
      <c r="E789" s="276">
        <f>ROUND(BF62,0)</f>
        <v>473905</v>
      </c>
      <c r="F789" s="276">
        <f>ROUND(BF63,0)</f>
        <v>0</v>
      </c>
      <c r="G789" s="276">
        <f>ROUND(BF64,0)</f>
        <v>359651</v>
      </c>
      <c r="H789" s="276">
        <f>ROUND(BF65,0)</f>
        <v>0</v>
      </c>
      <c r="I789" s="276">
        <f>ROUND(BF66,0)</f>
        <v>23427</v>
      </c>
      <c r="J789" s="276">
        <f>ROUND(BF67,0)</f>
        <v>3000</v>
      </c>
      <c r="K789" s="276">
        <f>ROUND(BF68,0)</f>
        <v>130</v>
      </c>
      <c r="L789" s="276">
        <f>ROUND(BF69,0)</f>
        <v>1026</v>
      </c>
      <c r="M789" s="276">
        <f>ROUND(BF70,0)</f>
        <v>0</v>
      </c>
      <c r="N789" s="276"/>
      <c r="O789" s="276"/>
      <c r="P789" s="276">
        <f>IF(BF76&gt;0,ROUND(BF76,0),0)</f>
        <v>2050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38*2021*8470*A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38*2021*8480*A</v>
      </c>
      <c r="B791" s="276"/>
      <c r="C791" s="278">
        <f>ROUND(BH60,2)</f>
        <v>29.45</v>
      </c>
      <c r="D791" s="276">
        <f>ROUND(BH61,0)</f>
        <v>2349069</v>
      </c>
      <c r="E791" s="276">
        <f>ROUND(BH62,0)</f>
        <v>628778</v>
      </c>
      <c r="F791" s="276">
        <f>ROUND(BH63,0)</f>
        <v>280103</v>
      </c>
      <c r="G791" s="276">
        <f>ROUND(BH64,0)</f>
        <v>564434</v>
      </c>
      <c r="H791" s="276">
        <f>ROUND(BH65,0)</f>
        <v>647058</v>
      </c>
      <c r="I791" s="276">
        <f>ROUND(BH66,0)</f>
        <v>956702</v>
      </c>
      <c r="J791" s="276">
        <f>ROUND(BH67,0)</f>
        <v>1758153</v>
      </c>
      <c r="K791" s="276">
        <f>ROUND(BH68,0)</f>
        <v>520</v>
      </c>
      <c r="L791" s="276">
        <f>ROUND(BH69,0)</f>
        <v>2773016</v>
      </c>
      <c r="M791" s="276">
        <f>ROUND(BH70,0)</f>
        <v>0</v>
      </c>
      <c r="N791" s="276"/>
      <c r="O791" s="276"/>
      <c r="P791" s="276">
        <f>IF(BH76&gt;0,ROUND(BH76,0),0)</f>
        <v>14636</v>
      </c>
      <c r="Q791" s="276">
        <f>IF(BH77&gt;0,ROUND(BH77,0),0)</f>
        <v>0</v>
      </c>
      <c r="R791" s="276">
        <f>IF(BH78&gt;0,ROUND(BH78,0),0)</f>
        <v>3548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38*2021*8490*A</v>
      </c>
      <c r="B792" s="276"/>
      <c r="C792" s="278">
        <f>ROUND(BI60,2)</f>
        <v>17.39</v>
      </c>
      <c r="D792" s="276">
        <f>ROUND(BI61,0)</f>
        <v>843032</v>
      </c>
      <c r="E792" s="276">
        <f>ROUND(BI62,0)</f>
        <v>225655</v>
      </c>
      <c r="F792" s="276">
        <f>ROUND(BI63,0)</f>
        <v>0</v>
      </c>
      <c r="G792" s="276">
        <f>ROUND(BI64,0)</f>
        <v>8085</v>
      </c>
      <c r="H792" s="276">
        <f>ROUND(BI65,0)</f>
        <v>0</v>
      </c>
      <c r="I792" s="276">
        <f>ROUND(BI66,0)</f>
        <v>186908</v>
      </c>
      <c r="J792" s="276">
        <f>ROUND(BI67,0)</f>
        <v>76048</v>
      </c>
      <c r="K792" s="276">
        <f>ROUND(BI68,0)</f>
        <v>0</v>
      </c>
      <c r="L792" s="276">
        <f>ROUND(BI69,0)</f>
        <v>49481</v>
      </c>
      <c r="M792" s="276">
        <f>ROUND(BI70,0)</f>
        <v>0</v>
      </c>
      <c r="N792" s="276"/>
      <c r="O792" s="276"/>
      <c r="P792" s="276">
        <f>IF(BI76&gt;0,ROUND(BI76,0),0)</f>
        <v>3788</v>
      </c>
      <c r="Q792" s="276">
        <f>IF(BI77&gt;0,ROUND(BI77,0),0)</f>
        <v>0</v>
      </c>
      <c r="R792" s="276">
        <f>IF(BI78&gt;0,ROUND(BI78,0),0)</f>
        <v>47895</v>
      </c>
      <c r="S792" s="276">
        <f>IF(BI79&gt;0,ROUND(BI79,0),0)</f>
        <v>74040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38*2021*8510*A</v>
      </c>
      <c r="B793" s="276"/>
      <c r="C793" s="278">
        <f>ROUND(BJ60,2)</f>
        <v>16.7</v>
      </c>
      <c r="D793" s="276">
        <f>ROUND(BJ61,0)</f>
        <v>1133396</v>
      </c>
      <c r="E793" s="276">
        <f>ROUND(BJ62,0)</f>
        <v>303377</v>
      </c>
      <c r="F793" s="276">
        <f>ROUND(BJ63,0)</f>
        <v>118283</v>
      </c>
      <c r="G793" s="276">
        <f>ROUND(BJ64,0)</f>
        <v>16418</v>
      </c>
      <c r="H793" s="276">
        <f>ROUND(BJ65,0)</f>
        <v>0</v>
      </c>
      <c r="I793" s="276">
        <f>ROUND(BJ66,0)</f>
        <v>288652</v>
      </c>
      <c r="J793" s="276">
        <f>ROUND(BJ67,0)</f>
        <v>14464</v>
      </c>
      <c r="K793" s="276">
        <f>ROUND(BJ68,0)</f>
        <v>0</v>
      </c>
      <c r="L793" s="276">
        <f>ROUND(BJ69,0)</f>
        <v>125273</v>
      </c>
      <c r="M793" s="276">
        <f>ROUND(BJ70,0)</f>
        <v>0</v>
      </c>
      <c r="N793" s="276"/>
      <c r="O793" s="276"/>
      <c r="P793" s="276">
        <f>IF(BJ76&gt;0,ROUND(BJ76,0),0)</f>
        <v>1565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38*2021*8530*A</v>
      </c>
      <c r="B794" s="276"/>
      <c r="C794" s="278">
        <f>ROUND(BK60,2)</f>
        <v>36.97</v>
      </c>
      <c r="D794" s="276">
        <f>ROUND(BK61,0)</f>
        <v>1852483</v>
      </c>
      <c r="E794" s="276">
        <f>ROUND(BK62,0)</f>
        <v>495856</v>
      </c>
      <c r="F794" s="276">
        <f>ROUND(BK63,0)</f>
        <v>0</v>
      </c>
      <c r="G794" s="276">
        <f>ROUND(BK64,0)</f>
        <v>18400</v>
      </c>
      <c r="H794" s="276">
        <f>ROUND(BK65,0)</f>
        <v>0</v>
      </c>
      <c r="I794" s="276">
        <f>ROUND(BK66,0)</f>
        <v>355735</v>
      </c>
      <c r="J794" s="276">
        <f>ROUND(BK67,0)</f>
        <v>1223</v>
      </c>
      <c r="K794" s="276">
        <f>ROUND(BK68,0)</f>
        <v>494</v>
      </c>
      <c r="L794" s="276">
        <f>ROUND(BK69,0)</f>
        <v>391512</v>
      </c>
      <c r="M794" s="276">
        <f>ROUND(BK70,0)</f>
        <v>0</v>
      </c>
      <c r="N794" s="276"/>
      <c r="O794" s="276"/>
      <c r="P794" s="276">
        <f>IF(BK76&gt;0,ROUND(BK76,0),0)</f>
        <v>4617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38*2021*8560*A</v>
      </c>
      <c r="B795" s="276"/>
      <c r="C795" s="278">
        <f>ROUND(BL60,2)</f>
        <v>102.88</v>
      </c>
      <c r="D795" s="276">
        <f>ROUND(BL61,0)</f>
        <v>4081094</v>
      </c>
      <c r="E795" s="276">
        <f>ROUND(BL62,0)</f>
        <v>1092391</v>
      </c>
      <c r="F795" s="276">
        <f>ROUND(BL63,0)</f>
        <v>0</v>
      </c>
      <c r="G795" s="276">
        <f>ROUND(BL64,0)</f>
        <v>44653</v>
      </c>
      <c r="H795" s="276">
        <f>ROUND(BL65,0)</f>
        <v>0</v>
      </c>
      <c r="I795" s="276">
        <f>ROUND(BL66,0)</f>
        <v>49015</v>
      </c>
      <c r="J795" s="276">
        <f>ROUND(BL67,0)</f>
        <v>3713</v>
      </c>
      <c r="K795" s="276">
        <f>ROUND(BL68,0)</f>
        <v>130</v>
      </c>
      <c r="L795" s="276">
        <f>ROUND(BL69,0)</f>
        <v>73970</v>
      </c>
      <c r="M795" s="276">
        <f>ROUND(BL70,0)</f>
        <v>0</v>
      </c>
      <c r="N795" s="276"/>
      <c r="O795" s="276"/>
      <c r="P795" s="276">
        <f>IF(BL76&gt;0,ROUND(BL76,0),0)</f>
        <v>5481</v>
      </c>
      <c r="Q795" s="276">
        <f>IF(BL77&gt;0,ROUND(BL77,0),0)</f>
        <v>0</v>
      </c>
      <c r="R795" s="276">
        <f>IF(BL78&gt;0,ROUND(BL78,0),0)</f>
        <v>1251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38*2021*8590*A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38*2021*8610*A</v>
      </c>
      <c r="B797" s="276"/>
      <c r="C797" s="278">
        <f>ROUND(BN60,2)</f>
        <v>4.1399999999999997</v>
      </c>
      <c r="D797" s="276">
        <f>ROUND(BN61,0)</f>
        <v>782384</v>
      </c>
      <c r="E797" s="276">
        <f>ROUND(BN62,0)</f>
        <v>209421</v>
      </c>
      <c r="F797" s="276">
        <f>ROUND(BN63,0)</f>
        <v>221771</v>
      </c>
      <c r="G797" s="276">
        <f>ROUND(BN64,0)</f>
        <v>15237</v>
      </c>
      <c r="H797" s="276">
        <f>ROUND(BN65,0)</f>
        <v>1260</v>
      </c>
      <c r="I797" s="276">
        <f>ROUND(BN66,0)</f>
        <v>73741</v>
      </c>
      <c r="J797" s="276">
        <f>ROUND(BN67,0)</f>
        <v>9116</v>
      </c>
      <c r="K797" s="276">
        <f>ROUND(BN68,0)</f>
        <v>234</v>
      </c>
      <c r="L797" s="276">
        <f>ROUND(BN69,0)</f>
        <v>342545</v>
      </c>
      <c r="M797" s="276">
        <f>ROUND(BN70,0)</f>
        <v>0</v>
      </c>
      <c r="N797" s="276"/>
      <c r="O797" s="276"/>
      <c r="P797" s="276">
        <f>IF(BN76&gt;0,ROUND(BN76,0),0)</f>
        <v>1917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38*2021*8620*A</v>
      </c>
      <c r="B798" s="276"/>
      <c r="C798" s="278">
        <f>ROUND(BO60,2)</f>
        <v>4.3099999999999996</v>
      </c>
      <c r="D798" s="276">
        <f>ROUND(BO61,0)</f>
        <v>350853</v>
      </c>
      <c r="E798" s="276">
        <f>ROUND(BO62,0)</f>
        <v>93913</v>
      </c>
      <c r="F798" s="276">
        <f>ROUND(BO63,0)</f>
        <v>0</v>
      </c>
      <c r="G798" s="276">
        <f>ROUND(BO64,0)</f>
        <v>49456</v>
      </c>
      <c r="H798" s="276">
        <f>ROUND(BO65,0)</f>
        <v>0</v>
      </c>
      <c r="I798" s="276">
        <f>ROUND(BO66,0)</f>
        <v>0</v>
      </c>
      <c r="J798" s="276">
        <f>ROUND(BO67,0)</f>
        <v>466</v>
      </c>
      <c r="K798" s="276">
        <f>ROUND(BO68,0)</f>
        <v>0</v>
      </c>
      <c r="L798" s="276">
        <f>ROUND(BO69,0)</f>
        <v>187993</v>
      </c>
      <c r="M798" s="276">
        <f>ROUND(BO70,0)</f>
        <v>0</v>
      </c>
      <c r="N798" s="276"/>
      <c r="O798" s="276"/>
      <c r="P798" s="276">
        <f>IF(BO76&gt;0,ROUND(BO76,0),0)</f>
        <v>123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38*2021*8630*A</v>
      </c>
      <c r="B799" s="276"/>
      <c r="C799" s="278">
        <f>ROUND(BP60,2)</f>
        <v>3.89</v>
      </c>
      <c r="D799" s="276">
        <f>ROUND(BP61,0)</f>
        <v>314043</v>
      </c>
      <c r="E799" s="276">
        <f>ROUND(BP62,0)</f>
        <v>84060</v>
      </c>
      <c r="F799" s="276">
        <f>ROUND(BP63,0)</f>
        <v>2406</v>
      </c>
      <c r="G799" s="276">
        <f>ROUND(BP64,0)</f>
        <v>1301</v>
      </c>
      <c r="H799" s="276">
        <f>ROUND(BP65,0)</f>
        <v>0</v>
      </c>
      <c r="I799" s="276">
        <f>ROUND(BP66,0)</f>
        <v>80038</v>
      </c>
      <c r="J799" s="276">
        <f>ROUND(BP67,0)</f>
        <v>1555</v>
      </c>
      <c r="K799" s="276">
        <f>ROUND(BP68,0)</f>
        <v>130</v>
      </c>
      <c r="L799" s="276">
        <f>ROUND(BP69,0)</f>
        <v>210327</v>
      </c>
      <c r="M799" s="276">
        <f>ROUND(BP70,0)</f>
        <v>0</v>
      </c>
      <c r="N799" s="276"/>
      <c r="O799" s="276"/>
      <c r="P799" s="276">
        <f>IF(BP76&gt;0,ROUND(BP76,0),0)</f>
        <v>1591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38*2021*8640*A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38*2021*8650*A</v>
      </c>
      <c r="B801" s="276"/>
      <c r="C801" s="278">
        <f>ROUND(BR60,2)</f>
        <v>17.8</v>
      </c>
      <c r="D801" s="276">
        <f>ROUND(BR61,0)</f>
        <v>1139275</v>
      </c>
      <c r="E801" s="276">
        <f>ROUND(BR62,0)</f>
        <v>304951</v>
      </c>
      <c r="F801" s="276">
        <f>ROUND(BR63,0)</f>
        <v>90731</v>
      </c>
      <c r="G801" s="276">
        <f>ROUND(BR64,0)</f>
        <v>21765</v>
      </c>
      <c r="H801" s="276">
        <f>ROUND(BR65,0)</f>
        <v>0</v>
      </c>
      <c r="I801" s="276">
        <f>ROUND(BR66,0)</f>
        <v>79367</v>
      </c>
      <c r="J801" s="276">
        <f>ROUND(BR67,0)</f>
        <v>13786</v>
      </c>
      <c r="K801" s="276">
        <f>ROUND(BR68,0)</f>
        <v>0</v>
      </c>
      <c r="L801" s="276">
        <f>ROUND(BR69,0)</f>
        <v>864664</v>
      </c>
      <c r="M801" s="276">
        <f>ROUND(BR70,0)</f>
        <v>0</v>
      </c>
      <c r="N801" s="276"/>
      <c r="O801" s="276"/>
      <c r="P801" s="276">
        <f>IF(BR76&gt;0,ROUND(BR76,0),0)</f>
        <v>2942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38*2021*8660*A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38*2021*8670*A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38*2021*8680*A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38*2021*8690*A</v>
      </c>
      <c r="B805" s="276"/>
      <c r="C805" s="278">
        <f>ROUND(BV60,2)</f>
        <v>13.95</v>
      </c>
      <c r="D805" s="276">
        <f>ROUND(BV61,0)</f>
        <v>718791</v>
      </c>
      <c r="E805" s="276">
        <f>ROUND(BV62,0)</f>
        <v>192399</v>
      </c>
      <c r="F805" s="276">
        <f>ROUND(BV63,0)</f>
        <v>0</v>
      </c>
      <c r="G805" s="276">
        <f>ROUND(BV64,0)</f>
        <v>5767</v>
      </c>
      <c r="H805" s="276">
        <f>ROUND(BV65,0)</f>
        <v>0</v>
      </c>
      <c r="I805" s="276">
        <f>ROUND(BV66,0)</f>
        <v>28680</v>
      </c>
      <c r="J805" s="276">
        <f>ROUND(BV67,0)</f>
        <v>2404</v>
      </c>
      <c r="K805" s="276">
        <f>ROUND(BV68,0)</f>
        <v>130</v>
      </c>
      <c r="L805" s="276">
        <f>ROUND(BV69,0)</f>
        <v>93472</v>
      </c>
      <c r="M805" s="276">
        <f>ROUND(BV70,0)</f>
        <v>0</v>
      </c>
      <c r="N805" s="276"/>
      <c r="O805" s="276"/>
      <c r="P805" s="276">
        <f>IF(BV76&gt;0,ROUND(BV76,0),0)</f>
        <v>10332</v>
      </c>
      <c r="Q805" s="276">
        <f>IF(BV77&gt;0,ROUND(BV77,0),0)</f>
        <v>0</v>
      </c>
      <c r="R805" s="276">
        <f>IF(BV78&gt;0,ROUND(BV78,0),0)</f>
        <v>2292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38*2021*8700*A</v>
      </c>
      <c r="B806" s="276"/>
      <c r="C806" s="278">
        <f>ROUND(BW60,2)</f>
        <v>1.99</v>
      </c>
      <c r="D806" s="276">
        <f>ROUND(BW61,0)</f>
        <v>178924</v>
      </c>
      <c r="E806" s="276">
        <f>ROUND(BW62,0)</f>
        <v>47893</v>
      </c>
      <c r="F806" s="276">
        <f>ROUND(BW63,0)</f>
        <v>15000</v>
      </c>
      <c r="G806" s="276">
        <f>ROUND(BW64,0)</f>
        <v>17864</v>
      </c>
      <c r="H806" s="276">
        <f>ROUND(BW65,0)</f>
        <v>0</v>
      </c>
      <c r="I806" s="276">
        <f>ROUND(BW66,0)</f>
        <v>25476</v>
      </c>
      <c r="J806" s="276">
        <f>ROUND(BW67,0)</f>
        <v>3992</v>
      </c>
      <c r="K806" s="276">
        <f>ROUND(BW68,0)</f>
        <v>0</v>
      </c>
      <c r="L806" s="276">
        <f>ROUND(BW69,0)</f>
        <v>22981</v>
      </c>
      <c r="M806" s="276">
        <f>ROUND(BW70,0)</f>
        <v>0</v>
      </c>
      <c r="N806" s="276"/>
      <c r="O806" s="276"/>
      <c r="P806" s="276">
        <f>IF(BW76&gt;0,ROUND(BW76,0),0)</f>
        <v>331</v>
      </c>
      <c r="Q806" s="276">
        <f>IF(BW77&gt;0,ROUND(BW77,0),0)</f>
        <v>0</v>
      </c>
      <c r="R806" s="276">
        <f>IF(BW78&gt;0,ROUND(BW78,0),0)</f>
        <v>84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38*2021*8710*A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38*2021*8720*A</v>
      </c>
      <c r="B808" s="276"/>
      <c r="C808" s="278">
        <f>ROUND(BY60,2)</f>
        <v>13.77</v>
      </c>
      <c r="D808" s="276">
        <f>ROUND(BY61,0)</f>
        <v>1126309</v>
      </c>
      <c r="E808" s="276">
        <f>ROUND(BY62,0)</f>
        <v>301480</v>
      </c>
      <c r="F808" s="276">
        <f>ROUND(BY63,0)</f>
        <v>0</v>
      </c>
      <c r="G808" s="276">
        <f>ROUND(BY64,0)</f>
        <v>5586</v>
      </c>
      <c r="H808" s="276">
        <f>ROUND(BY65,0)</f>
        <v>0</v>
      </c>
      <c r="I808" s="276">
        <f>ROUND(BY66,0)</f>
        <v>104979</v>
      </c>
      <c r="J808" s="276">
        <f>ROUND(BY67,0)</f>
        <v>3337</v>
      </c>
      <c r="K808" s="276">
        <f>ROUND(BY68,0)</f>
        <v>0</v>
      </c>
      <c r="L808" s="276">
        <f>ROUND(BY69,0)</f>
        <v>1062</v>
      </c>
      <c r="M808" s="276">
        <f>ROUND(BY70,0)</f>
        <v>0</v>
      </c>
      <c r="N808" s="276"/>
      <c r="O808" s="276"/>
      <c r="P808" s="276">
        <f>IF(BY76&gt;0,ROUND(BY76,0),0)</f>
        <v>807</v>
      </c>
      <c r="Q808" s="276">
        <f>IF(BY77&gt;0,ROUND(BY77,0),0)</f>
        <v>0</v>
      </c>
      <c r="R808" s="276">
        <f>IF(BY78&gt;0,ROUND(BY78,0),0)</f>
        <v>204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38*2021*8730*A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38*2021*8740*A</v>
      </c>
      <c r="B810" s="276"/>
      <c r="C810" s="278">
        <f>ROUND(CA60,2)</f>
        <v>4.99</v>
      </c>
      <c r="D810" s="276">
        <f>ROUND(CA61,0)</f>
        <v>404223</v>
      </c>
      <c r="E810" s="276">
        <f>ROUND(CA62,0)</f>
        <v>108199</v>
      </c>
      <c r="F810" s="276">
        <f>ROUND(CA63,0)</f>
        <v>0</v>
      </c>
      <c r="G810" s="276">
        <f>ROUND(CA64,0)</f>
        <v>6732</v>
      </c>
      <c r="H810" s="276">
        <f>ROUND(CA65,0)</f>
        <v>0</v>
      </c>
      <c r="I810" s="276">
        <f>ROUND(CA66,0)</f>
        <v>192367</v>
      </c>
      <c r="J810" s="276">
        <f>ROUND(CA67,0)</f>
        <v>13779</v>
      </c>
      <c r="K810" s="276">
        <f>ROUND(CA68,0)</f>
        <v>0</v>
      </c>
      <c r="L810" s="276">
        <f>ROUND(CA69,0)</f>
        <v>7917</v>
      </c>
      <c r="M810" s="276">
        <f>ROUND(CA70,0)</f>
        <v>0</v>
      </c>
      <c r="N810" s="276"/>
      <c r="O810" s="276"/>
      <c r="P810" s="276">
        <f>IF(CA76&gt;0,ROUND(CA76,0),0)</f>
        <v>5334</v>
      </c>
      <c r="Q810" s="276">
        <f>IF(CA77&gt;0,ROUND(CA77,0),0)</f>
        <v>0</v>
      </c>
      <c r="R810" s="276">
        <f>IF(CA78&gt;0,ROUND(CA78,0),0)</f>
        <v>1348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38*2021*8770*A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38*2021*8790*A</v>
      </c>
      <c r="B812" s="276"/>
      <c r="C812" s="278">
        <f>ROUND(CC60,2)</f>
        <v>37.630000000000003</v>
      </c>
      <c r="D812" s="276">
        <f>ROUND(CC61,0)</f>
        <v>4619618</v>
      </c>
      <c r="E812" s="276">
        <f>ROUND(CC62,0)</f>
        <v>1236538</v>
      </c>
      <c r="F812" s="276">
        <f>ROUND(CC63,0)</f>
        <v>85207</v>
      </c>
      <c r="G812" s="276">
        <f>ROUND(CC64,0)</f>
        <v>1867453</v>
      </c>
      <c r="H812" s="276">
        <f>ROUND(CC65,0)</f>
        <v>0</v>
      </c>
      <c r="I812" s="276">
        <f>ROUND(CC66,0)</f>
        <v>4216646</v>
      </c>
      <c r="J812" s="276">
        <f>ROUND(CC67,0)</f>
        <v>5367029</v>
      </c>
      <c r="K812" s="276">
        <f>ROUND(CC68,0)</f>
        <v>28662</v>
      </c>
      <c r="L812" s="276">
        <f>ROUND(CC69,0)</f>
        <v>1653076</v>
      </c>
      <c r="M812" s="276">
        <f>ROUND(CC70,0)</f>
        <v>0</v>
      </c>
      <c r="N812" s="276"/>
      <c r="O812" s="276"/>
      <c r="P812" s="276">
        <f>IF(CC76&gt;0,ROUND(CC76,0),0)</f>
        <v>164587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38*2021*9000*A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0</v>
      </c>
      <c r="W813" s="276">
        <f>ROUND(CE72,0)</f>
        <v>4644110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1410.3200000000002</v>
      </c>
      <c r="D815" s="277">
        <f t="shared" si="22"/>
        <v>116081054</v>
      </c>
      <c r="E815" s="277">
        <f t="shared" si="22"/>
        <v>31071533</v>
      </c>
      <c r="F815" s="277">
        <f t="shared" si="22"/>
        <v>10080534</v>
      </c>
      <c r="G815" s="277">
        <f t="shared" si="22"/>
        <v>40204584</v>
      </c>
      <c r="H815" s="277">
        <f t="shared" si="22"/>
        <v>2738172</v>
      </c>
      <c r="I815" s="277">
        <f t="shared" si="22"/>
        <v>15890460</v>
      </c>
      <c r="J815" s="277">
        <f t="shared" si="22"/>
        <v>11403887</v>
      </c>
      <c r="K815" s="277">
        <f t="shared" si="22"/>
        <v>200497</v>
      </c>
      <c r="L815" s="277">
        <f>SUM(L734:L813)+SUM(U734:U813)</f>
        <v>13032475</v>
      </c>
      <c r="M815" s="277">
        <f>SUM(M734:M813)+SUM(V734:V813)</f>
        <v>0</v>
      </c>
      <c r="N815" s="277">
        <f t="shared" ref="N815:Y815" si="23">SUM(N734:N813)</f>
        <v>499007656</v>
      </c>
      <c r="O815" s="277">
        <f t="shared" si="23"/>
        <v>107288355</v>
      </c>
      <c r="P815" s="277">
        <f t="shared" si="23"/>
        <v>439386</v>
      </c>
      <c r="Q815" s="277">
        <f t="shared" si="23"/>
        <v>52832</v>
      </c>
      <c r="R815" s="277">
        <f t="shared" si="23"/>
        <v>95015</v>
      </c>
      <c r="S815" s="277">
        <f t="shared" si="23"/>
        <v>1266627</v>
      </c>
      <c r="T815" s="281">
        <f t="shared" si="23"/>
        <v>256.98</v>
      </c>
      <c r="U815" s="277">
        <f t="shared" si="23"/>
        <v>0</v>
      </c>
      <c r="V815" s="277">
        <f t="shared" si="23"/>
        <v>0</v>
      </c>
      <c r="W815" s="277">
        <f t="shared" si="23"/>
        <v>4644110</v>
      </c>
      <c r="X815" s="277">
        <f t="shared" si="23"/>
        <v>0</v>
      </c>
      <c r="Y815" s="277">
        <f t="shared" si="23"/>
        <v>66407362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1410.3200000000002</v>
      </c>
      <c r="D816" s="277">
        <f>CE61</f>
        <v>116081054.8</v>
      </c>
      <c r="E816" s="277">
        <f>CE62</f>
        <v>31071533</v>
      </c>
      <c r="F816" s="277">
        <f>CE63</f>
        <v>10080533.549999999</v>
      </c>
      <c r="G816" s="277">
        <f>CE64</f>
        <v>40204584.480000004</v>
      </c>
      <c r="H816" s="280">
        <f>CE65</f>
        <v>2738171.86</v>
      </c>
      <c r="I816" s="280">
        <f>CE66</f>
        <v>15890459.23</v>
      </c>
      <c r="J816" s="280">
        <f>CE67</f>
        <v>11403887</v>
      </c>
      <c r="K816" s="280">
        <f>CE68</f>
        <v>200496.18999999997</v>
      </c>
      <c r="L816" s="280">
        <f>CE69</f>
        <v>13032476.539999999</v>
      </c>
      <c r="M816" s="280">
        <f>CE70</f>
        <v>0</v>
      </c>
      <c r="N816" s="277">
        <f>CE75</f>
        <v>499007653.82800001</v>
      </c>
      <c r="O816" s="277">
        <f>CE73</f>
        <v>107288350.368</v>
      </c>
      <c r="P816" s="277">
        <f>CE76</f>
        <v>439385.0500000001</v>
      </c>
      <c r="Q816" s="277">
        <f>CE77</f>
        <v>52832</v>
      </c>
      <c r="R816" s="277">
        <f>CE78</f>
        <v>95014.409999999989</v>
      </c>
      <c r="S816" s="277">
        <f>CE79</f>
        <v>1266627</v>
      </c>
      <c r="T816" s="281">
        <f>CE80</f>
        <v>256.98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66407362.909999996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116081054.79000001</v>
      </c>
      <c r="E817" s="180">
        <f>C379</f>
        <v>31071532</v>
      </c>
      <c r="F817" s="180">
        <f>C380</f>
        <v>10080533.550000001</v>
      </c>
      <c r="G817" s="240">
        <f>C381</f>
        <v>40211785.07</v>
      </c>
      <c r="H817" s="240">
        <f>C382</f>
        <v>0</v>
      </c>
      <c r="I817" s="240">
        <f>C383</f>
        <v>15890459.23</v>
      </c>
      <c r="J817" s="240">
        <f>C384</f>
        <v>11403886.33</v>
      </c>
      <c r="K817" s="240">
        <f>C385</f>
        <v>200496.19</v>
      </c>
      <c r="L817" s="240">
        <f>C386+C387+C388+C389</f>
        <v>17265856.759999998</v>
      </c>
      <c r="M817" s="240">
        <f>C370</f>
        <v>6041656.0199999996</v>
      </c>
      <c r="N817" s="180">
        <f>D361</f>
        <v>499007653.84999996</v>
      </c>
      <c r="O817" s="180">
        <f>C359</f>
        <v>107288350.39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workbookViewId="0"/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Olympic Medical Center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H-38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939 Caroline Street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939 Caroline Street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Port Angeles, WA  98362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workbookViewId="0"/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H-38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Olympic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Clallam County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Darryl Wolfe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Lorraine Cannon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John Nutter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(360)417-7000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360-417-7445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3841</v>
      </c>
      <c r="G23" s="21">
        <f>data!D111</f>
        <v>14472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442</v>
      </c>
      <c r="G26" s="13">
        <f>data!D114</f>
        <v>794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9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39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15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9</v>
      </c>
      <c r="E34" s="49" t="s">
        <v>291</v>
      </c>
      <c r="F34" s="24"/>
      <c r="G34" s="21">
        <f>data!E127</f>
        <v>82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126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11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workbookViewId="0"/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Olympic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2328</v>
      </c>
      <c r="C7" s="48">
        <f>data!B139</f>
        <v>9454</v>
      </c>
      <c r="D7" s="48">
        <f>data!B140</f>
        <v>312890.39</v>
      </c>
      <c r="E7" s="48">
        <f>data!B141</f>
        <v>66459934.509999998</v>
      </c>
      <c r="F7" s="48">
        <f>data!B142</f>
        <v>223355483.37</v>
      </c>
      <c r="G7" s="48">
        <f>data!B141+data!B142</f>
        <v>289815417.88</v>
      </c>
    </row>
    <row r="8" spans="1:13" ht="20.149999999999999" customHeight="1" x14ac:dyDescent="0.35">
      <c r="A8" s="23" t="s">
        <v>297</v>
      </c>
      <c r="B8" s="48">
        <f>data!C138</f>
        <v>674</v>
      </c>
      <c r="C8" s="48">
        <f>data!C139</f>
        <v>2456</v>
      </c>
      <c r="D8" s="48">
        <f>data!C140</f>
        <v>77020.53</v>
      </c>
      <c r="E8" s="48">
        <f>data!C141</f>
        <v>18815470.309999999</v>
      </c>
      <c r="F8" s="48">
        <f>data!C142</f>
        <v>54980781.490000002</v>
      </c>
      <c r="G8" s="48">
        <f>data!C141+data!C142</f>
        <v>73796251.799999997</v>
      </c>
    </row>
    <row r="9" spans="1:13" ht="20.149999999999999" customHeight="1" x14ac:dyDescent="0.35">
      <c r="A9" s="23" t="s">
        <v>1058</v>
      </c>
      <c r="B9" s="48">
        <f>data!D138</f>
        <v>839</v>
      </c>
      <c r="C9" s="48">
        <f>data!D139</f>
        <v>2562</v>
      </c>
      <c r="D9" s="48">
        <f>data!D140</f>
        <v>158834.07999999999</v>
      </c>
      <c r="E9" s="48">
        <f>data!D141</f>
        <v>22012945.57</v>
      </c>
      <c r="F9" s="48">
        <f>data!D142</f>
        <v>113383038.59999999</v>
      </c>
      <c r="G9" s="48">
        <f>data!D141+data!D142</f>
        <v>135395984.16999999</v>
      </c>
    </row>
    <row r="10" spans="1:13" ht="20.149999999999999" customHeight="1" x14ac:dyDescent="0.35">
      <c r="A10" s="111" t="s">
        <v>203</v>
      </c>
      <c r="B10" s="48">
        <f>data!E138</f>
        <v>3841</v>
      </c>
      <c r="C10" s="48">
        <f>data!E139</f>
        <v>14472</v>
      </c>
      <c r="D10" s="48">
        <f>data!E140</f>
        <v>548745</v>
      </c>
      <c r="E10" s="48">
        <f>data!E141</f>
        <v>107288350.38999999</v>
      </c>
      <c r="F10" s="48">
        <f>data!E142</f>
        <v>391719303.46000004</v>
      </c>
      <c r="G10" s="48">
        <f>data!E141+data!E142</f>
        <v>499007653.85000002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topLeftCell="A22" workbookViewId="0"/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Olympic Medical Center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7918129.4900000002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50917.42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1165556.04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16123225.449999999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94949.45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5005589.8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107639.36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605524.99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31071531.999999996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164536.82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35959.370000000003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200496.19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1486866.68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1486866.68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141615.23000000001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1711749.29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1853364.52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1892925.45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1892925.45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workbookViewId="0"/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Olympic Medical Center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10816981.619999999</v>
      </c>
      <c r="D7" s="21">
        <f>data!C195</f>
        <v>622772.81000000006</v>
      </c>
      <c r="E7" s="21">
        <f>data!D195</f>
        <v>0</v>
      </c>
      <c r="F7" s="21">
        <f>data!E195</f>
        <v>11439754.43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9310500.1899999995</v>
      </c>
      <c r="D8" s="21">
        <f>data!C196</f>
        <v>236420.21</v>
      </c>
      <c r="E8" s="21">
        <f>data!D196</f>
        <v>0</v>
      </c>
      <c r="F8" s="21">
        <f>data!E196</f>
        <v>9546920.4000000004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124186874.83</v>
      </c>
      <c r="D9" s="21">
        <f>data!C197</f>
        <v>2388423.4300000002</v>
      </c>
      <c r="E9" s="21">
        <f>data!D197</f>
        <v>0</v>
      </c>
      <c r="F9" s="21">
        <f>data!E197</f>
        <v>126575298.26000001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35000204.299999997</v>
      </c>
      <c r="D11" s="21">
        <f>data!C199</f>
        <v>349983.12</v>
      </c>
      <c r="E11" s="21">
        <f>data!D199</f>
        <v>0</v>
      </c>
      <c r="F11" s="21">
        <f>data!E199</f>
        <v>35350187.419999994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67339700.760000005</v>
      </c>
      <c r="D12" s="21">
        <f>data!C200</f>
        <v>4356844.08</v>
      </c>
      <c r="E12" s="21">
        <f>data!D200</f>
        <v>468601.82</v>
      </c>
      <c r="F12" s="21">
        <f>data!E200</f>
        <v>71227943.020000011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3039255.76</v>
      </c>
      <c r="D13" s="21">
        <f>data!C201</f>
        <v>0</v>
      </c>
      <c r="E13" s="21">
        <f>data!D201</f>
        <v>0</v>
      </c>
      <c r="F13" s="21">
        <f>data!E201</f>
        <v>3039255.76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362736.46</v>
      </c>
      <c r="D14" s="21">
        <f>data!C202</f>
        <v>0</v>
      </c>
      <c r="E14" s="21">
        <f>data!D202</f>
        <v>0</v>
      </c>
      <c r="F14" s="21">
        <f>data!E202</f>
        <v>362736.46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2078625.92</v>
      </c>
      <c r="D15" s="21">
        <f>data!C203</f>
        <v>4201635.83</v>
      </c>
      <c r="E15" s="21">
        <f>data!D203</f>
        <v>0</v>
      </c>
      <c r="F15" s="21">
        <f>data!E203</f>
        <v>6280261.75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252134879.83999997</v>
      </c>
      <c r="D16" s="21">
        <f>data!C204</f>
        <v>12156079.48</v>
      </c>
      <c r="E16" s="21">
        <f>data!D204</f>
        <v>468601.82</v>
      </c>
      <c r="F16" s="21">
        <f>data!E204</f>
        <v>263822357.5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4305833.04</v>
      </c>
      <c r="D24" s="21">
        <f>data!C209</f>
        <v>494381.44</v>
      </c>
      <c r="E24" s="21">
        <f>data!D209</f>
        <v>0</v>
      </c>
      <c r="F24" s="21">
        <f>data!E209</f>
        <v>4800214.4800000004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58560849.939999998</v>
      </c>
      <c r="D25" s="21">
        <f>data!C210</f>
        <v>4251450.8</v>
      </c>
      <c r="E25" s="21">
        <f>data!D210</f>
        <v>0</v>
      </c>
      <c r="F25" s="21">
        <f>data!E210</f>
        <v>62812300.739999995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21475728.489999998</v>
      </c>
      <c r="D27" s="21">
        <f>data!C212</f>
        <v>1350448.62</v>
      </c>
      <c r="E27" s="21">
        <f>data!D212</f>
        <v>0</v>
      </c>
      <c r="F27" s="21">
        <f>data!E212</f>
        <v>22826177.109999999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44830643.539999999</v>
      </c>
      <c r="D28" s="21">
        <f>data!C213</f>
        <v>5065839.87</v>
      </c>
      <c r="E28" s="21">
        <f>data!D213</f>
        <v>456062</v>
      </c>
      <c r="F28" s="21">
        <f>data!E213</f>
        <v>49440421.409999996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2255932.5499999998</v>
      </c>
      <c r="D29" s="21">
        <f>data!C214</f>
        <v>189339.38</v>
      </c>
      <c r="E29" s="21">
        <f>data!D214</f>
        <v>0</v>
      </c>
      <c r="F29" s="21">
        <f>data!E214</f>
        <v>2445271.9299999997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176465.36</v>
      </c>
      <c r="D30" s="21">
        <f>data!C215</f>
        <v>43634.02</v>
      </c>
      <c r="E30" s="21">
        <f>data!D215</f>
        <v>0</v>
      </c>
      <c r="F30" s="21">
        <f>data!E215</f>
        <v>220099.37999999998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131605452.91999999</v>
      </c>
      <c r="D32" s="21">
        <f>data!C217</f>
        <v>11395094.130000001</v>
      </c>
      <c r="E32" s="21">
        <f>data!D217</f>
        <v>456062</v>
      </c>
      <c r="F32" s="21">
        <f>data!E217</f>
        <v>142544485.05000001</v>
      </c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workbookViewId="0"/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Olympic Medical Center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3897202.8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178709599.91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45825567.390000001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1980172.72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18093454.109999999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12044896.75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-4409.68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256649281.19999999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337305.05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1725754.78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2063059.83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1892617.88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264502161.71000001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view="pageBreakPreview" topLeftCell="A40" zoomScaleNormal="100" zoomScaleSheetLayoutView="100" workbookViewId="0"/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Olympic Medical Center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21579371.82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13962333.24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46247032.93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24663972.579999998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1146016.69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2796847.26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2704831.05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63772460.410000011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6182440.0199999996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35357987.899999999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41540427.920000002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11439754.43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9546920.4000000004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126575298.26000001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35350187.420000002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74267198.780000001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362736.46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6280261.75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263822357.5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142544485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121277872.5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2235448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2235448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228826208.83000001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Olympic Medical Center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8307532.0899999999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12175920.26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3370.18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736308.54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4857002.8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2085113.07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28165246.940000001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50688045.390000001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1064513.1000000001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51752558.490000002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2085113.07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49667445.420000002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150993516.53999999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150993516.53999999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228826208.89999998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Olympic Medical Center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107288350.39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391719303.45999998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499007653.84999996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3897202.8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258541899.08000001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2063059.83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264502161.71000004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234505492.13999993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6041656.0199999996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4644110.22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10685766.239999998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245191258.37999994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116081054.79000001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31071532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10080533.550000001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40211785.07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0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15890459.23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11403886.33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200496.19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1486866.68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1711749.29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14067240.789999999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242205603.92000002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2985654.4599999189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2733161.26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5718815.7199999187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5718815.7199999187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workbookViewId="0"/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Olympic Medical Center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4227</v>
      </c>
      <c r="D9" s="14">
        <f>data!D59</f>
        <v>0</v>
      </c>
      <c r="E9" s="14">
        <f>data!E59</f>
        <v>10245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48.99</v>
      </c>
      <c r="D10" s="26">
        <f>data!D60</f>
        <v>0</v>
      </c>
      <c r="E10" s="26">
        <f>data!E60</f>
        <v>83.72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4517937.28</v>
      </c>
      <c r="D11" s="14">
        <f>data!D61</f>
        <v>0</v>
      </c>
      <c r="E11" s="14">
        <f>data!E61</f>
        <v>7148912.9800000004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1209321</v>
      </c>
      <c r="D12" s="14">
        <f>data!D62</f>
        <v>0</v>
      </c>
      <c r="E12" s="14">
        <f>data!E62</f>
        <v>1913557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68194.64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460799.24</v>
      </c>
      <c r="D14" s="14">
        <f>data!D64</f>
        <v>0</v>
      </c>
      <c r="E14" s="14">
        <f>data!E64</f>
        <v>549632.43000000005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534523.25</v>
      </c>
      <c r="D16" s="14">
        <f>data!D66</f>
        <v>0</v>
      </c>
      <c r="E16" s="14">
        <f>data!E66</f>
        <v>641116.79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64304</v>
      </c>
      <c r="D17" s="14">
        <f>data!D67</f>
        <v>0</v>
      </c>
      <c r="E17" s="14">
        <f>data!E67</f>
        <v>52997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1569.72</v>
      </c>
      <c r="D18" s="14">
        <f>data!D68</f>
        <v>0</v>
      </c>
      <c r="E18" s="14">
        <f>data!E68</f>
        <v>8320.5400000000009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5439.64</v>
      </c>
      <c r="D19" s="14">
        <f>data!D69</f>
        <v>0</v>
      </c>
      <c r="E19" s="14">
        <f>data!E69</f>
        <v>30353.23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6793894.1299999999</v>
      </c>
      <c r="D21" s="14">
        <f>data!D71</f>
        <v>0</v>
      </c>
      <c r="E21" s="14">
        <f>data!E71</f>
        <v>10413084.609999999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3183475</v>
      </c>
      <c r="D23" s="48">
        <f>+data!M669</f>
        <v>0</v>
      </c>
      <c r="E23" s="48">
        <f>+data!M670</f>
        <v>7003611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15903408.75</v>
      </c>
      <c r="D24" s="14">
        <f>data!D73</f>
        <v>0</v>
      </c>
      <c r="E24" s="14">
        <f>data!E73</f>
        <v>26824578.75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615753.25</v>
      </c>
      <c r="D25" s="14">
        <f>data!D74</f>
        <v>0</v>
      </c>
      <c r="E25" s="14">
        <f>data!E74</f>
        <v>3426263.75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16519162</v>
      </c>
      <c r="D26" s="14">
        <f>data!D75</f>
        <v>0</v>
      </c>
      <c r="E26" s="14">
        <f>data!E75</f>
        <v>30250842.5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6300.62</v>
      </c>
      <c r="D28" s="14">
        <f>data!D76</f>
        <v>0</v>
      </c>
      <c r="E28" s="14">
        <f>data!E76</f>
        <v>16024.35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10553</v>
      </c>
      <c r="D29" s="14">
        <f>data!D77</f>
        <v>0</v>
      </c>
      <c r="E29" s="14">
        <f>data!E77</f>
        <v>42279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1592.43</v>
      </c>
      <c r="D30" s="14">
        <f>data!D78</f>
        <v>0</v>
      </c>
      <c r="E30" s="14">
        <f>data!E78</f>
        <v>4050.03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120598</v>
      </c>
      <c r="D31" s="14">
        <f>data!D79</f>
        <v>0</v>
      </c>
      <c r="E31" s="14">
        <f>data!E79</f>
        <v>229772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33</v>
      </c>
      <c r="D32" s="84">
        <f>data!D80</f>
        <v>0</v>
      </c>
      <c r="E32" s="84">
        <f>data!E80</f>
        <v>54.69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Olympic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794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322</v>
      </c>
      <c r="I41" s="14">
        <f>data!P59</f>
        <v>297602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5.34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3.24</v>
      </c>
      <c r="I42" s="26">
        <f>data!P60</f>
        <v>36.97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576813.85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350208.41</v>
      </c>
      <c r="I43" s="14">
        <f>data!P61</f>
        <v>2794653.01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154396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93741</v>
      </c>
      <c r="I44" s="14">
        <f>data!P62</f>
        <v>748048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43460.93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26387</v>
      </c>
      <c r="I46" s="14">
        <f>data!P64</f>
        <v>7022444.6900000004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80585.2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48926.73</v>
      </c>
      <c r="I48" s="14">
        <f>data!P66</f>
        <v>208530.59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7696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4672</v>
      </c>
      <c r="I49" s="14">
        <f>data!P67</f>
        <v>563604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7950.86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8298.93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5038.6400000000003</v>
      </c>
      <c r="I51" s="14">
        <f>data!P69</f>
        <v>409554.81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871250.91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528973.77999999991</v>
      </c>
      <c r="I53" s="14">
        <f>data!P71</f>
        <v>11754785.959999999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358048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246527</v>
      </c>
      <c r="I55" s="48">
        <f>+data!M681</f>
        <v>5269903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2128376.6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1292228.6499999999</v>
      </c>
      <c r="I56" s="14">
        <f>data!P73</f>
        <v>9532600.7400000002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254990.4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154815.6</v>
      </c>
      <c r="I57" s="14">
        <f>data!P74</f>
        <v>36051978.43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2383367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1447044.25</v>
      </c>
      <c r="I58" s="14">
        <f>data!P75</f>
        <v>45584579.170000002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1838.22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1116.06</v>
      </c>
      <c r="I60" s="14">
        <f>data!P76</f>
        <v>7841.97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464.6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282.08</v>
      </c>
      <c r="I62" s="14">
        <f>data!P78</f>
        <v>1982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15052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54086</v>
      </c>
      <c r="I63" s="14">
        <f>data!P79</f>
        <v>117438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4.42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2.68</v>
      </c>
      <c r="I64" s="26">
        <f>data!P80</f>
        <v>15.57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Olympic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188405</v>
      </c>
      <c r="D73" s="48">
        <f>data!R59</f>
        <v>413977</v>
      </c>
      <c r="E73" s="212"/>
      <c r="F73" s="212"/>
      <c r="G73" s="14">
        <f>data!U59</f>
        <v>748874</v>
      </c>
      <c r="H73" s="14">
        <f>data!V59</f>
        <v>30977</v>
      </c>
      <c r="I73" s="14">
        <f>data!W59</f>
        <v>7355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6.48</v>
      </c>
      <c r="D74" s="26">
        <f>data!R60</f>
        <v>2.8</v>
      </c>
      <c r="E74" s="26">
        <f>data!S60</f>
        <v>11.37</v>
      </c>
      <c r="F74" s="26">
        <f>data!T60</f>
        <v>0.61</v>
      </c>
      <c r="G74" s="26">
        <f>data!U60</f>
        <v>70.38</v>
      </c>
      <c r="H74" s="26">
        <f>data!V60</f>
        <v>31.51</v>
      </c>
      <c r="I74" s="26">
        <f>data!W60</f>
        <v>7.61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602184.88</v>
      </c>
      <c r="D75" s="14">
        <f>data!R61</f>
        <v>261410.48</v>
      </c>
      <c r="E75" s="14">
        <f>data!S61</f>
        <v>519545.46</v>
      </c>
      <c r="F75" s="14">
        <f>data!T61</f>
        <v>71300.92</v>
      </c>
      <c r="G75" s="14">
        <f>data!U61</f>
        <v>4477102.83</v>
      </c>
      <c r="H75" s="14">
        <f>data!V61</f>
        <v>2456234.29</v>
      </c>
      <c r="I75" s="14">
        <f>data!W61</f>
        <v>703217.24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161187</v>
      </c>
      <c r="D76" s="14">
        <f>data!R62</f>
        <v>69972</v>
      </c>
      <c r="E76" s="14">
        <f>data!S62</f>
        <v>139067</v>
      </c>
      <c r="F76" s="14">
        <f>data!T62</f>
        <v>19085</v>
      </c>
      <c r="G76" s="14">
        <f>data!U62</f>
        <v>1198391</v>
      </c>
      <c r="H76" s="14">
        <f>data!V62</f>
        <v>657463</v>
      </c>
      <c r="I76" s="14">
        <f>data!W62</f>
        <v>188231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1029393</v>
      </c>
      <c r="E77" s="14">
        <f>data!S63</f>
        <v>0</v>
      </c>
      <c r="F77" s="14">
        <f>data!T63</f>
        <v>0</v>
      </c>
      <c r="G77" s="14">
        <f>data!U63</f>
        <v>41250</v>
      </c>
      <c r="H77" s="14">
        <f>data!V63</f>
        <v>177800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31719.42</v>
      </c>
      <c r="D78" s="14">
        <f>data!R64</f>
        <v>216144.13</v>
      </c>
      <c r="E78" s="14">
        <f>data!S64</f>
        <v>193870.5</v>
      </c>
      <c r="F78" s="14">
        <f>data!T64</f>
        <v>97925.440000000002</v>
      </c>
      <c r="G78" s="14">
        <f>data!U64</f>
        <v>1815914.05</v>
      </c>
      <c r="H78" s="14">
        <f>data!V64</f>
        <v>363219.01</v>
      </c>
      <c r="I78" s="14">
        <f>data!W64</f>
        <v>51644.23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800.37</v>
      </c>
      <c r="H79" s="14">
        <f>data!V65</f>
        <v>2452.46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2887063.77</v>
      </c>
      <c r="H80" s="14">
        <f>data!V66</f>
        <v>509.1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449</v>
      </c>
      <c r="D81" s="14">
        <f>data!R67</f>
        <v>52382</v>
      </c>
      <c r="E81" s="14">
        <f>data!S67</f>
        <v>143946</v>
      </c>
      <c r="F81" s="14">
        <f>data!T67</f>
        <v>0</v>
      </c>
      <c r="G81" s="14">
        <f>data!U67</f>
        <v>297277</v>
      </c>
      <c r="H81" s="14">
        <f>data!V67</f>
        <v>213710</v>
      </c>
      <c r="I81" s="14">
        <f>data!W67</f>
        <v>218819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129.96</v>
      </c>
      <c r="F82" s="14">
        <f>data!T68</f>
        <v>0</v>
      </c>
      <c r="G82" s="14">
        <f>data!U68</f>
        <v>27241.21</v>
      </c>
      <c r="H82" s="14">
        <f>data!V68</f>
        <v>337.56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1308.6300000000001</v>
      </c>
      <c r="D83" s="14">
        <f>data!R69</f>
        <v>1593.26</v>
      </c>
      <c r="E83" s="14">
        <f>data!S69</f>
        <v>39584.379999999997</v>
      </c>
      <c r="F83" s="14">
        <f>data!T69</f>
        <v>0</v>
      </c>
      <c r="G83" s="14">
        <f>data!U69</f>
        <v>441786.91</v>
      </c>
      <c r="H83" s="14">
        <f>data!V69</f>
        <v>63238.02</v>
      </c>
      <c r="I83" s="14">
        <f>data!W69</f>
        <v>344417.97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796848.93</v>
      </c>
      <c r="D85" s="14">
        <f>data!R71</f>
        <v>1630894.8699999999</v>
      </c>
      <c r="E85" s="14">
        <f>data!S71</f>
        <v>1036143.2999999999</v>
      </c>
      <c r="F85" s="14">
        <f>data!T71</f>
        <v>188311.36</v>
      </c>
      <c r="G85" s="14">
        <f>data!U71</f>
        <v>11186827.140000001</v>
      </c>
      <c r="H85" s="14">
        <f>data!V71</f>
        <v>3934963.44</v>
      </c>
      <c r="I85" s="14">
        <f>data!W71</f>
        <v>1506329.44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404606</v>
      </c>
      <c r="D87" s="48">
        <f>+data!M683</f>
        <v>527422</v>
      </c>
      <c r="E87" s="48">
        <f>+data!M684</f>
        <v>253743</v>
      </c>
      <c r="F87" s="48">
        <f>+data!M685</f>
        <v>80874</v>
      </c>
      <c r="G87" s="48">
        <f>+data!M686</f>
        <v>5093674</v>
      </c>
      <c r="H87" s="48">
        <f>+data!M687</f>
        <v>1847469</v>
      </c>
      <c r="I87" s="48">
        <f>+data!M688</f>
        <v>1296615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812059</v>
      </c>
      <c r="D88" s="14">
        <f>data!R73</f>
        <v>1030808</v>
      </c>
      <c r="E88" s="14">
        <f>data!S73</f>
        <v>0</v>
      </c>
      <c r="F88" s="14">
        <f>data!T73</f>
        <v>488910.25</v>
      </c>
      <c r="G88" s="14">
        <f>data!U73</f>
        <v>10127895.92</v>
      </c>
      <c r="H88" s="14">
        <f>data!V73</f>
        <v>1741052.84</v>
      </c>
      <c r="I88" s="14">
        <f>data!W73</f>
        <v>1050032.95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1965775.25</v>
      </c>
      <c r="D89" s="14">
        <f>data!R74</f>
        <v>3670580.25</v>
      </c>
      <c r="E89" s="14">
        <f>data!S74</f>
        <v>0</v>
      </c>
      <c r="F89" s="14">
        <f>data!T74</f>
        <v>203865</v>
      </c>
      <c r="G89" s="14">
        <f>data!U74</f>
        <v>44464271.5</v>
      </c>
      <c r="H89" s="14">
        <f>data!V74</f>
        <v>15988022.699999999</v>
      </c>
      <c r="I89" s="14">
        <f>data!W74</f>
        <v>17170262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2777834.25</v>
      </c>
      <c r="D90" s="14">
        <f>data!R75</f>
        <v>4701388.25</v>
      </c>
      <c r="E90" s="14">
        <f>data!S75</f>
        <v>0</v>
      </c>
      <c r="F90" s="14">
        <f>data!T75</f>
        <v>692775.25</v>
      </c>
      <c r="G90" s="14">
        <f>data!U75</f>
        <v>54592167.420000002</v>
      </c>
      <c r="H90" s="14">
        <f>data!V75</f>
        <v>17729075.539999999</v>
      </c>
      <c r="I90" s="14">
        <f>data!W75</f>
        <v>18220294.949999999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1720.47</v>
      </c>
      <c r="D92" s="14">
        <f>data!R76</f>
        <v>500.56</v>
      </c>
      <c r="E92" s="14">
        <f>data!S76</f>
        <v>3093.06</v>
      </c>
      <c r="F92" s="14">
        <f>data!T76</f>
        <v>0</v>
      </c>
      <c r="G92" s="14">
        <f>data!U76</f>
        <v>8720.26</v>
      </c>
      <c r="H92" s="14">
        <f>data!V76</f>
        <v>9062.01</v>
      </c>
      <c r="I92" s="14">
        <f>data!W76</f>
        <v>1197.6600000000001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434.84</v>
      </c>
      <c r="D94" s="14">
        <f>data!R78</f>
        <v>126.51</v>
      </c>
      <c r="E94" s="14">
        <f>data!S78</f>
        <v>781.75</v>
      </c>
      <c r="F94" s="14">
        <f>data!T78</f>
        <v>0</v>
      </c>
      <c r="G94" s="14">
        <f>data!U78</f>
        <v>2115.42</v>
      </c>
      <c r="H94" s="14">
        <f>data!V78</f>
        <v>2290.35</v>
      </c>
      <c r="I94" s="14">
        <f>data!W78</f>
        <v>302.7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31119</v>
      </c>
      <c r="D95" s="14">
        <f>data!R79</f>
        <v>0</v>
      </c>
      <c r="E95" s="14">
        <f>data!S79</f>
        <v>18890</v>
      </c>
      <c r="F95" s="14">
        <f>data!T79</f>
        <v>0</v>
      </c>
      <c r="G95" s="14">
        <f>data!U79</f>
        <v>1877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6.47</v>
      </c>
      <c r="D96" s="84">
        <f>data!R80</f>
        <v>1.83</v>
      </c>
      <c r="E96" s="84">
        <f>data!S80</f>
        <v>0</v>
      </c>
      <c r="F96" s="84">
        <f>data!T80</f>
        <v>0.61</v>
      </c>
      <c r="G96" s="84">
        <f>data!U80</f>
        <v>0</v>
      </c>
      <c r="H96" s="84">
        <f>data!V80</f>
        <v>2.25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Olympic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22178</v>
      </c>
      <c r="D105" s="14">
        <f>data!Y59</f>
        <v>77488</v>
      </c>
      <c r="E105" s="14">
        <f>data!Z59</f>
        <v>0</v>
      </c>
      <c r="F105" s="14">
        <f>data!AA59</f>
        <v>695</v>
      </c>
      <c r="G105" s="212"/>
      <c r="H105" s="14">
        <f>data!AC59</f>
        <v>18650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11.2</v>
      </c>
      <c r="D106" s="26">
        <f>data!Y60</f>
        <v>67.45</v>
      </c>
      <c r="E106" s="26">
        <f>data!Z60</f>
        <v>22.31</v>
      </c>
      <c r="F106" s="26">
        <f>data!AA60</f>
        <v>0.94</v>
      </c>
      <c r="G106" s="26">
        <f>data!AB60</f>
        <v>22.95</v>
      </c>
      <c r="H106" s="26">
        <f>data!AC60</f>
        <v>10.69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956585.57</v>
      </c>
      <c r="D107" s="14">
        <f>data!Y61</f>
        <v>4891213.29</v>
      </c>
      <c r="E107" s="14">
        <f>data!Z61</f>
        <v>2688005.54</v>
      </c>
      <c r="F107" s="14">
        <f>data!AA61</f>
        <v>93509.4</v>
      </c>
      <c r="G107" s="14">
        <f>data!AB61</f>
        <v>2529030.75</v>
      </c>
      <c r="H107" s="14">
        <f>data!AC61</f>
        <v>937665.17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256050</v>
      </c>
      <c r="D108" s="14">
        <f>data!Y62</f>
        <v>1309236</v>
      </c>
      <c r="E108" s="14">
        <f>data!Z62</f>
        <v>719501</v>
      </c>
      <c r="F108" s="14">
        <f>data!AA62</f>
        <v>25030</v>
      </c>
      <c r="G108" s="14">
        <f>data!AB62</f>
        <v>676948</v>
      </c>
      <c r="H108" s="14">
        <f>data!AC62</f>
        <v>250986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12000</v>
      </c>
      <c r="E109" s="14">
        <f>data!Z63</f>
        <v>6192.08</v>
      </c>
      <c r="F109" s="14">
        <f>data!AA63</f>
        <v>0</v>
      </c>
      <c r="G109" s="14">
        <f>data!AB63</f>
        <v>55358.15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179360.03</v>
      </c>
      <c r="D110" s="14">
        <f>data!Y64</f>
        <v>387033.28</v>
      </c>
      <c r="E110" s="14">
        <f>data!Z64</f>
        <v>60778.17</v>
      </c>
      <c r="F110" s="14">
        <f>data!AA64</f>
        <v>563086.52</v>
      </c>
      <c r="G110" s="14">
        <f>data!AB64</f>
        <v>19447267.690000001</v>
      </c>
      <c r="H110" s="14">
        <f>data!AC64</f>
        <v>173351.96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150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9520</v>
      </c>
      <c r="D112" s="14">
        <f>data!Y66</f>
        <v>797531.77</v>
      </c>
      <c r="E112" s="14">
        <f>data!Z66</f>
        <v>478753.1</v>
      </c>
      <c r="F112" s="14">
        <f>data!AA66</f>
        <v>5331.2</v>
      </c>
      <c r="G112" s="14">
        <f>data!AB66</f>
        <v>433920.42</v>
      </c>
      <c r="H112" s="14">
        <f>data!AC66</f>
        <v>587558.75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73659</v>
      </c>
      <c r="D113" s="14">
        <f>data!Y67</f>
        <v>594495</v>
      </c>
      <c r="E113" s="14">
        <f>data!Z67</f>
        <v>359523</v>
      </c>
      <c r="F113" s="14">
        <f>data!AA67</f>
        <v>13026</v>
      </c>
      <c r="G113" s="14">
        <f>data!AB67</f>
        <v>203546</v>
      </c>
      <c r="H113" s="14">
        <f>data!AC67</f>
        <v>51588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27106.43</v>
      </c>
      <c r="E114" s="14">
        <f>data!Z68</f>
        <v>0</v>
      </c>
      <c r="F114" s="14">
        <f>data!AA68</f>
        <v>0</v>
      </c>
      <c r="G114" s="14">
        <f>data!AB68</f>
        <v>129.96</v>
      </c>
      <c r="H114" s="14">
        <f>data!AC68</f>
        <v>5711.42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130027.86</v>
      </c>
      <c r="D115" s="14">
        <f>data!Y69</f>
        <v>764899.49</v>
      </c>
      <c r="E115" s="14">
        <f>data!Z69</f>
        <v>381955.78</v>
      </c>
      <c r="F115" s="14">
        <f>data!AA69</f>
        <v>57476.32</v>
      </c>
      <c r="G115" s="14">
        <f>data!AB69</f>
        <v>1023242.72</v>
      </c>
      <c r="H115" s="14">
        <f>data!AC69</f>
        <v>13323.99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1605202.46</v>
      </c>
      <c r="D117" s="14">
        <f>data!Y71</f>
        <v>8783515.2599999998</v>
      </c>
      <c r="E117" s="14">
        <f>data!Z71</f>
        <v>4694858.6700000009</v>
      </c>
      <c r="F117" s="14">
        <f>data!AA71</f>
        <v>757459.44</v>
      </c>
      <c r="G117" s="14">
        <f>data!AB71</f>
        <v>24369443.690000001</v>
      </c>
      <c r="H117" s="14">
        <f>data!AC71</f>
        <v>2020185.2899999998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2555530</v>
      </c>
      <c r="D119" s="48">
        <f>+data!M690</f>
        <v>3843187</v>
      </c>
      <c r="E119" s="48">
        <f>+data!M691</f>
        <v>1777648</v>
      </c>
      <c r="F119" s="48">
        <f>+data!M692</f>
        <v>280968</v>
      </c>
      <c r="G119" s="48">
        <f>+data!M693</f>
        <v>9176591</v>
      </c>
      <c r="H119" s="48">
        <f>+data!M694</f>
        <v>599702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6771052.6900000004</v>
      </c>
      <c r="D120" s="14">
        <f>data!Y73</f>
        <v>2703319.72</v>
      </c>
      <c r="E120" s="14">
        <f>data!Z73</f>
        <v>64755.5</v>
      </c>
      <c r="F120" s="14">
        <f>data!AA73</f>
        <v>106463.83</v>
      </c>
      <c r="G120" s="14">
        <f>data!AB73</f>
        <v>13026694.119999999</v>
      </c>
      <c r="H120" s="14">
        <f>data!AC73</f>
        <v>2797905.25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32357085.43</v>
      </c>
      <c r="D121" s="14">
        <f>data!Y74</f>
        <v>32602840.079999998</v>
      </c>
      <c r="E121" s="14">
        <f>data!Z74</f>
        <v>16848251.449999999</v>
      </c>
      <c r="F121" s="14">
        <f>data!AA74</f>
        <v>1952362.15</v>
      </c>
      <c r="G121" s="14">
        <f>data!AB74</f>
        <v>59653185.490000002</v>
      </c>
      <c r="H121" s="14">
        <f>data!AC74</f>
        <v>1502306.25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39128138.119999997</v>
      </c>
      <c r="D122" s="14">
        <f>data!Y75</f>
        <v>35306159.799999997</v>
      </c>
      <c r="E122" s="14">
        <f>data!Z75</f>
        <v>16913006.949999999</v>
      </c>
      <c r="F122" s="14">
        <f>data!AA75</f>
        <v>2058825.98</v>
      </c>
      <c r="G122" s="14">
        <f>data!AB75</f>
        <v>72679879.609999999</v>
      </c>
      <c r="H122" s="14">
        <f>data!AC75</f>
        <v>4300211.5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1261.94</v>
      </c>
      <c r="D124" s="14">
        <f>data!Y76</f>
        <v>18896.240000000002</v>
      </c>
      <c r="E124" s="14">
        <f>data!Z76</f>
        <v>6046.97</v>
      </c>
      <c r="F124" s="14">
        <f>data!AA76</f>
        <v>599.78</v>
      </c>
      <c r="G124" s="14">
        <f>data!AB76</f>
        <v>2337.7600000000002</v>
      </c>
      <c r="H124" s="14">
        <f>data!AC76</f>
        <v>2844.88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318.95</v>
      </c>
      <c r="D126" s="14">
        <f>data!Y78</f>
        <v>4404.25</v>
      </c>
      <c r="E126" s="14">
        <f>data!Z78</f>
        <v>1528.33</v>
      </c>
      <c r="F126" s="14">
        <f>data!AA78</f>
        <v>151.59</v>
      </c>
      <c r="G126" s="14">
        <f>data!AB78</f>
        <v>590.85</v>
      </c>
      <c r="H126" s="14">
        <f>data!AC78</f>
        <v>719.02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117691</v>
      </c>
      <c r="E127" s="14">
        <f>data!Z79</f>
        <v>18952</v>
      </c>
      <c r="F127" s="14">
        <f>data!AA79</f>
        <v>0</v>
      </c>
      <c r="G127" s="14">
        <f>data!AB79</f>
        <v>135</v>
      </c>
      <c r="H127" s="14">
        <f>data!AC79</f>
        <v>120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3.45</v>
      </c>
      <c r="E128" s="26">
        <f>data!Z80</f>
        <v>1.99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Olympic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89937</v>
      </c>
      <c r="D137" s="14">
        <f>data!AF59</f>
        <v>0</v>
      </c>
      <c r="E137" s="14">
        <f>data!AG59</f>
        <v>25003</v>
      </c>
      <c r="F137" s="14">
        <f>data!AH59</f>
        <v>0</v>
      </c>
      <c r="G137" s="14"/>
      <c r="H137" s="14">
        <f>data!AJ59</f>
        <v>182822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43.05</v>
      </c>
      <c r="D138" s="26">
        <f>data!AF60</f>
        <v>0</v>
      </c>
      <c r="E138" s="26">
        <f>data!AG60</f>
        <v>59.27</v>
      </c>
      <c r="F138" s="26">
        <f>data!AH60</f>
        <v>0</v>
      </c>
      <c r="G138" s="26">
        <f>data!AI60</f>
        <v>23.73</v>
      </c>
      <c r="H138" s="26">
        <f>data!AJ60</f>
        <v>292.11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3525667.47</v>
      </c>
      <c r="D139" s="14">
        <f>data!AF61</f>
        <v>0</v>
      </c>
      <c r="E139" s="14">
        <f>data!AG61</f>
        <v>5300010.75</v>
      </c>
      <c r="F139" s="14">
        <f>data!AH61</f>
        <v>0</v>
      </c>
      <c r="G139" s="14">
        <f>data!AI61</f>
        <v>2131467.1800000002</v>
      </c>
      <c r="H139" s="14">
        <f>data!AJ61</f>
        <v>31950676.800000001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943719</v>
      </c>
      <c r="D140" s="14">
        <f>data!AF62</f>
        <v>0</v>
      </c>
      <c r="E140" s="14">
        <f>data!AG62</f>
        <v>1418659</v>
      </c>
      <c r="F140" s="14">
        <f>data!AH62</f>
        <v>0</v>
      </c>
      <c r="G140" s="14">
        <f>data!AI62</f>
        <v>570532</v>
      </c>
      <c r="H140" s="14">
        <f>data!AJ62</f>
        <v>8552270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5145209.09</v>
      </c>
      <c r="F141" s="14">
        <f>data!AH63</f>
        <v>0</v>
      </c>
      <c r="G141" s="14">
        <f>data!AI63</f>
        <v>0</v>
      </c>
      <c r="H141" s="14">
        <f>data!AJ63</f>
        <v>2547588.4500000002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63488.33</v>
      </c>
      <c r="D142" s="14">
        <f>data!AF64</f>
        <v>0</v>
      </c>
      <c r="E142" s="14">
        <f>data!AG64</f>
        <v>723463.5</v>
      </c>
      <c r="F142" s="14">
        <f>data!AH64</f>
        <v>0</v>
      </c>
      <c r="G142" s="14">
        <f>data!AI64</f>
        <v>263196.02</v>
      </c>
      <c r="H142" s="14">
        <f>data!AJ64</f>
        <v>2809188.18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228.67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45610.25</v>
      </c>
      <c r="D144" s="14">
        <f>data!AF66</f>
        <v>0</v>
      </c>
      <c r="E144" s="14">
        <f>data!AG66</f>
        <v>505753.55</v>
      </c>
      <c r="F144" s="14">
        <f>data!AH66</f>
        <v>10364.25</v>
      </c>
      <c r="G144" s="14">
        <f>data!AI66</f>
        <v>0</v>
      </c>
      <c r="H144" s="14">
        <f>data!AJ66</f>
        <v>217166.7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9487</v>
      </c>
      <c r="D145" s="14">
        <f>data!AF67</f>
        <v>0</v>
      </c>
      <c r="E145" s="14">
        <f>data!AG67</f>
        <v>113786</v>
      </c>
      <c r="F145" s="14">
        <f>data!AH67</f>
        <v>0</v>
      </c>
      <c r="G145" s="14">
        <f>data!AI67</f>
        <v>35920</v>
      </c>
      <c r="H145" s="14">
        <f>data!AJ67</f>
        <v>836015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4400.37</v>
      </c>
      <c r="D146" s="14">
        <f>data!AF68</f>
        <v>0</v>
      </c>
      <c r="E146" s="14">
        <f>data!AG68</f>
        <v>129.96</v>
      </c>
      <c r="F146" s="14">
        <f>data!AH68</f>
        <v>0</v>
      </c>
      <c r="G146" s="14">
        <f>data!AI68</f>
        <v>0</v>
      </c>
      <c r="H146" s="14">
        <f>data!AJ68</f>
        <v>24047.3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13767.4</v>
      </c>
      <c r="D147" s="14">
        <f>data!AF69</f>
        <v>0</v>
      </c>
      <c r="E147" s="14">
        <f>data!AG69</f>
        <v>34572.46</v>
      </c>
      <c r="F147" s="14">
        <f>data!AH69</f>
        <v>0</v>
      </c>
      <c r="G147" s="14">
        <f>data!AI69</f>
        <v>4228.08</v>
      </c>
      <c r="H147" s="14">
        <f>data!AJ69</f>
        <v>148326.19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4606139.8200000012</v>
      </c>
      <c r="D149" s="14">
        <f>data!AF71</f>
        <v>0</v>
      </c>
      <c r="E149" s="14">
        <f>data!AG71</f>
        <v>13241584.310000002</v>
      </c>
      <c r="F149" s="14">
        <f>data!AH71</f>
        <v>10364.25</v>
      </c>
      <c r="G149" s="14">
        <f>data!AI71</f>
        <v>3005343.2800000003</v>
      </c>
      <c r="H149" s="14">
        <f>data!AJ71</f>
        <v>47085507.289999999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1357529</v>
      </c>
      <c r="D151" s="48">
        <f>+data!M697</f>
        <v>0</v>
      </c>
      <c r="E151" s="48">
        <f>+data!M698</f>
        <v>4673322</v>
      </c>
      <c r="F151" s="48">
        <f>+data!M699</f>
        <v>3231</v>
      </c>
      <c r="G151" s="48">
        <f>+data!M700</f>
        <v>945597</v>
      </c>
      <c r="H151" s="48">
        <f>+data!M701</f>
        <v>12483895</v>
      </c>
      <c r="I151" s="48">
        <f>+data!M702</f>
        <v>65068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1306734.5</v>
      </c>
      <c r="D152" s="14">
        <f>data!AF73</f>
        <v>0</v>
      </c>
      <c r="E152" s="14">
        <f>data!AG73</f>
        <v>5951381.75</v>
      </c>
      <c r="F152" s="14">
        <f>data!AH73</f>
        <v>0</v>
      </c>
      <c r="G152" s="14">
        <f>data!AI73</f>
        <v>15049.5</v>
      </c>
      <c r="H152" s="14">
        <f>data!AJ73</f>
        <v>74242.058000000005</v>
      </c>
      <c r="I152" s="14">
        <f>data!AK73</f>
        <v>250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6365279.25</v>
      </c>
      <c r="D153" s="14">
        <f>data!AF74</f>
        <v>0</v>
      </c>
      <c r="E153" s="14">
        <f>data!AG74</f>
        <v>29833326.780000001</v>
      </c>
      <c r="F153" s="14">
        <f>data!AH74</f>
        <v>0</v>
      </c>
      <c r="G153" s="14">
        <f>data!AI74</f>
        <v>2434768</v>
      </c>
      <c r="H153" s="14">
        <f>data!AJ74</f>
        <v>72657374.299999997</v>
      </c>
      <c r="I153" s="14">
        <f>data!AK74</f>
        <v>1113257.75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7672013.75</v>
      </c>
      <c r="D154" s="14">
        <f>data!AF75</f>
        <v>0</v>
      </c>
      <c r="E154" s="14">
        <f>data!AG75</f>
        <v>35784708.530000001</v>
      </c>
      <c r="F154" s="14">
        <f>data!AH75</f>
        <v>0</v>
      </c>
      <c r="G154" s="14">
        <f>data!AI75</f>
        <v>2449817.5</v>
      </c>
      <c r="H154" s="14">
        <f>data!AJ75</f>
        <v>72731616.357999995</v>
      </c>
      <c r="I154" s="14">
        <f>data!AK75</f>
        <v>1113507.75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9733.8799999999992</v>
      </c>
      <c r="D156" s="14">
        <f>data!AF76</f>
        <v>0</v>
      </c>
      <c r="E156" s="14">
        <f>data!AG76</f>
        <v>6022.48</v>
      </c>
      <c r="F156" s="14">
        <f>data!AH76</f>
        <v>97.77</v>
      </c>
      <c r="G156" s="14">
        <f>data!AI76</f>
        <v>5193.58</v>
      </c>
      <c r="H156" s="14">
        <f>data!AJ76</f>
        <v>51071.11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2460.16</v>
      </c>
      <c r="D158" s="14">
        <f>data!AF78</f>
        <v>0</v>
      </c>
      <c r="E158" s="14">
        <f>data!AG78</f>
        <v>1522.14</v>
      </c>
      <c r="F158" s="14">
        <f>data!AH78</f>
        <v>24.71</v>
      </c>
      <c r="G158" s="14">
        <f>data!AI78</f>
        <v>1312.64</v>
      </c>
      <c r="H158" s="14">
        <f>data!AJ78</f>
        <v>8950.48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33061</v>
      </c>
      <c r="D159" s="14">
        <f>data!AF79</f>
        <v>0</v>
      </c>
      <c r="E159" s="14">
        <f>data!AG79</f>
        <v>308393</v>
      </c>
      <c r="F159" s="14">
        <f>data!AH79</f>
        <v>0</v>
      </c>
      <c r="G159" s="14">
        <f>data!AI79</f>
        <v>72901</v>
      </c>
      <c r="H159" s="14">
        <f>data!AJ79</f>
        <v>48162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40.78</v>
      </c>
      <c r="F160" s="26">
        <f>data!AH80</f>
        <v>0</v>
      </c>
      <c r="G160" s="26">
        <f>data!AI80</f>
        <v>18.02</v>
      </c>
      <c r="H160" s="26">
        <f>data!AJ80</f>
        <v>48.2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Olympic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49870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68.5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5449069.4100000001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1458558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16750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243510.38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27860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935874.17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7391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129.96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239864.65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8379007.5700000003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40943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2065867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8260.5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692398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9157050.1999999993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700658.5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9157050.1999999993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4731.8500000000004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714.36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20.41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Olympic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18.53</v>
      </c>
      <c r="G202" s="26">
        <f>data!AW60</f>
        <v>0</v>
      </c>
      <c r="H202" s="26">
        <f>data!AX60</f>
        <v>1.01</v>
      </c>
      <c r="I202" s="26">
        <f>data!AY60</f>
        <v>3.67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3832255.55</v>
      </c>
      <c r="G203" s="14">
        <f>data!AW61</f>
        <v>0</v>
      </c>
      <c r="H203" s="14">
        <f>data!AX61</f>
        <v>54050.98</v>
      </c>
      <c r="I203" s="14">
        <f>data!AY61</f>
        <v>1485393.53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1025784</v>
      </c>
      <c r="G204" s="14">
        <f>data!AW62</f>
        <v>0</v>
      </c>
      <c r="H204" s="14">
        <f>data!AX62</f>
        <v>14468</v>
      </c>
      <c r="I204" s="14">
        <f>data!AY62</f>
        <v>397597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148510.99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18457.62</v>
      </c>
      <c r="G206" s="14">
        <f>data!AW64</f>
        <v>0</v>
      </c>
      <c r="H206" s="14">
        <f>data!AX64</f>
        <v>55792.959999999999</v>
      </c>
      <c r="I206" s="14">
        <f>data!AY64</f>
        <v>734308.29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1080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233.55</v>
      </c>
      <c r="G208" s="14">
        <f>data!AW66</f>
        <v>0</v>
      </c>
      <c r="H208" s="14">
        <f>data!AX66</f>
        <v>1075.3699999999999</v>
      </c>
      <c r="I208" s="14">
        <f>data!AY66</f>
        <v>12103.87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1413</v>
      </c>
      <c r="G209" s="14">
        <f>data!AW67</f>
        <v>0</v>
      </c>
      <c r="H209" s="14">
        <f>data!AX67</f>
        <v>10669</v>
      </c>
      <c r="I209" s="14">
        <f>data!AY67</f>
        <v>60038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60259.92</v>
      </c>
      <c r="G210" s="14">
        <f>data!AW68</f>
        <v>0</v>
      </c>
      <c r="H210" s="14">
        <f>data!AX68</f>
        <v>129.96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6919.91</v>
      </c>
      <c r="G211" s="14">
        <f>data!AW69</f>
        <v>0</v>
      </c>
      <c r="H211" s="14">
        <f>data!AX69</f>
        <v>5.38</v>
      </c>
      <c r="I211" s="14">
        <f>data!AY69</f>
        <v>105192.78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5094914.54</v>
      </c>
      <c r="G213" s="14">
        <f>data!AW71</f>
        <v>0</v>
      </c>
      <c r="H213" s="14">
        <f>data!AX71</f>
        <v>136191.65</v>
      </c>
      <c r="I213" s="14">
        <f>data!AY71</f>
        <v>2794633.47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972317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3530288.5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583240.19999999995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4113528.7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2417.65</v>
      </c>
      <c r="G220" s="14">
        <f>data!AW76</f>
        <v>0</v>
      </c>
      <c r="H220" s="14">
        <f>data!AX76</f>
        <v>1020.73</v>
      </c>
      <c r="I220" s="85">
        <f>data!AY76</f>
        <v>6739.93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282.39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4340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2.61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Olympic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439385.0500000001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36.04</v>
      </c>
      <c r="D234" s="26">
        <f>data!BA60</f>
        <v>8.11</v>
      </c>
      <c r="E234" s="26">
        <f>data!BB60</f>
        <v>14.15</v>
      </c>
      <c r="F234" s="26">
        <f>data!BC60</f>
        <v>0</v>
      </c>
      <c r="G234" s="26">
        <f>data!BD60</f>
        <v>25.58</v>
      </c>
      <c r="H234" s="26">
        <f>data!BE60</f>
        <v>20.54</v>
      </c>
      <c r="I234" s="26">
        <f>data!BF60</f>
        <v>45.61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223169.66</v>
      </c>
      <c r="D235" s="14">
        <f>data!BA61</f>
        <v>327903.93</v>
      </c>
      <c r="E235" s="14">
        <f>data!BB61</f>
        <v>1232471.47</v>
      </c>
      <c r="F235" s="14">
        <f>data!BC61</f>
        <v>0</v>
      </c>
      <c r="G235" s="14">
        <f>data!BD61</f>
        <v>1228882.44</v>
      </c>
      <c r="H235" s="14">
        <f>data!BE61</f>
        <v>1100535.08</v>
      </c>
      <c r="I235" s="14">
        <f>data!BF61</f>
        <v>1770475.6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59736</v>
      </c>
      <c r="D236" s="14">
        <f>data!BA62</f>
        <v>87770</v>
      </c>
      <c r="E236" s="14">
        <f>data!BB62</f>
        <v>329897</v>
      </c>
      <c r="F236" s="14">
        <f>data!BC62</f>
        <v>0</v>
      </c>
      <c r="G236" s="14">
        <f>data!BD62</f>
        <v>328936</v>
      </c>
      <c r="H236" s="14">
        <f>data!BE62</f>
        <v>294581</v>
      </c>
      <c r="I236" s="14">
        <f>data!BF62</f>
        <v>473905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8319.16</v>
      </c>
      <c r="H237" s="14">
        <f>data!BE63</f>
        <v>10468.25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1270.19</v>
      </c>
      <c r="D238" s="14">
        <f>data!BA64</f>
        <v>179939.18</v>
      </c>
      <c r="E238" s="14">
        <f>data!BB64</f>
        <v>4014.08</v>
      </c>
      <c r="F238" s="14">
        <f>data!BC64</f>
        <v>0</v>
      </c>
      <c r="G238" s="14">
        <f>data!BD64</f>
        <v>151257.51999999999</v>
      </c>
      <c r="H238" s="14">
        <f>data!BE64</f>
        <v>269857.99</v>
      </c>
      <c r="I238" s="14">
        <f>data!BF64</f>
        <v>359651.27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60</v>
      </c>
      <c r="F239" s="14">
        <f>data!BC65</f>
        <v>0</v>
      </c>
      <c r="G239" s="14">
        <f>data!BD65</f>
        <v>0</v>
      </c>
      <c r="H239" s="14">
        <f>data!BE65</f>
        <v>2057222.74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531827</v>
      </c>
      <c r="F240" s="14">
        <f>data!BC66</f>
        <v>0</v>
      </c>
      <c r="G240" s="14">
        <f>data!BD66</f>
        <v>54629.41</v>
      </c>
      <c r="H240" s="14">
        <f>data!BE66</f>
        <v>200217.83</v>
      </c>
      <c r="I240" s="14">
        <f>data!BF66</f>
        <v>23426.83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2725</v>
      </c>
      <c r="D241" s="14">
        <f>data!BA67</f>
        <v>31494</v>
      </c>
      <c r="E241" s="14">
        <f>data!BB67</f>
        <v>675</v>
      </c>
      <c r="F241" s="14">
        <f>data!BC67</f>
        <v>0</v>
      </c>
      <c r="G241" s="14">
        <f>data!BD67</f>
        <v>11508</v>
      </c>
      <c r="H241" s="14">
        <f>data!BE67</f>
        <v>95008</v>
      </c>
      <c r="I241" s="14">
        <f>data!BF67</f>
        <v>3000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129.96</v>
      </c>
      <c r="E242" s="14">
        <f>data!BB68</f>
        <v>0</v>
      </c>
      <c r="F242" s="14">
        <f>data!BC68</f>
        <v>0</v>
      </c>
      <c r="G242" s="14">
        <f>data!BD68</f>
        <v>2124.88</v>
      </c>
      <c r="H242" s="14">
        <f>data!BE68</f>
        <v>216.96</v>
      </c>
      <c r="I242" s="14">
        <f>data!BF68</f>
        <v>129.96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9806.43</v>
      </c>
      <c r="D243" s="14">
        <f>data!BA69</f>
        <v>10966.87</v>
      </c>
      <c r="E243" s="14">
        <f>data!BB69</f>
        <v>25553.88</v>
      </c>
      <c r="F243" s="14">
        <f>data!BC69</f>
        <v>0</v>
      </c>
      <c r="G243" s="14">
        <f>data!BD69</f>
        <v>1454968.8</v>
      </c>
      <c r="H243" s="14">
        <f>data!BE69</f>
        <v>458447.23</v>
      </c>
      <c r="I243" s="14">
        <f>data!BF69</f>
        <v>1026.3699999999999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296707.28000000003</v>
      </c>
      <c r="D245" s="14">
        <f>data!BA71</f>
        <v>638203.93999999994</v>
      </c>
      <c r="E245" s="14">
        <f>data!BB71</f>
        <v>2124498.4299999997</v>
      </c>
      <c r="F245" s="14">
        <f>data!BC71</f>
        <v>0</v>
      </c>
      <c r="G245" s="14">
        <f>data!BD71</f>
        <v>3240626.21</v>
      </c>
      <c r="H245" s="14">
        <f>data!BE71</f>
        <v>4486555.08</v>
      </c>
      <c r="I245" s="14">
        <f>data!BF71</f>
        <v>2631615.0300000003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1129.03</v>
      </c>
      <c r="D252" s="85">
        <f>data!BA76</f>
        <v>3169.97</v>
      </c>
      <c r="E252" s="85">
        <f>data!BB76</f>
        <v>751.78</v>
      </c>
      <c r="F252" s="85">
        <f>data!BC76</f>
        <v>0</v>
      </c>
      <c r="G252" s="85">
        <f>data!BD76</f>
        <v>10922.31</v>
      </c>
      <c r="H252" s="85">
        <f>data!BE76</f>
        <v>26879.279999999999</v>
      </c>
      <c r="I252" s="85">
        <f>data!BF76</f>
        <v>2050.0500000000002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801.19</v>
      </c>
      <c r="E254" s="85">
        <f>data!BB78</f>
        <v>190.01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Olympic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29.45</v>
      </c>
      <c r="E266" s="26">
        <f>data!BI60</f>
        <v>17.39</v>
      </c>
      <c r="F266" s="26">
        <f>data!BJ60</f>
        <v>16.7</v>
      </c>
      <c r="G266" s="26">
        <f>data!BK60</f>
        <v>36.97</v>
      </c>
      <c r="H266" s="26">
        <f>data!BL60</f>
        <v>102.88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2349068.75</v>
      </c>
      <c r="E267" s="14">
        <f>data!BI61</f>
        <v>843031.98</v>
      </c>
      <c r="F267" s="14">
        <f>data!BJ61</f>
        <v>1133395.8400000001</v>
      </c>
      <c r="G267" s="14">
        <f>data!BK61</f>
        <v>1852483.05</v>
      </c>
      <c r="H267" s="14">
        <f>data!BL61</f>
        <v>4081094.2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628778</v>
      </c>
      <c r="E268" s="14">
        <f>data!BI62</f>
        <v>225655</v>
      </c>
      <c r="F268" s="14">
        <f>data!BJ62</f>
        <v>303377</v>
      </c>
      <c r="G268" s="14">
        <f>data!BK62</f>
        <v>495856</v>
      </c>
      <c r="H268" s="14">
        <f>data!BL62</f>
        <v>1092391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280102.53999999998</v>
      </c>
      <c r="E269" s="14">
        <f>data!BI63</f>
        <v>0</v>
      </c>
      <c r="F269" s="14">
        <f>data!BJ63</f>
        <v>118282.83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564433.55000000005</v>
      </c>
      <c r="E270" s="14">
        <f>data!BI64</f>
        <v>8085.22</v>
      </c>
      <c r="F270" s="14">
        <f>data!BJ64</f>
        <v>16418.46</v>
      </c>
      <c r="G270" s="14">
        <f>data!BK64</f>
        <v>18399.97</v>
      </c>
      <c r="H270" s="14">
        <f>data!BL64</f>
        <v>44652.87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647057.62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956701.72</v>
      </c>
      <c r="E272" s="14">
        <f>data!BI66</f>
        <v>186908.03</v>
      </c>
      <c r="F272" s="14">
        <f>data!BJ66</f>
        <v>288651.95</v>
      </c>
      <c r="G272" s="14">
        <f>data!BK66</f>
        <v>355735.03999999998</v>
      </c>
      <c r="H272" s="14">
        <f>data!BL66</f>
        <v>49015.15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1758153</v>
      </c>
      <c r="E273" s="14">
        <f>data!BI67</f>
        <v>76048</v>
      </c>
      <c r="F273" s="14">
        <f>data!BJ67</f>
        <v>14464</v>
      </c>
      <c r="G273" s="14">
        <f>data!BK67</f>
        <v>1223</v>
      </c>
      <c r="H273" s="14">
        <f>data!BL67</f>
        <v>3713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519.72</v>
      </c>
      <c r="E274" s="14">
        <f>data!BI68</f>
        <v>0</v>
      </c>
      <c r="F274" s="14">
        <f>data!BJ68</f>
        <v>0</v>
      </c>
      <c r="G274" s="14">
        <f>data!BK68</f>
        <v>493.56</v>
      </c>
      <c r="H274" s="14">
        <f>data!BL68</f>
        <v>129.96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2773016</v>
      </c>
      <c r="E275" s="14">
        <f>data!BI69</f>
        <v>49480.84</v>
      </c>
      <c r="F275" s="14">
        <f>data!BJ69</f>
        <v>125273.1</v>
      </c>
      <c r="G275" s="14">
        <f>data!BK69</f>
        <v>391511.92</v>
      </c>
      <c r="H275" s="14">
        <f>data!BL69</f>
        <v>73970.16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9957830.8999999985</v>
      </c>
      <c r="E277" s="14">
        <f>data!BI71</f>
        <v>1389209.07</v>
      </c>
      <c r="F277" s="14">
        <f>data!BJ71</f>
        <v>1999863.1800000002</v>
      </c>
      <c r="G277" s="14">
        <f>data!BK71</f>
        <v>3115702.54</v>
      </c>
      <c r="H277" s="14">
        <f>data!BL71</f>
        <v>5344966.3400000008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14635.82</v>
      </c>
      <c r="E284" s="85">
        <f>data!BI76</f>
        <v>3788.29</v>
      </c>
      <c r="F284" s="85">
        <f>data!BJ76</f>
        <v>1565.08</v>
      </c>
      <c r="G284" s="85">
        <f>data!BK76</f>
        <v>4617.05</v>
      </c>
      <c r="H284" s="85">
        <f>data!BL76</f>
        <v>5480.68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3547.6</v>
      </c>
      <c r="E286" s="85">
        <f>data!BI78</f>
        <v>47894.52</v>
      </c>
      <c r="F286" s="213" t="str">
        <f>IF(data!BJ78&gt;0,data!BJ78,"")</f>
        <v>x</v>
      </c>
      <c r="G286" s="85">
        <f>data!BK78</f>
        <v>0</v>
      </c>
      <c r="H286" s="85">
        <f>data!BL78</f>
        <v>1250.83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74040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Olympic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4.1399999999999997</v>
      </c>
      <c r="D298" s="26">
        <f>data!BO60</f>
        <v>4.3099999999999996</v>
      </c>
      <c r="E298" s="26">
        <f>data!BP60</f>
        <v>3.89</v>
      </c>
      <c r="F298" s="26">
        <f>data!BQ60</f>
        <v>0</v>
      </c>
      <c r="G298" s="26">
        <f>data!BR60</f>
        <v>17.8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782383.67</v>
      </c>
      <c r="D299" s="14">
        <f>data!BO61</f>
        <v>350853.1</v>
      </c>
      <c r="E299" s="14">
        <f>data!BP61</f>
        <v>314042.83</v>
      </c>
      <c r="F299" s="14">
        <f>data!BQ61</f>
        <v>0</v>
      </c>
      <c r="G299" s="14">
        <f>data!BR61</f>
        <v>1139274.81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209421</v>
      </c>
      <c r="D300" s="14">
        <f>data!BO62</f>
        <v>93913</v>
      </c>
      <c r="E300" s="14">
        <f>data!BP62</f>
        <v>84060</v>
      </c>
      <c r="F300" s="14">
        <f>data!BQ62</f>
        <v>0</v>
      </c>
      <c r="G300" s="14">
        <f>data!BR62</f>
        <v>304951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221770.66</v>
      </c>
      <c r="D301" s="14">
        <f>data!BO63</f>
        <v>0</v>
      </c>
      <c r="E301" s="14">
        <f>data!BP63</f>
        <v>2405.52</v>
      </c>
      <c r="F301" s="14">
        <f>data!BQ63</f>
        <v>0</v>
      </c>
      <c r="G301" s="14">
        <f>data!BR63</f>
        <v>90731.15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15237.06</v>
      </c>
      <c r="D302" s="14">
        <f>data!BO64</f>
        <v>49455.56</v>
      </c>
      <c r="E302" s="14">
        <f>data!BP64</f>
        <v>1300.6600000000001</v>
      </c>
      <c r="F302" s="14">
        <f>data!BQ64</f>
        <v>0</v>
      </c>
      <c r="G302" s="14">
        <f>data!BR64</f>
        <v>21765.13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1260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73741.009999999995</v>
      </c>
      <c r="D304" s="14">
        <f>data!BO66</f>
        <v>0</v>
      </c>
      <c r="E304" s="14">
        <f>data!BP66</f>
        <v>80037.899999999994</v>
      </c>
      <c r="F304" s="14">
        <f>data!BQ66</f>
        <v>0</v>
      </c>
      <c r="G304" s="14">
        <f>data!BR66</f>
        <v>79367.210000000006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9116</v>
      </c>
      <c r="D305" s="14">
        <f>data!BO67</f>
        <v>466</v>
      </c>
      <c r="E305" s="14">
        <f>data!BP67</f>
        <v>1555</v>
      </c>
      <c r="F305" s="14">
        <f>data!BQ67</f>
        <v>0</v>
      </c>
      <c r="G305" s="14">
        <f>data!BR67</f>
        <v>13786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233.76</v>
      </c>
      <c r="D306" s="14">
        <f>data!BO68</f>
        <v>0</v>
      </c>
      <c r="E306" s="14">
        <f>data!BP68</f>
        <v>129.96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342545.46</v>
      </c>
      <c r="D307" s="14">
        <f>data!BO69</f>
        <v>187992.64</v>
      </c>
      <c r="E307" s="14">
        <f>data!BP69</f>
        <v>210327.39</v>
      </c>
      <c r="F307" s="14">
        <f>data!BQ69</f>
        <v>0</v>
      </c>
      <c r="G307" s="14">
        <f>data!BR69</f>
        <v>864663.98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1655708.62</v>
      </c>
      <c r="D309" s="14">
        <f>data!BO71</f>
        <v>682680.3</v>
      </c>
      <c r="E309" s="14">
        <f>data!BP71</f>
        <v>693859.26</v>
      </c>
      <c r="F309" s="14">
        <f>data!BQ71</f>
        <v>0</v>
      </c>
      <c r="G309" s="14">
        <f>data!BR71</f>
        <v>2514539.2799999998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1916.88</v>
      </c>
      <c r="D316" s="85">
        <f>data!BO76</f>
        <v>122.76</v>
      </c>
      <c r="E316" s="85">
        <f>data!BP76</f>
        <v>1590.75</v>
      </c>
      <c r="F316" s="85">
        <f>data!BQ76</f>
        <v>0</v>
      </c>
      <c r="G316" s="85">
        <f>data!BR76</f>
        <v>2942.39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Olympic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13.95</v>
      </c>
      <c r="E330" s="26">
        <f>data!BW60</f>
        <v>1.99</v>
      </c>
      <c r="F330" s="26">
        <f>data!BX60</f>
        <v>0</v>
      </c>
      <c r="G330" s="26">
        <f>data!BY60</f>
        <v>13.77</v>
      </c>
      <c r="H330" s="26">
        <f>data!BZ60</f>
        <v>0</v>
      </c>
      <c r="I330" s="26">
        <f>data!CA60</f>
        <v>4.99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718790.75</v>
      </c>
      <c r="E331" s="86">
        <f>data!BW61</f>
        <v>178924.08</v>
      </c>
      <c r="F331" s="86">
        <f>data!BX61</f>
        <v>0</v>
      </c>
      <c r="G331" s="86">
        <f>data!BY61</f>
        <v>1126309.0900000001</v>
      </c>
      <c r="H331" s="86">
        <f>data!BZ61</f>
        <v>0</v>
      </c>
      <c r="I331" s="86">
        <f>data!CA61</f>
        <v>404223.14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192399</v>
      </c>
      <c r="E332" s="86">
        <f>data!BW62</f>
        <v>47893</v>
      </c>
      <c r="F332" s="86">
        <f>data!BX62</f>
        <v>0</v>
      </c>
      <c r="G332" s="86">
        <f>data!BY62</f>
        <v>301480</v>
      </c>
      <c r="H332" s="86">
        <f>data!BZ62</f>
        <v>0</v>
      </c>
      <c r="I332" s="86">
        <f>data!CA62</f>
        <v>108199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15000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5766.68</v>
      </c>
      <c r="E334" s="86">
        <f>data!BW64</f>
        <v>17863.89</v>
      </c>
      <c r="F334" s="86">
        <f>data!BX64</f>
        <v>0</v>
      </c>
      <c r="G334" s="86">
        <f>data!BY64</f>
        <v>5586.35</v>
      </c>
      <c r="H334" s="86">
        <f>data!BZ64</f>
        <v>0</v>
      </c>
      <c r="I334" s="86">
        <f>data!CA64</f>
        <v>6732.18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28680.49</v>
      </c>
      <c r="E336" s="86">
        <f>data!BW66</f>
        <v>25475.9</v>
      </c>
      <c r="F336" s="86">
        <f>data!BX66</f>
        <v>0</v>
      </c>
      <c r="G336" s="86">
        <f>data!BY66</f>
        <v>104978.5</v>
      </c>
      <c r="H336" s="86">
        <f>data!BZ66</f>
        <v>0</v>
      </c>
      <c r="I336" s="86">
        <f>data!CA66</f>
        <v>192366.66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2404</v>
      </c>
      <c r="E337" s="86">
        <f>data!BW67</f>
        <v>3992</v>
      </c>
      <c r="F337" s="86">
        <f>data!BX67</f>
        <v>0</v>
      </c>
      <c r="G337" s="86">
        <f>data!BY67</f>
        <v>3337</v>
      </c>
      <c r="H337" s="86">
        <f>data!BZ67</f>
        <v>0</v>
      </c>
      <c r="I337" s="86">
        <f>data!CA67</f>
        <v>13779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129.96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93472.08</v>
      </c>
      <c r="E339" s="86">
        <f>data!BW69</f>
        <v>22980.75</v>
      </c>
      <c r="F339" s="86">
        <f>data!BX69</f>
        <v>0</v>
      </c>
      <c r="G339" s="86">
        <f>data!BY69</f>
        <v>1062.18</v>
      </c>
      <c r="H339" s="86">
        <f>data!BZ69</f>
        <v>0</v>
      </c>
      <c r="I339" s="86">
        <f>data!CA69</f>
        <v>7917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1041642.96</v>
      </c>
      <c r="E341" s="14">
        <f>data!BW71</f>
        <v>312129.62</v>
      </c>
      <c r="F341" s="14">
        <f>data!BX71</f>
        <v>0</v>
      </c>
      <c r="G341" s="14">
        <f>data!BY71</f>
        <v>1542753.12</v>
      </c>
      <c r="H341" s="14">
        <f>data!BZ71</f>
        <v>0</v>
      </c>
      <c r="I341" s="14">
        <f>data!CA71</f>
        <v>733216.98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10331.67</v>
      </c>
      <c r="E348" s="85">
        <f>data!BW76</f>
        <v>331.03</v>
      </c>
      <c r="F348" s="85">
        <f>data!BX76</f>
        <v>0</v>
      </c>
      <c r="G348" s="85">
        <f>data!BY76</f>
        <v>807.15</v>
      </c>
      <c r="H348" s="85">
        <f>data!BZ76</f>
        <v>0</v>
      </c>
      <c r="I348" s="85">
        <f>data!CA76</f>
        <v>5334.4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2291.7800000000002</v>
      </c>
      <c r="E350" s="85">
        <f>data!BW78</f>
        <v>83.67</v>
      </c>
      <c r="F350" s="85">
        <f>data!BX78</f>
        <v>0</v>
      </c>
      <c r="G350" s="85">
        <f>data!BY78</f>
        <v>204</v>
      </c>
      <c r="H350" s="85">
        <f>data!BZ78</f>
        <v>0</v>
      </c>
      <c r="I350" s="85">
        <f>data!CA78</f>
        <v>1348.23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Olympic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37.630000000000003</v>
      </c>
      <c r="E362" s="217"/>
      <c r="F362" s="211"/>
      <c r="G362" s="211"/>
      <c r="H362" s="211"/>
      <c r="I362" s="87">
        <f>data!CE60</f>
        <v>1410.3200000000002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4619618.3099999996</v>
      </c>
      <c r="E363" s="218"/>
      <c r="F363" s="219"/>
      <c r="G363" s="219"/>
      <c r="H363" s="219"/>
      <c r="I363" s="86">
        <f>data!CE61</f>
        <v>116081054.8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1236538</v>
      </c>
      <c r="E364" s="218"/>
      <c r="F364" s="219"/>
      <c r="G364" s="219"/>
      <c r="H364" s="219"/>
      <c r="I364" s="86">
        <f>data!CE62</f>
        <v>31071533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85207.039999999994</v>
      </c>
      <c r="E365" s="218"/>
      <c r="F365" s="219"/>
      <c r="G365" s="219"/>
      <c r="H365" s="219"/>
      <c r="I365" s="86">
        <f>data!CE63</f>
        <v>10080533.549999999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1867452.67</v>
      </c>
      <c r="E366" s="218"/>
      <c r="F366" s="219"/>
      <c r="G366" s="219"/>
      <c r="H366" s="219"/>
      <c r="I366" s="86">
        <f>data!CE64</f>
        <v>40204584.480000004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2738171.86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4216646.22</v>
      </c>
      <c r="E368" s="218"/>
      <c r="F368" s="219"/>
      <c r="G368" s="219"/>
      <c r="H368" s="219"/>
      <c r="I368" s="86">
        <f>data!CE66</f>
        <v>15890459.23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5367029</v>
      </c>
      <c r="E369" s="218"/>
      <c r="F369" s="219"/>
      <c r="G369" s="219"/>
      <c r="H369" s="219"/>
      <c r="I369" s="86">
        <f>data!CE67</f>
        <v>11403887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28662.38</v>
      </c>
      <c r="E370" s="218"/>
      <c r="F370" s="219"/>
      <c r="G370" s="219"/>
      <c r="H370" s="219"/>
      <c r="I370" s="86">
        <f>data!CE68</f>
        <v>200496.18999999997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1653076.03</v>
      </c>
      <c r="E371" s="86">
        <f>data!CD69</f>
        <v>0</v>
      </c>
      <c r="F371" s="219"/>
      <c r="G371" s="219"/>
      <c r="H371" s="219"/>
      <c r="I371" s="86">
        <f>data!CE69</f>
        <v>13032476.539999999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19074229.649999999</v>
      </c>
      <c r="E373" s="86">
        <f>data!CD71</f>
        <v>0</v>
      </c>
      <c r="F373" s="219"/>
      <c r="G373" s="219"/>
      <c r="H373" s="219"/>
      <c r="I373" s="14">
        <f>data!CE71</f>
        <v>240703196.65000004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-4644110.22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107288350.368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391719303.45999998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499007653.82800001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164586.89000000001</v>
      </c>
      <c r="E380" s="214"/>
      <c r="F380" s="211"/>
      <c r="G380" s="211"/>
      <c r="H380" s="211"/>
      <c r="I380" s="14">
        <f>data!CE76</f>
        <v>439385.0500000001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52832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95014.409999999989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1266627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256.98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P49" transitionEvaluation="1" transitionEntry="1" codeName="Sheet10">
    <pageSetUpPr autoPageBreaks="0" fitToPage="1"/>
  </sheetPr>
  <dimension ref="A1:CF816"/>
  <sheetViews>
    <sheetView topLeftCell="BP49" workbookViewId="0">
      <selection activeCell="CE73" sqref="CE73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3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">
      <c r="A3" s="199"/>
      <c r="C3" s="235"/>
    </row>
    <row r="4" spans="1:6" ht="12.75" customHeight="1" x14ac:dyDescent="0.3">
      <c r="C4" s="235"/>
    </row>
    <row r="5" spans="1:6" ht="12.75" customHeight="1" x14ac:dyDescent="0.3">
      <c r="A5" s="199" t="s">
        <v>1258</v>
      </c>
      <c r="C5" s="235"/>
    </row>
    <row r="6" spans="1:6" ht="12.75" customHeight="1" x14ac:dyDescent="0.3">
      <c r="A6" s="199" t="s">
        <v>0</v>
      </c>
      <c r="C6" s="235"/>
    </row>
    <row r="7" spans="1:6" ht="12.75" customHeight="1" x14ac:dyDescent="0.3">
      <c r="A7" s="199" t="s">
        <v>1</v>
      </c>
      <c r="C7" s="235"/>
    </row>
    <row r="8" spans="1:6" ht="12.75" customHeight="1" x14ac:dyDescent="0.3">
      <c r="C8" s="235"/>
    </row>
    <row r="9" spans="1:6" ht="12.75" customHeight="1" x14ac:dyDescent="0.3">
      <c r="C9" s="235"/>
    </row>
    <row r="10" spans="1:6" ht="12.75" customHeight="1" x14ac:dyDescent="0.3">
      <c r="A10" s="198" t="s">
        <v>1228</v>
      </c>
      <c r="C10" s="235"/>
    </row>
    <row r="11" spans="1:6" ht="12.75" customHeight="1" x14ac:dyDescent="0.3">
      <c r="A11" s="198" t="s">
        <v>1230</v>
      </c>
      <c r="C11" s="235"/>
    </row>
    <row r="12" spans="1:6" ht="12.75" customHeight="1" x14ac:dyDescent="0.3">
      <c r="C12" s="235"/>
    </row>
    <row r="13" spans="1:6" ht="12.75" customHeight="1" x14ac:dyDescent="0.3">
      <c r="C13" s="235"/>
    </row>
    <row r="14" spans="1:6" ht="12.75" customHeight="1" x14ac:dyDescent="0.3">
      <c r="A14" s="199" t="s">
        <v>2</v>
      </c>
      <c r="C14" s="235"/>
    </row>
    <row r="15" spans="1:6" ht="12.75" customHeight="1" x14ac:dyDescent="0.3">
      <c r="A15" s="199"/>
      <c r="C15" s="235"/>
    </row>
    <row r="16" spans="1:6" ht="12.75" customHeight="1" x14ac:dyDescent="0.3">
      <c r="A16" s="292" t="s">
        <v>1265</v>
      </c>
      <c r="C16" s="235"/>
    </row>
    <row r="17" spans="1:7" ht="12.75" customHeight="1" x14ac:dyDescent="0.3">
      <c r="A17" s="292" t="s">
        <v>1264</v>
      </c>
      <c r="C17" s="287"/>
      <c r="F17" s="236"/>
    </row>
    <row r="18" spans="1:7" ht="12.75" customHeight="1" x14ac:dyDescent="0.3">
      <c r="A18" s="290"/>
      <c r="C18" s="235"/>
    </row>
    <row r="19" spans="1:7" ht="12.75" customHeight="1" x14ac:dyDescent="0.3">
      <c r="C19" s="235"/>
    </row>
    <row r="20" spans="1:7" ht="12.75" customHeight="1" x14ac:dyDescent="0.3">
      <c r="A20" s="273" t="s">
        <v>1233</v>
      </c>
      <c r="B20" s="273"/>
      <c r="C20" s="288"/>
      <c r="D20" s="273"/>
      <c r="E20" s="273"/>
      <c r="F20" s="273"/>
      <c r="G20" s="273"/>
    </row>
    <row r="21" spans="1:7" ht="22.5" customHeight="1" x14ac:dyDescent="0.3">
      <c r="A21" s="199"/>
      <c r="C21" s="235"/>
    </row>
    <row r="22" spans="1:7" ht="12.65" customHeight="1" x14ac:dyDescent="0.3">
      <c r="A22" s="273" t="s">
        <v>1253</v>
      </c>
      <c r="B22" s="291"/>
      <c r="C22" s="288"/>
      <c r="D22" s="273"/>
      <c r="E22" s="273"/>
      <c r="F22" s="273"/>
    </row>
    <row r="23" spans="1:7" ht="12.65" customHeight="1" x14ac:dyDescent="0.3">
      <c r="B23" s="199"/>
      <c r="C23" s="235"/>
    </row>
    <row r="24" spans="1:7" ht="12.65" customHeight="1" x14ac:dyDescent="0.3">
      <c r="A24" s="240" t="s">
        <v>3</v>
      </c>
      <c r="C24" s="235"/>
    </row>
    <row r="25" spans="1:7" ht="12.65" customHeight="1" x14ac:dyDescent="0.3">
      <c r="A25" s="198" t="s">
        <v>1234</v>
      </c>
      <c r="C25" s="235"/>
    </row>
    <row r="26" spans="1:7" ht="12.65" customHeight="1" x14ac:dyDescent="0.3">
      <c r="A26" s="199" t="s">
        <v>4</v>
      </c>
      <c r="C26" s="235"/>
    </row>
    <row r="27" spans="1:7" ht="12.65" customHeight="1" x14ac:dyDescent="0.3">
      <c r="A27" s="198" t="s">
        <v>1235</v>
      </c>
      <c r="C27" s="235"/>
    </row>
    <row r="28" spans="1:7" ht="12.65" customHeight="1" x14ac:dyDescent="0.3">
      <c r="A28" s="199" t="s">
        <v>5</v>
      </c>
      <c r="C28" s="235"/>
    </row>
    <row r="29" spans="1:7" ht="12.65" customHeight="1" x14ac:dyDescent="0.3">
      <c r="A29" s="198"/>
      <c r="C29" s="235"/>
    </row>
    <row r="30" spans="1:7" ht="12.65" customHeight="1" x14ac:dyDescent="0.3">
      <c r="A30" s="180" t="s">
        <v>6</v>
      </c>
      <c r="C30" s="235"/>
    </row>
    <row r="31" spans="1:7" ht="12.65" customHeight="1" x14ac:dyDescent="0.3">
      <c r="A31" s="199" t="s">
        <v>7</v>
      </c>
      <c r="C31" s="235"/>
    </row>
    <row r="32" spans="1:7" ht="12.65" customHeight="1" x14ac:dyDescent="0.3">
      <c r="A32" s="199" t="s">
        <v>8</v>
      </c>
      <c r="C32" s="235"/>
    </row>
    <row r="33" spans="1:84" ht="12.65" customHeight="1" x14ac:dyDescent="0.3">
      <c r="A33" s="198" t="s">
        <v>1236</v>
      </c>
      <c r="C33" s="235"/>
    </row>
    <row r="34" spans="1:84" ht="12.65" customHeight="1" x14ac:dyDescent="0.3">
      <c r="A34" s="199" t="s">
        <v>9</v>
      </c>
      <c r="C34" s="235"/>
    </row>
    <row r="35" spans="1:84" ht="12.65" customHeight="1" x14ac:dyDescent="0.3">
      <c r="A35" s="199"/>
      <c r="C35" s="235"/>
    </row>
    <row r="36" spans="1:84" ht="12.65" customHeight="1" x14ac:dyDescent="0.3">
      <c r="A36" s="198" t="s">
        <v>1237</v>
      </c>
      <c r="C36" s="235"/>
    </row>
    <row r="37" spans="1:84" ht="12.65" customHeight="1" x14ac:dyDescent="0.3">
      <c r="A37" s="199" t="s">
        <v>1229</v>
      </c>
      <c r="C37" s="235"/>
    </row>
    <row r="38" spans="1:84" ht="12" customHeight="1" x14ac:dyDescent="0.3">
      <c r="A38" s="198"/>
      <c r="C38" s="235"/>
    </row>
    <row r="39" spans="1:84" ht="12.65" customHeight="1" x14ac:dyDescent="0.3">
      <c r="A39" s="199"/>
      <c r="C39" s="235"/>
    </row>
    <row r="40" spans="1:84" ht="12" customHeight="1" x14ac:dyDescent="0.3">
      <c r="A40" s="199"/>
      <c r="C40" s="235"/>
    </row>
    <row r="41" spans="1:84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">
      <c r="A43" s="199"/>
      <c r="C43" s="235"/>
      <c r="F43" s="181"/>
    </row>
    <row r="44" spans="1:84" ht="12" customHeight="1" x14ac:dyDescent="0.3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">
      <c r="A47" s="295" t="s">
        <v>204</v>
      </c>
      <c r="B47" s="299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295"/>
      <c r="CE47" s="295">
        <f>SUM(C47:CC47)</f>
        <v>0</v>
      </c>
      <c r="CF47" s="2"/>
    </row>
    <row r="48" spans="1:84" ht="12.65" customHeight="1" x14ac:dyDescent="0.3">
      <c r="A48" s="295" t="s">
        <v>205</v>
      </c>
      <c r="B48" s="299">
        <v>28910246.469999999</v>
      </c>
      <c r="C48" s="301">
        <f>ROUND(((B48/CE61)*C61),0)</f>
        <v>1177433</v>
      </c>
      <c r="D48" s="301">
        <f>ROUND(((B48/CE61)*D61),0)</f>
        <v>0</v>
      </c>
      <c r="E48" s="295">
        <f>ROUND(((B48/CE61)*E61),0)</f>
        <v>1737677</v>
      </c>
      <c r="F48" s="295">
        <f>ROUND(((B48/CE61)*F61),0)</f>
        <v>0</v>
      </c>
      <c r="G48" s="295">
        <f>ROUND(((B48/CE61)*G61),0)</f>
        <v>0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146882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89178</v>
      </c>
      <c r="P48" s="295">
        <f>ROUND(((B48/CE61)*P61),0)</f>
        <v>735152</v>
      </c>
      <c r="Q48" s="295">
        <f>ROUND(((B48/CE61)*Q61),0)</f>
        <v>166049</v>
      </c>
      <c r="R48" s="295">
        <f>ROUND(((B48/CE61)*R61),0)</f>
        <v>55238</v>
      </c>
      <c r="S48" s="295">
        <f>ROUND(((B48/CE61)*S61),0)</f>
        <v>221233</v>
      </c>
      <c r="T48" s="295">
        <f>ROUND(((B48/CE61)*T61),0)</f>
        <v>16216</v>
      </c>
      <c r="U48" s="295">
        <f>ROUND(((B48/CE61)*U61),0)</f>
        <v>1215175</v>
      </c>
      <c r="V48" s="295">
        <f>ROUND(((B48/CE61)*V61),0)</f>
        <v>609835</v>
      </c>
      <c r="W48" s="295">
        <f>ROUND(((B48/CE61)*W61),0)</f>
        <v>193591</v>
      </c>
      <c r="X48" s="295">
        <f>ROUND(((B48/CE61)*X61),0)</f>
        <v>233231</v>
      </c>
      <c r="Y48" s="295">
        <f>ROUND(((B48/CE61)*Y61),0)</f>
        <v>1233810</v>
      </c>
      <c r="Z48" s="295">
        <f>ROUND(((B48/CE61)*Z61),0)</f>
        <v>686093</v>
      </c>
      <c r="AA48" s="295">
        <f>ROUND(((B48/CE61)*AA61),0)</f>
        <v>29771</v>
      </c>
      <c r="AB48" s="295">
        <f>ROUND(((B48/CE61)*AB61),0)</f>
        <v>649933</v>
      </c>
      <c r="AC48" s="295">
        <f>ROUND(((B48/CE61)*AC61),0)</f>
        <v>238761</v>
      </c>
      <c r="AD48" s="295">
        <f>ROUND(((B48/CE61)*AD61),0)</f>
        <v>0</v>
      </c>
      <c r="AE48" s="295">
        <f>ROUND(((B48/CE61)*AE61),0)</f>
        <v>907685</v>
      </c>
      <c r="AF48" s="295">
        <f>ROUND(((B48/CE61)*AF61),0)</f>
        <v>0</v>
      </c>
      <c r="AG48" s="295">
        <f>ROUND(((B48/CE61)*AG61),0)</f>
        <v>1330542</v>
      </c>
      <c r="AH48" s="295">
        <f>ROUND(((B48/CE61)*AH61),0)</f>
        <v>0</v>
      </c>
      <c r="AI48" s="295">
        <f>ROUND(((B48/CE61)*AI61),0)</f>
        <v>502839</v>
      </c>
      <c r="AJ48" s="295">
        <f>ROUND(((B48/CE61)*AJ61),0)</f>
        <v>7626828</v>
      </c>
      <c r="AK48" s="295">
        <f>ROUND(((B48/CE61)*AK61),0)</f>
        <v>0</v>
      </c>
      <c r="AL48" s="295">
        <f>ROUND(((B48/CE61)*AL61),0)</f>
        <v>0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1495492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951196</v>
      </c>
      <c r="AW48" s="295">
        <f>ROUND(((B48/CE61)*AW61),0)</f>
        <v>0</v>
      </c>
      <c r="AX48" s="295">
        <f>ROUND(((B48/CE61)*AX61),0)</f>
        <v>14128</v>
      </c>
      <c r="AY48" s="295">
        <f>ROUND(((B48/CE61)*AY61),0)</f>
        <v>399766</v>
      </c>
      <c r="AZ48" s="295">
        <f>ROUND(((B48/CE61)*AZ61),0)</f>
        <v>64129</v>
      </c>
      <c r="BA48" s="295">
        <f>ROUND(((B48/CE61)*BA61),0)</f>
        <v>88385</v>
      </c>
      <c r="BB48" s="295">
        <f>ROUND(((B48/CE61)*BB61),0)</f>
        <v>332165</v>
      </c>
      <c r="BC48" s="295">
        <f>ROUND(((B48/CE61)*BC61),0)</f>
        <v>0</v>
      </c>
      <c r="BD48" s="295">
        <f>ROUND(((B48/CE61)*BD61),0)</f>
        <v>236700</v>
      </c>
      <c r="BE48" s="295">
        <f>ROUND(((B48/CE61)*BE61),0)</f>
        <v>274522</v>
      </c>
      <c r="BF48" s="295">
        <f>ROUND(((B48/CE61)*BF61),0)</f>
        <v>433468</v>
      </c>
      <c r="BG48" s="295">
        <f>ROUND(((B48/CE61)*BG61),0)</f>
        <v>0</v>
      </c>
      <c r="BH48" s="295">
        <f>ROUND(((B48/CE61)*BH61),0)</f>
        <v>637009</v>
      </c>
      <c r="BI48" s="295">
        <f>ROUND(((B48/CE61)*BI61),0)</f>
        <v>209394</v>
      </c>
      <c r="BJ48" s="295">
        <f>ROUND(((B48/CE61)*BJ61),0)</f>
        <v>289268</v>
      </c>
      <c r="BK48" s="295">
        <f>ROUND(((B48/CE61)*BK61),0)</f>
        <v>413752</v>
      </c>
      <c r="BL48" s="295">
        <f>ROUND(((B48/CE61)*BL61),0)</f>
        <v>1176176</v>
      </c>
      <c r="BM48" s="295">
        <f>ROUND(((B48/CE61)*BM61),0)</f>
        <v>0</v>
      </c>
      <c r="BN48" s="295">
        <f>ROUND(((B48/CE61)*BN61),0)</f>
        <v>225479</v>
      </c>
      <c r="BO48" s="295">
        <f>ROUND(((B48/CE61)*BO61),0)</f>
        <v>49468</v>
      </c>
      <c r="BP48" s="295">
        <f>ROUND(((B48/CE61)*BP61),0)</f>
        <v>62762</v>
      </c>
      <c r="BQ48" s="295">
        <f>ROUND(((B48/CE61)*BQ61),0)</f>
        <v>0</v>
      </c>
      <c r="BR48" s="295">
        <f>ROUND(((B48/CE61)*BR61),0)</f>
        <v>370464</v>
      </c>
      <c r="BS48" s="295">
        <f>ROUND(((B48/CE61)*BS61),0)</f>
        <v>0</v>
      </c>
      <c r="BT48" s="295">
        <f>ROUND(((B48/CE61)*BT61),0)</f>
        <v>0</v>
      </c>
      <c r="BU48" s="295">
        <f>ROUND(((B48/CE61)*BU61),0)</f>
        <v>0</v>
      </c>
      <c r="BV48" s="295">
        <f>ROUND(((B48/CE61)*BV61),0)</f>
        <v>210114</v>
      </c>
      <c r="BW48" s="295">
        <f>ROUND(((B48/CE61)*BW61),0)</f>
        <v>48942</v>
      </c>
      <c r="BX48" s="295">
        <f>ROUND(((B48/CE61)*BX61),0)</f>
        <v>0</v>
      </c>
      <c r="BY48" s="295">
        <f>ROUND(((B48/CE61)*BY61),0)</f>
        <v>290541</v>
      </c>
      <c r="BZ48" s="295">
        <f>ROUND(((B48/CE61)*BZ61),0)</f>
        <v>0</v>
      </c>
      <c r="CA48" s="295">
        <f>ROUND(((B48/CE61)*CA61),0)</f>
        <v>93158</v>
      </c>
      <c r="CB48" s="295">
        <f>ROUND(((B48/CE61)*CB61),0)</f>
        <v>0</v>
      </c>
      <c r="CC48" s="295">
        <f>ROUND(((B48/CE61)*CC61),0)</f>
        <v>740613</v>
      </c>
      <c r="CD48" s="295"/>
      <c r="CE48" s="295">
        <f>SUM(C48:CD48)</f>
        <v>28910243</v>
      </c>
      <c r="CF48" s="2"/>
    </row>
    <row r="49" spans="1:84" ht="12.65" customHeight="1" x14ac:dyDescent="0.3">
      <c r="A49" s="295" t="s">
        <v>206</v>
      </c>
      <c r="B49" s="295">
        <f>B47+B48</f>
        <v>28910246.469999999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">
      <c r="A51" s="302" t="s">
        <v>207</v>
      </c>
      <c r="B51" s="300"/>
      <c r="C51" s="300">
        <v>65171.44</v>
      </c>
      <c r="D51" s="300"/>
      <c r="E51" s="300">
        <f>36996+20245.12</f>
        <v>57241.119999999995</v>
      </c>
      <c r="F51" s="300"/>
      <c r="G51" s="300"/>
      <c r="H51" s="300"/>
      <c r="I51" s="300"/>
      <c r="J51" s="300">
        <v>10306.6</v>
      </c>
      <c r="K51" s="300"/>
      <c r="L51" s="300"/>
      <c r="M51" s="300"/>
      <c r="N51" s="300"/>
      <c r="O51" s="300">
        <v>6257.58</v>
      </c>
      <c r="P51" s="300">
        <v>476744.05</v>
      </c>
      <c r="Q51" s="300">
        <v>448.69</v>
      </c>
      <c r="R51" s="300">
        <v>55047.55</v>
      </c>
      <c r="S51" s="300">
        <v>54535.66</v>
      </c>
      <c r="T51" s="300"/>
      <c r="U51" s="300">
        <v>280328.44</v>
      </c>
      <c r="V51" s="300">
        <v>122397.22</v>
      </c>
      <c r="W51" s="300">
        <v>255834.41</v>
      </c>
      <c r="X51" s="300">
        <v>132832.37</v>
      </c>
      <c r="Y51" s="300">
        <v>624869.9</v>
      </c>
      <c r="Z51" s="300">
        <v>598582.16</v>
      </c>
      <c r="AA51" s="300">
        <v>546.6</v>
      </c>
      <c r="AB51" s="300">
        <v>200229.21</v>
      </c>
      <c r="AC51" s="300">
        <v>61292.41</v>
      </c>
      <c r="AD51" s="300"/>
      <c r="AE51" s="300">
        <v>9199.11</v>
      </c>
      <c r="AF51" s="300"/>
      <c r="AG51" s="300">
        <v>103729.85</v>
      </c>
      <c r="AH51" s="300"/>
      <c r="AI51" s="300">
        <v>33473.08</v>
      </c>
      <c r="AJ51" s="300">
        <v>465469.48</v>
      </c>
      <c r="AK51" s="300"/>
      <c r="AL51" s="300"/>
      <c r="AM51" s="300"/>
      <c r="AN51" s="300"/>
      <c r="AO51" s="300"/>
      <c r="AP51" s="300"/>
      <c r="AQ51" s="300"/>
      <c r="AR51" s="300">
        <v>3808.79</v>
      </c>
      <c r="AS51" s="300"/>
      <c r="AT51" s="300"/>
      <c r="AU51" s="300"/>
      <c r="AV51" s="300">
        <v>1027.8900000000001</v>
      </c>
      <c r="AW51" s="300"/>
      <c r="AX51" s="300">
        <v>10315.540000000001</v>
      </c>
      <c r="AY51" s="300">
        <v>27146.46</v>
      </c>
      <c r="AZ51" s="300">
        <v>3546.92</v>
      </c>
      <c r="BA51" s="300">
        <v>25144.93</v>
      </c>
      <c r="BB51" s="300">
        <v>675.16</v>
      </c>
      <c r="BC51" s="300"/>
      <c r="BD51" s="300">
        <v>9966.67</v>
      </c>
      <c r="BE51" s="300">
        <v>92404.37</v>
      </c>
      <c r="BF51" s="300">
        <v>4408.78</v>
      </c>
      <c r="BG51" s="300"/>
      <c r="BH51" s="300">
        <v>1738711.07</v>
      </c>
      <c r="BI51" s="300">
        <v>19790.599999999999</v>
      </c>
      <c r="BJ51" s="300">
        <v>34191.61</v>
      </c>
      <c r="BK51" s="300">
        <v>1222.6600000000001</v>
      </c>
      <c r="BL51" s="300">
        <v>4338.55</v>
      </c>
      <c r="BM51" s="300"/>
      <c r="BN51" s="300">
        <v>5921.5</v>
      </c>
      <c r="BO51" s="300"/>
      <c r="BP51" s="300">
        <v>2706.86</v>
      </c>
      <c r="BQ51" s="300"/>
      <c r="BR51" s="300">
        <v>13661.04</v>
      </c>
      <c r="BS51" s="300"/>
      <c r="BT51" s="300"/>
      <c r="BU51" s="300"/>
      <c r="BV51" s="300">
        <v>3886.68</v>
      </c>
      <c r="BW51" s="300">
        <v>4116.83</v>
      </c>
      <c r="BX51" s="300"/>
      <c r="BY51" s="300">
        <v>3336.84</v>
      </c>
      <c r="BZ51" s="300"/>
      <c r="CA51" s="300">
        <v>13778.89</v>
      </c>
      <c r="CB51" s="300"/>
      <c r="CC51" s="300">
        <v>5360436.87</v>
      </c>
      <c r="CD51" s="295"/>
      <c r="CE51" s="295">
        <f>SUM(C51:CD51)</f>
        <v>10999082.440000001</v>
      </c>
      <c r="CF51" s="2"/>
    </row>
    <row r="52" spans="1:84" ht="12.65" customHeight="1" x14ac:dyDescent="0.3">
      <c r="A52" s="302" t="s">
        <v>208</v>
      </c>
      <c r="B52" s="300"/>
      <c r="C52" s="295">
        <f>ROUND((B52/(CE76+CF76)*C76),0)</f>
        <v>0</v>
      </c>
      <c r="D52" s="295">
        <f>ROUND((B52/(CE76+CF76)*D76),0)</f>
        <v>0</v>
      </c>
      <c r="E52" s="295">
        <f>ROUND((B52/(CE76+CF76)*E76),0)</f>
        <v>0</v>
      </c>
      <c r="F52" s="295">
        <f>ROUND((B52/(CE76+CF76)*F76),0)</f>
        <v>0</v>
      </c>
      <c r="G52" s="295">
        <f>ROUND((B52/(CE76+CF76)*G76),0)</f>
        <v>0</v>
      </c>
      <c r="H52" s="295">
        <f>ROUND((B52/(CE76+CF76)*H76),0)</f>
        <v>0</v>
      </c>
      <c r="I52" s="295">
        <f>ROUND((B52/(CE76+CF76)*I76),0)</f>
        <v>0</v>
      </c>
      <c r="J52" s="295">
        <f>ROUND((B52/(CE76+CF76)*J76),0)</f>
        <v>0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0</v>
      </c>
      <c r="P52" s="295">
        <f>ROUND((B52/(CE76+CF76)*P76),0)</f>
        <v>0</v>
      </c>
      <c r="Q52" s="295">
        <f>ROUND((B52/(CE76+CF76)*Q76),0)</f>
        <v>0</v>
      </c>
      <c r="R52" s="295">
        <f>ROUND((B52/(CE76+CF76)*R76),0)</f>
        <v>0</v>
      </c>
      <c r="S52" s="295">
        <f>ROUND((B52/(CE76+CF76)*S76),0)</f>
        <v>0</v>
      </c>
      <c r="T52" s="295">
        <f>ROUND((B52/(CE76+CF76)*T76),0)</f>
        <v>0</v>
      </c>
      <c r="U52" s="295">
        <f>ROUND((B52/(CE76+CF76)*U76),0)</f>
        <v>0</v>
      </c>
      <c r="V52" s="295">
        <f>ROUND((B52/(CE76+CF76)*V76),0)</f>
        <v>0</v>
      </c>
      <c r="W52" s="295">
        <f>ROUND((B52/(CE76+CF76)*W76),0)</f>
        <v>0</v>
      </c>
      <c r="X52" s="295">
        <f>ROUND((B52/(CE76+CF76)*X76),0)</f>
        <v>0</v>
      </c>
      <c r="Y52" s="295">
        <f>ROUND((B52/(CE76+CF76)*Y76),0)</f>
        <v>0</v>
      </c>
      <c r="Z52" s="295">
        <f>ROUND((B52/(CE76+CF76)*Z76),0)</f>
        <v>0</v>
      </c>
      <c r="AA52" s="295">
        <f>ROUND((B52/(CE76+CF76)*AA76),0)</f>
        <v>0</v>
      </c>
      <c r="AB52" s="295">
        <f>ROUND((B52/(CE76+CF76)*AB76),0)</f>
        <v>0</v>
      </c>
      <c r="AC52" s="295">
        <f>ROUND((B52/(CE76+CF76)*AC76),0)</f>
        <v>0</v>
      </c>
      <c r="AD52" s="295">
        <f>ROUND((B52/(CE76+CF76)*AD76),0)</f>
        <v>0</v>
      </c>
      <c r="AE52" s="295">
        <f>ROUND((B52/(CE76+CF76)*AE76),0)</f>
        <v>0</v>
      </c>
      <c r="AF52" s="295">
        <f>ROUND((B52/(CE76+CF76)*AF76),0)</f>
        <v>0</v>
      </c>
      <c r="AG52" s="295">
        <f>ROUND((B52/(CE76+CF76)*AG76),0)</f>
        <v>0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0</v>
      </c>
      <c r="AK52" s="295">
        <f>ROUND((B52/(CE76+CF76)*AK76),0)</f>
        <v>0</v>
      </c>
      <c r="AL52" s="295">
        <f>ROUND((B52/(CE76+CF76)*AL76),0)</f>
        <v>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0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0</v>
      </c>
      <c r="AZ52" s="295">
        <f>ROUND((B52/(CE76+CF76)*AZ76),0)</f>
        <v>0</v>
      </c>
      <c r="BA52" s="295">
        <f>ROUND((B52/(CE76+CF76)*BA76),0)</f>
        <v>0</v>
      </c>
      <c r="BB52" s="295">
        <f>ROUND((B52/(CE76+CF76)*BB76),0)</f>
        <v>0</v>
      </c>
      <c r="BC52" s="295">
        <f>ROUND((B52/(CE76+CF76)*BC76),0)</f>
        <v>0</v>
      </c>
      <c r="BD52" s="295">
        <f>ROUND((B52/(CE76+CF76)*BD76),0)</f>
        <v>0</v>
      </c>
      <c r="BE52" s="295">
        <f>ROUND((B52/(CE76+CF76)*BE76),0)</f>
        <v>0</v>
      </c>
      <c r="BF52" s="295">
        <f>ROUND((B52/(CE76+CF76)*BF76),0)</f>
        <v>0</v>
      </c>
      <c r="BG52" s="295">
        <f>ROUND((B52/(CE76+CF76)*BG76),0)</f>
        <v>0</v>
      </c>
      <c r="BH52" s="295">
        <f>ROUND((B52/(CE76+CF76)*BH76),0)</f>
        <v>0</v>
      </c>
      <c r="BI52" s="295">
        <f>ROUND((B52/(CE76+CF76)*BI76),0)</f>
        <v>0</v>
      </c>
      <c r="BJ52" s="295">
        <f>ROUND((B52/(CE76+CF76)*BJ76),0)</f>
        <v>0</v>
      </c>
      <c r="BK52" s="295">
        <f>ROUND((B52/(CE76+CF76)*BK76),0)</f>
        <v>0</v>
      </c>
      <c r="BL52" s="295">
        <f>ROUND((B52/(CE76+CF76)*BL76),0)</f>
        <v>0</v>
      </c>
      <c r="BM52" s="295">
        <f>ROUND((B52/(CE76+CF76)*BM76),0)</f>
        <v>0</v>
      </c>
      <c r="BN52" s="295">
        <f>ROUND((B52/(CE76+CF76)*BN76),0)</f>
        <v>0</v>
      </c>
      <c r="BO52" s="295">
        <f>ROUND((B52/(CE76+CF76)*BO76),0)</f>
        <v>0</v>
      </c>
      <c r="BP52" s="295">
        <f>ROUND((B52/(CE76+CF76)*BP76),0)</f>
        <v>0</v>
      </c>
      <c r="BQ52" s="295">
        <f>ROUND((B52/(CE76+CF76)*BQ76),0)</f>
        <v>0</v>
      </c>
      <c r="BR52" s="295">
        <f>ROUND((B52/(CE76+CF76)*BR76),0)</f>
        <v>0</v>
      </c>
      <c r="BS52" s="295">
        <f>ROUND((B52/(CE76+CF76)*BS76),0)</f>
        <v>0</v>
      </c>
      <c r="BT52" s="295">
        <f>ROUND((B52/(CE76+CF76)*BT76),0)</f>
        <v>0</v>
      </c>
      <c r="BU52" s="295">
        <f>ROUND((B52/(CE76+CF76)*BU76),0)</f>
        <v>0</v>
      </c>
      <c r="BV52" s="295">
        <f>ROUND((B52/(CE76+CF76)*BV76),0)</f>
        <v>0</v>
      </c>
      <c r="BW52" s="295">
        <f>ROUND((B52/(CE76+CF76)*BW76),0)</f>
        <v>0</v>
      </c>
      <c r="BX52" s="295">
        <f>ROUND((B52/(CE76+CF76)*BX76),0)</f>
        <v>0</v>
      </c>
      <c r="BY52" s="295">
        <f>ROUND((B52/(CE76+CF76)*BY76),0)</f>
        <v>0</v>
      </c>
      <c r="BZ52" s="295">
        <f>ROUND((B52/(CE76+CF76)*BZ76),0)</f>
        <v>0</v>
      </c>
      <c r="CA52" s="295">
        <f>ROUND((B52/(CE76+CF76)*CA76),0)</f>
        <v>0</v>
      </c>
      <c r="CB52" s="295">
        <f>ROUND((B52/(CE76+CF76)*CB76),0)</f>
        <v>0</v>
      </c>
      <c r="CC52" s="295">
        <f>ROUND((B52/(CE76+CF76)*CC76),0)</f>
        <v>0</v>
      </c>
      <c r="CD52" s="295"/>
      <c r="CE52" s="295">
        <f>SUM(C52:CD52)</f>
        <v>0</v>
      </c>
      <c r="CF52" s="2"/>
    </row>
    <row r="53" spans="1:84" ht="12.65" customHeight="1" x14ac:dyDescent="0.3">
      <c r="A53" s="295" t="s">
        <v>206</v>
      </c>
      <c r="B53" s="295">
        <f>B51+B52</f>
        <v>0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">
      <c r="A59" s="302" t="s">
        <v>233</v>
      </c>
      <c r="B59" s="295"/>
      <c r="C59" s="300">
        <v>3934</v>
      </c>
      <c r="D59" s="300"/>
      <c r="E59" s="300">
        <v>9198</v>
      </c>
      <c r="F59" s="300"/>
      <c r="G59" s="300"/>
      <c r="H59" s="300"/>
      <c r="I59" s="300"/>
      <c r="J59" s="300">
        <v>791</v>
      </c>
      <c r="K59" s="300"/>
      <c r="L59" s="300"/>
      <c r="M59" s="300"/>
      <c r="N59" s="300"/>
      <c r="O59" s="300">
        <v>341</v>
      </c>
      <c r="P59" s="185">
        <v>290498</v>
      </c>
      <c r="Q59" s="185">
        <v>160352</v>
      </c>
      <c r="R59" s="185">
        <v>372757</v>
      </c>
      <c r="S59" s="248"/>
      <c r="T59" s="248"/>
      <c r="U59" s="224">
        <v>621894</v>
      </c>
      <c r="V59" s="185">
        <v>29101</v>
      </c>
      <c r="W59" s="185">
        <v>6732</v>
      </c>
      <c r="X59" s="185">
        <v>20418</v>
      </c>
      <c r="Y59" s="185">
        <v>69941</v>
      </c>
      <c r="Z59" s="185"/>
      <c r="AA59" s="185">
        <v>700</v>
      </c>
      <c r="AB59" s="248"/>
      <c r="AC59" s="185">
        <v>19835</v>
      </c>
      <c r="AD59" s="185"/>
      <c r="AE59" s="185">
        <v>82752</v>
      </c>
      <c r="AF59" s="185"/>
      <c r="AG59" s="185">
        <v>24082</v>
      </c>
      <c r="AH59" s="185"/>
      <c r="AI59" s="185">
        <v>7840</v>
      </c>
      <c r="AJ59" s="185">
        <v>150693</v>
      </c>
      <c r="AK59" s="185"/>
      <c r="AL59" s="185"/>
      <c r="AM59" s="185"/>
      <c r="AN59" s="185"/>
      <c r="AO59" s="185"/>
      <c r="AP59" s="185"/>
      <c r="AQ59" s="185"/>
      <c r="AR59" s="185">
        <v>49402</v>
      </c>
      <c r="AS59" s="185"/>
      <c r="AT59" s="185"/>
      <c r="AU59" s="185"/>
      <c r="AV59" s="248"/>
      <c r="AW59" s="248"/>
      <c r="AX59" s="248"/>
      <c r="AY59" s="185">
        <v>46107</v>
      </c>
      <c r="AZ59" s="185"/>
      <c r="BA59" s="248"/>
      <c r="BB59" s="248"/>
      <c r="BC59" s="248"/>
      <c r="BD59" s="248"/>
      <c r="BE59" s="185">
        <v>423858.90000000014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</row>
    <row r="60" spans="1:84" ht="12.65" customHeight="1" x14ac:dyDescent="0.3">
      <c r="A60" s="306" t="s">
        <v>234</v>
      </c>
      <c r="B60" s="295"/>
      <c r="C60" s="186">
        <v>52.36</v>
      </c>
      <c r="D60" s="187"/>
      <c r="E60" s="187">
        <f>70.49+10.72</f>
        <v>81.209999999999994</v>
      </c>
      <c r="F60" s="223"/>
      <c r="G60" s="187"/>
      <c r="H60" s="187"/>
      <c r="I60" s="187"/>
      <c r="J60" s="223">
        <v>5.46</v>
      </c>
      <c r="K60" s="187"/>
      <c r="L60" s="187"/>
      <c r="M60" s="187"/>
      <c r="N60" s="187"/>
      <c r="O60" s="187">
        <v>3.31</v>
      </c>
      <c r="P60" s="221">
        <v>36.61</v>
      </c>
      <c r="Q60" s="221">
        <v>6.54</v>
      </c>
      <c r="R60" s="221">
        <v>2.8</v>
      </c>
      <c r="S60" s="221">
        <v>18.600000000000001</v>
      </c>
      <c r="T60" s="221">
        <v>0.57999999999999996</v>
      </c>
      <c r="U60" s="221">
        <v>72.17</v>
      </c>
      <c r="V60" s="221">
        <v>29.35</v>
      </c>
      <c r="W60" s="221">
        <v>7.81</v>
      </c>
      <c r="X60" s="221">
        <v>10.99</v>
      </c>
      <c r="Y60" s="221">
        <v>65.790000000000006</v>
      </c>
      <c r="Z60" s="221">
        <v>19.68</v>
      </c>
      <c r="AA60" s="221">
        <v>1.07</v>
      </c>
      <c r="AB60" s="221">
        <v>22.53</v>
      </c>
      <c r="AC60" s="221">
        <v>12.81</v>
      </c>
      <c r="AD60" s="221"/>
      <c r="AE60" s="221">
        <v>41.49</v>
      </c>
      <c r="AF60" s="221"/>
      <c r="AG60" s="221">
        <v>58.23</v>
      </c>
      <c r="AH60" s="221"/>
      <c r="AI60" s="221">
        <v>21.47</v>
      </c>
      <c r="AJ60" s="221">
        <v>265.55</v>
      </c>
      <c r="AK60" s="221"/>
      <c r="AL60" s="221"/>
      <c r="AM60" s="221"/>
      <c r="AN60" s="221"/>
      <c r="AO60" s="221"/>
      <c r="AP60" s="221"/>
      <c r="AQ60" s="221"/>
      <c r="AR60" s="221">
        <v>68.254999999999995</v>
      </c>
      <c r="AS60" s="221"/>
      <c r="AT60" s="221"/>
      <c r="AU60" s="221"/>
      <c r="AV60" s="221">
        <v>18.03</v>
      </c>
      <c r="AW60" s="221"/>
      <c r="AX60" s="221">
        <v>1</v>
      </c>
      <c r="AY60" s="221">
        <v>37.58</v>
      </c>
      <c r="AZ60" s="221">
        <v>3.96</v>
      </c>
      <c r="BA60" s="221">
        <v>8.44</v>
      </c>
      <c r="BB60" s="221">
        <v>14.31</v>
      </c>
      <c r="BC60" s="221"/>
      <c r="BD60" s="221">
        <v>16.89</v>
      </c>
      <c r="BE60" s="221">
        <v>20.7</v>
      </c>
      <c r="BF60" s="221">
        <v>40.98</v>
      </c>
      <c r="BG60" s="221"/>
      <c r="BH60" s="221">
        <v>28.79</v>
      </c>
      <c r="BI60" s="221">
        <v>17.28</v>
      </c>
      <c r="BJ60" s="221">
        <v>15.38</v>
      </c>
      <c r="BK60" s="221">
        <v>30.09</v>
      </c>
      <c r="BL60" s="221">
        <v>112.53</v>
      </c>
      <c r="BM60" s="221"/>
      <c r="BN60" s="221">
        <v>4.96</v>
      </c>
      <c r="BO60" s="221">
        <v>2.62</v>
      </c>
      <c r="BP60" s="221">
        <v>2.81</v>
      </c>
      <c r="BQ60" s="221"/>
      <c r="BR60" s="221">
        <v>17.149999999999999</v>
      </c>
      <c r="BS60" s="221"/>
      <c r="BT60" s="221"/>
      <c r="BU60" s="221"/>
      <c r="BV60" s="221">
        <v>15.26</v>
      </c>
      <c r="BW60" s="221">
        <v>2.0499999999999998</v>
      </c>
      <c r="BX60" s="221"/>
      <c r="BY60" s="221">
        <v>11.93</v>
      </c>
      <c r="BZ60" s="221"/>
      <c r="CA60" s="221">
        <v>4.1100000000000003</v>
      </c>
      <c r="CB60" s="221"/>
      <c r="CC60" s="221">
        <v>34.270000000000003</v>
      </c>
      <c r="CD60" s="305" t="s">
        <v>221</v>
      </c>
      <c r="CE60" s="307">
        <f t="shared" ref="CE60:CE70" si="0">SUM(C60:CD60)</f>
        <v>1365.7849999999999</v>
      </c>
      <c r="CF60" s="2"/>
    </row>
    <row r="61" spans="1:84" ht="12.65" customHeight="1" x14ac:dyDescent="0.3">
      <c r="A61" s="302" t="s">
        <v>235</v>
      </c>
      <c r="B61" s="295"/>
      <c r="C61" s="300">
        <v>4336742.66</v>
      </c>
      <c r="D61" s="300"/>
      <c r="E61" s="300">
        <f>5337570.11+1062675.6</f>
        <v>6400245.7100000009</v>
      </c>
      <c r="F61" s="185"/>
      <c r="G61" s="300"/>
      <c r="H61" s="300"/>
      <c r="I61" s="185"/>
      <c r="J61" s="185">
        <v>540998.49</v>
      </c>
      <c r="K61" s="185"/>
      <c r="L61" s="185"/>
      <c r="M61" s="300"/>
      <c r="N61" s="300"/>
      <c r="O61" s="300">
        <v>328463.37</v>
      </c>
      <c r="P61" s="185">
        <v>2707726.42</v>
      </c>
      <c r="Q61" s="185">
        <v>611596.51</v>
      </c>
      <c r="R61" s="185">
        <v>203452.47</v>
      </c>
      <c r="S61" s="185">
        <v>814851.38</v>
      </c>
      <c r="T61" s="185">
        <v>59727.040000000001</v>
      </c>
      <c r="U61" s="185">
        <v>4475757.66</v>
      </c>
      <c r="V61" s="185">
        <v>2246154.56</v>
      </c>
      <c r="W61" s="185">
        <v>713038.94</v>
      </c>
      <c r="X61" s="185">
        <v>859040.92</v>
      </c>
      <c r="Y61" s="185">
        <v>4544391.16</v>
      </c>
      <c r="Z61" s="185">
        <v>2527030.14</v>
      </c>
      <c r="AA61" s="185">
        <v>109653.75999999999</v>
      </c>
      <c r="AB61" s="185">
        <v>2393845.7000000002</v>
      </c>
      <c r="AC61" s="185">
        <v>879410.12</v>
      </c>
      <c r="AD61" s="185"/>
      <c r="AE61" s="185">
        <f>2847512.09+209594.18+286096.5</f>
        <v>3343202.77</v>
      </c>
      <c r="AF61" s="185"/>
      <c r="AG61" s="185">
        <v>4900676.45</v>
      </c>
      <c r="AH61" s="185"/>
      <c r="AI61" s="185">
        <v>1852065.89</v>
      </c>
      <c r="AJ61" s="185">
        <v>28091281.07</v>
      </c>
      <c r="AK61" s="185"/>
      <c r="AL61" s="185"/>
      <c r="AM61" s="185"/>
      <c r="AN61" s="185"/>
      <c r="AO61" s="185"/>
      <c r="AP61" s="185"/>
      <c r="AQ61" s="185"/>
      <c r="AR61" s="185">
        <v>5508224.3799999999</v>
      </c>
      <c r="AS61" s="185"/>
      <c r="AT61" s="185"/>
      <c r="AU61" s="185"/>
      <c r="AV61" s="185">
        <v>3503462.76</v>
      </c>
      <c r="AW61" s="185"/>
      <c r="AX61" s="185">
        <v>52038.16</v>
      </c>
      <c r="AY61" s="185">
        <v>1472426.78</v>
      </c>
      <c r="AZ61" s="185">
        <v>236201.67</v>
      </c>
      <c r="BA61" s="185">
        <v>325541.7</v>
      </c>
      <c r="BB61" s="185">
        <v>1223438.1599999999</v>
      </c>
      <c r="BC61" s="185"/>
      <c r="BD61" s="185">
        <v>871817.93</v>
      </c>
      <c r="BE61" s="185">
        <v>1011124.12</v>
      </c>
      <c r="BF61" s="185">
        <v>1596557.19</v>
      </c>
      <c r="BG61" s="185"/>
      <c r="BH61" s="185">
        <v>2346243.5499999998</v>
      </c>
      <c r="BI61" s="185">
        <v>771245.55</v>
      </c>
      <c r="BJ61" s="185">
        <v>1065439.33</v>
      </c>
      <c r="BK61" s="185">
        <v>1523941.03</v>
      </c>
      <c r="BL61" s="185">
        <v>4332114.72</v>
      </c>
      <c r="BM61" s="185"/>
      <c r="BN61" s="185">
        <v>830489.84</v>
      </c>
      <c r="BO61" s="185">
        <v>182203.21</v>
      </c>
      <c r="BP61" s="185">
        <v>231167.27</v>
      </c>
      <c r="BQ61" s="185"/>
      <c r="BR61" s="185">
        <v>1364499.95</v>
      </c>
      <c r="BS61" s="185"/>
      <c r="BT61" s="185"/>
      <c r="BU61" s="185"/>
      <c r="BV61" s="185">
        <v>773897.22</v>
      </c>
      <c r="BW61" s="185">
        <v>180263.98</v>
      </c>
      <c r="BX61" s="185"/>
      <c r="BY61" s="185">
        <v>1070126.95</v>
      </c>
      <c r="BZ61" s="185"/>
      <c r="CA61" s="185">
        <v>343121.66</v>
      </c>
      <c r="CB61" s="185"/>
      <c r="CC61" s="185">
        <v>2727839.34</v>
      </c>
      <c r="CD61" s="305" t="s">
        <v>221</v>
      </c>
      <c r="CE61" s="295">
        <f t="shared" si="0"/>
        <v>106482779.64000002</v>
      </c>
      <c r="CF61" s="2"/>
    </row>
    <row r="62" spans="1:84" ht="12.65" customHeight="1" x14ac:dyDescent="0.3">
      <c r="A62" s="302" t="s">
        <v>3</v>
      </c>
      <c r="B62" s="295"/>
      <c r="C62" s="295">
        <f t="shared" ref="C62:BN62" si="1">ROUND(C47+C48,0)</f>
        <v>1177433</v>
      </c>
      <c r="D62" s="295">
        <f t="shared" si="1"/>
        <v>0</v>
      </c>
      <c r="E62" s="295">
        <f t="shared" si="1"/>
        <v>1737677</v>
      </c>
      <c r="F62" s="295">
        <f t="shared" si="1"/>
        <v>0</v>
      </c>
      <c r="G62" s="295">
        <f t="shared" si="1"/>
        <v>0</v>
      </c>
      <c r="H62" s="295">
        <f t="shared" si="1"/>
        <v>0</v>
      </c>
      <c r="I62" s="295">
        <f t="shared" si="1"/>
        <v>0</v>
      </c>
      <c r="J62" s="295">
        <f>ROUND(J47+J48,0)</f>
        <v>146882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89178</v>
      </c>
      <c r="P62" s="295">
        <f t="shared" si="1"/>
        <v>735152</v>
      </c>
      <c r="Q62" s="295">
        <f t="shared" si="1"/>
        <v>166049</v>
      </c>
      <c r="R62" s="295">
        <f t="shared" si="1"/>
        <v>55238</v>
      </c>
      <c r="S62" s="295">
        <f t="shared" si="1"/>
        <v>221233</v>
      </c>
      <c r="T62" s="295">
        <f t="shared" si="1"/>
        <v>16216</v>
      </c>
      <c r="U62" s="295">
        <f t="shared" si="1"/>
        <v>1215175</v>
      </c>
      <c r="V62" s="295">
        <f t="shared" si="1"/>
        <v>609835</v>
      </c>
      <c r="W62" s="295">
        <f t="shared" si="1"/>
        <v>193591</v>
      </c>
      <c r="X62" s="295">
        <f t="shared" si="1"/>
        <v>233231</v>
      </c>
      <c r="Y62" s="295">
        <f t="shared" si="1"/>
        <v>1233810</v>
      </c>
      <c r="Z62" s="295">
        <f t="shared" si="1"/>
        <v>686093</v>
      </c>
      <c r="AA62" s="295">
        <f t="shared" si="1"/>
        <v>29771</v>
      </c>
      <c r="AB62" s="295">
        <f t="shared" si="1"/>
        <v>649933</v>
      </c>
      <c r="AC62" s="295">
        <f t="shared" si="1"/>
        <v>238761</v>
      </c>
      <c r="AD62" s="295">
        <f t="shared" si="1"/>
        <v>0</v>
      </c>
      <c r="AE62" s="295">
        <f t="shared" si="1"/>
        <v>907685</v>
      </c>
      <c r="AF62" s="295">
        <f t="shared" si="1"/>
        <v>0</v>
      </c>
      <c r="AG62" s="295">
        <f t="shared" si="1"/>
        <v>1330542</v>
      </c>
      <c r="AH62" s="295">
        <f t="shared" si="1"/>
        <v>0</v>
      </c>
      <c r="AI62" s="295">
        <f t="shared" si="1"/>
        <v>502839</v>
      </c>
      <c r="AJ62" s="295">
        <f t="shared" si="1"/>
        <v>7626828</v>
      </c>
      <c r="AK62" s="295">
        <f t="shared" si="1"/>
        <v>0</v>
      </c>
      <c r="AL62" s="295">
        <f t="shared" si="1"/>
        <v>0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0</v>
      </c>
      <c r="AQ62" s="295">
        <f t="shared" si="1"/>
        <v>0</v>
      </c>
      <c r="AR62" s="295">
        <f t="shared" si="1"/>
        <v>1495492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951196</v>
      </c>
      <c r="AW62" s="295">
        <f t="shared" si="1"/>
        <v>0</v>
      </c>
      <c r="AX62" s="295">
        <f t="shared" si="1"/>
        <v>14128</v>
      </c>
      <c r="AY62" s="295">
        <f>ROUND(AY47+AY48,0)</f>
        <v>399766</v>
      </c>
      <c r="AZ62" s="295">
        <f>ROUND(AZ47+AZ48,0)</f>
        <v>64129</v>
      </c>
      <c r="BA62" s="295">
        <f>ROUND(BA47+BA48,0)</f>
        <v>88385</v>
      </c>
      <c r="BB62" s="295">
        <f t="shared" si="1"/>
        <v>332165</v>
      </c>
      <c r="BC62" s="295">
        <f t="shared" si="1"/>
        <v>0</v>
      </c>
      <c r="BD62" s="295">
        <f t="shared" si="1"/>
        <v>236700</v>
      </c>
      <c r="BE62" s="295">
        <f t="shared" si="1"/>
        <v>274522</v>
      </c>
      <c r="BF62" s="295">
        <f t="shared" si="1"/>
        <v>433468</v>
      </c>
      <c r="BG62" s="295">
        <f t="shared" si="1"/>
        <v>0</v>
      </c>
      <c r="BH62" s="295">
        <f t="shared" si="1"/>
        <v>637009</v>
      </c>
      <c r="BI62" s="295">
        <f t="shared" si="1"/>
        <v>209394</v>
      </c>
      <c r="BJ62" s="295">
        <f t="shared" si="1"/>
        <v>289268</v>
      </c>
      <c r="BK62" s="295">
        <f t="shared" si="1"/>
        <v>413752</v>
      </c>
      <c r="BL62" s="295">
        <f t="shared" si="1"/>
        <v>1176176</v>
      </c>
      <c r="BM62" s="295">
        <f t="shared" si="1"/>
        <v>0</v>
      </c>
      <c r="BN62" s="295">
        <f t="shared" si="1"/>
        <v>225479</v>
      </c>
      <c r="BO62" s="295">
        <f t="shared" ref="BO62:CC62" si="2">ROUND(BO47+BO48,0)</f>
        <v>49468</v>
      </c>
      <c r="BP62" s="295">
        <f t="shared" si="2"/>
        <v>62762</v>
      </c>
      <c r="BQ62" s="295">
        <f t="shared" si="2"/>
        <v>0</v>
      </c>
      <c r="BR62" s="295">
        <f t="shared" si="2"/>
        <v>370464</v>
      </c>
      <c r="BS62" s="295">
        <f t="shared" si="2"/>
        <v>0</v>
      </c>
      <c r="BT62" s="295">
        <f t="shared" si="2"/>
        <v>0</v>
      </c>
      <c r="BU62" s="295">
        <f t="shared" si="2"/>
        <v>0</v>
      </c>
      <c r="BV62" s="295">
        <f t="shared" si="2"/>
        <v>210114</v>
      </c>
      <c r="BW62" s="295">
        <f t="shared" si="2"/>
        <v>48942</v>
      </c>
      <c r="BX62" s="295">
        <f t="shared" si="2"/>
        <v>0</v>
      </c>
      <c r="BY62" s="295">
        <f t="shared" si="2"/>
        <v>290541</v>
      </c>
      <c r="BZ62" s="295">
        <f t="shared" si="2"/>
        <v>0</v>
      </c>
      <c r="CA62" s="295">
        <f t="shared" si="2"/>
        <v>93158</v>
      </c>
      <c r="CB62" s="295">
        <f t="shared" si="2"/>
        <v>0</v>
      </c>
      <c r="CC62" s="295">
        <f t="shared" si="2"/>
        <v>740613</v>
      </c>
      <c r="CD62" s="305" t="s">
        <v>221</v>
      </c>
      <c r="CE62" s="295">
        <f t="shared" si="0"/>
        <v>28910243</v>
      </c>
      <c r="CF62" s="2"/>
    </row>
    <row r="63" spans="1:84" ht="12.65" customHeight="1" x14ac:dyDescent="0.3">
      <c r="A63" s="302" t="s">
        <v>236</v>
      </c>
      <c r="B63" s="295"/>
      <c r="C63" s="300"/>
      <c r="D63" s="300"/>
      <c r="E63" s="300">
        <v>61359.75</v>
      </c>
      <c r="F63" s="185"/>
      <c r="G63" s="300"/>
      <c r="H63" s="300"/>
      <c r="I63" s="185"/>
      <c r="J63" s="185"/>
      <c r="K63" s="185"/>
      <c r="L63" s="185"/>
      <c r="M63" s="300"/>
      <c r="N63" s="300"/>
      <c r="O63" s="300"/>
      <c r="P63" s="185"/>
      <c r="Q63" s="185"/>
      <c r="R63" s="185">
        <v>769600.6</v>
      </c>
      <c r="S63" s="185"/>
      <c r="T63" s="185"/>
      <c r="U63" s="185">
        <v>45000</v>
      </c>
      <c r="V63" s="185">
        <v>207200</v>
      </c>
      <c r="W63" s="185"/>
      <c r="X63" s="185"/>
      <c r="Y63" s="185">
        <v>6600</v>
      </c>
      <c r="Z63" s="185">
        <v>130728.37</v>
      </c>
      <c r="AA63" s="185"/>
      <c r="AB63" s="185">
        <v>20283.349999999999</v>
      </c>
      <c r="AC63" s="185"/>
      <c r="AD63" s="185"/>
      <c r="AE63" s="185"/>
      <c r="AF63" s="185"/>
      <c r="AG63" s="185">
        <v>5089514.1399999997</v>
      </c>
      <c r="AH63" s="185"/>
      <c r="AI63" s="185"/>
      <c r="AJ63" s="185">
        <v>3392097.59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324206.65999999997</v>
      </c>
      <c r="AW63" s="185"/>
      <c r="AX63" s="185"/>
      <c r="AY63" s="185"/>
      <c r="AZ63" s="185"/>
      <c r="BA63" s="185"/>
      <c r="BB63" s="185">
        <v>2250</v>
      </c>
      <c r="BC63" s="185"/>
      <c r="BD63" s="185">
        <v>33764.39</v>
      </c>
      <c r="BE63" s="185">
        <v>82554.259999999995</v>
      </c>
      <c r="BF63" s="185"/>
      <c r="BG63" s="185"/>
      <c r="BH63" s="185">
        <v>100858.77</v>
      </c>
      <c r="BI63" s="185"/>
      <c r="BJ63" s="185">
        <v>199392.81</v>
      </c>
      <c r="BK63" s="185"/>
      <c r="BL63" s="185"/>
      <c r="BM63" s="185"/>
      <c r="BN63" s="185">
        <v>233448.76</v>
      </c>
      <c r="BO63" s="185"/>
      <c r="BP63" s="185"/>
      <c r="BQ63" s="185"/>
      <c r="BR63" s="185">
        <v>183457.12</v>
      </c>
      <c r="BS63" s="185"/>
      <c r="BT63" s="185"/>
      <c r="BU63" s="185"/>
      <c r="BV63" s="185">
        <v>15447.5</v>
      </c>
      <c r="BW63" s="185">
        <v>15000</v>
      </c>
      <c r="BX63" s="185"/>
      <c r="BY63" s="185"/>
      <c r="BZ63" s="185"/>
      <c r="CA63" s="185"/>
      <c r="CB63" s="185"/>
      <c r="CC63" s="185">
        <v>135739</v>
      </c>
      <c r="CD63" s="305" t="s">
        <v>221</v>
      </c>
      <c r="CE63" s="295">
        <f t="shared" si="0"/>
        <v>11048503.07</v>
      </c>
      <c r="CF63" s="2"/>
    </row>
    <row r="64" spans="1:84" ht="12.65" customHeight="1" x14ac:dyDescent="0.3">
      <c r="A64" s="302" t="s">
        <v>237</v>
      </c>
      <c r="B64" s="295"/>
      <c r="C64" s="300">
        <v>391125.94</v>
      </c>
      <c r="D64" s="300"/>
      <c r="E64" s="185">
        <f>384446.05+77523.57</f>
        <v>461969.62</v>
      </c>
      <c r="F64" s="185"/>
      <c r="G64" s="300"/>
      <c r="H64" s="300"/>
      <c r="I64" s="185"/>
      <c r="J64" s="185">
        <v>39466.550000000003</v>
      </c>
      <c r="K64" s="185"/>
      <c r="L64" s="185"/>
      <c r="M64" s="300"/>
      <c r="N64" s="300"/>
      <c r="O64" s="300">
        <v>23961.83</v>
      </c>
      <c r="P64" s="185">
        <v>6064821.6399999997</v>
      </c>
      <c r="Q64" s="185">
        <v>28955.19</v>
      </c>
      <c r="R64" s="185">
        <v>207516.57</v>
      </c>
      <c r="S64" s="185">
        <v>239705.8</v>
      </c>
      <c r="T64" s="185">
        <v>96523.63</v>
      </c>
      <c r="U64" s="185">
        <v>1678922.44</v>
      </c>
      <c r="V64" s="185">
        <v>457559.96</v>
      </c>
      <c r="W64" s="185">
        <v>43895.21</v>
      </c>
      <c r="X64" s="185">
        <v>164101.89000000001</v>
      </c>
      <c r="Y64" s="185">
        <v>308268.05</v>
      </c>
      <c r="Z64" s="185">
        <v>57861.22</v>
      </c>
      <c r="AA64" s="185">
        <v>334873.28999999998</v>
      </c>
      <c r="AB64" s="185">
        <v>17503437.190000001</v>
      </c>
      <c r="AC64" s="185">
        <v>138884.99</v>
      </c>
      <c r="AD64" s="185"/>
      <c r="AE64" s="185">
        <f>64527.08+4169.58+1137.42</f>
        <v>69834.080000000002</v>
      </c>
      <c r="AF64" s="185"/>
      <c r="AG64" s="185">
        <v>620488.21</v>
      </c>
      <c r="AH64" s="185"/>
      <c r="AI64" s="185">
        <v>234202.41</v>
      </c>
      <c r="AJ64" s="185">
        <v>2188000.14</v>
      </c>
      <c r="AK64" s="185"/>
      <c r="AL64" s="185"/>
      <c r="AM64" s="185"/>
      <c r="AN64" s="185"/>
      <c r="AO64" s="185"/>
      <c r="AP64" s="185"/>
      <c r="AQ64" s="185"/>
      <c r="AR64" s="185">
        <v>195051.06</v>
      </c>
      <c r="AS64" s="185"/>
      <c r="AT64" s="185"/>
      <c r="AU64" s="185"/>
      <c r="AV64" s="185">
        <v>11243.4</v>
      </c>
      <c r="AW64" s="185"/>
      <c r="AX64" s="185">
        <v>52375.34</v>
      </c>
      <c r="AY64" s="185">
        <v>757435.08</v>
      </c>
      <c r="AZ64" s="185">
        <v>2173.15</v>
      </c>
      <c r="BA64" s="185">
        <v>203221.12</v>
      </c>
      <c r="BB64" s="185">
        <v>3362.06</v>
      </c>
      <c r="BC64" s="185"/>
      <c r="BD64" s="185">
        <v>123895.94</v>
      </c>
      <c r="BE64" s="185">
        <v>147413.04999999999</v>
      </c>
      <c r="BF64" s="185">
        <v>365777.52</v>
      </c>
      <c r="BG64" s="185"/>
      <c r="BH64" s="185">
        <v>725530.63</v>
      </c>
      <c r="BI64" s="185">
        <v>26172.49</v>
      </c>
      <c r="BJ64" s="185">
        <v>16797.650000000001</v>
      </c>
      <c r="BK64" s="185">
        <v>16837.14</v>
      </c>
      <c r="BL64" s="185">
        <v>53089.1</v>
      </c>
      <c r="BM64" s="185"/>
      <c r="BN64" s="185">
        <v>19364.12</v>
      </c>
      <c r="BO64" s="185">
        <v>51603.95</v>
      </c>
      <c r="BP64" s="185">
        <v>17236.3</v>
      </c>
      <c r="BQ64" s="185"/>
      <c r="BR64" s="185">
        <v>46561.85</v>
      </c>
      <c r="BS64" s="185"/>
      <c r="BT64" s="185"/>
      <c r="BU64" s="185"/>
      <c r="BV64" s="185">
        <v>5509.38</v>
      </c>
      <c r="BW64" s="185">
        <v>21108.74</v>
      </c>
      <c r="BX64" s="185"/>
      <c r="BY64" s="185">
        <v>3734.31</v>
      </c>
      <c r="BZ64" s="185"/>
      <c r="CA64" s="185">
        <v>17568.849999999999</v>
      </c>
      <c r="CB64" s="185"/>
      <c r="CC64" s="185">
        <v>867596.15</v>
      </c>
      <c r="CD64" s="305" t="s">
        <v>221</v>
      </c>
      <c r="CE64" s="295">
        <f t="shared" si="0"/>
        <v>35105034.230000004</v>
      </c>
      <c r="CF64" s="2"/>
    </row>
    <row r="65" spans="1:84" ht="12.65" customHeight="1" x14ac:dyDescent="0.3">
      <c r="A65" s="302" t="s">
        <v>238</v>
      </c>
      <c r="B65" s="295"/>
      <c r="C65" s="300"/>
      <c r="D65" s="300"/>
      <c r="E65" s="300"/>
      <c r="F65" s="300"/>
      <c r="G65" s="300"/>
      <c r="H65" s="300"/>
      <c r="I65" s="185"/>
      <c r="J65" s="300"/>
      <c r="K65" s="185"/>
      <c r="L65" s="185"/>
      <c r="M65" s="300"/>
      <c r="N65" s="300"/>
      <c r="O65" s="300"/>
      <c r="P65" s="185"/>
      <c r="Q65" s="185"/>
      <c r="R65" s="185"/>
      <c r="S65" s="185"/>
      <c r="T65" s="185"/>
      <c r="U65" s="185">
        <v>621.27</v>
      </c>
      <c r="V65" s="185">
        <v>2550.13</v>
      </c>
      <c r="W65" s="185"/>
      <c r="X65" s="185"/>
      <c r="Y65" s="185">
        <v>-3600</v>
      </c>
      <c r="Z65" s="185">
        <v>360</v>
      </c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>
        <v>25490</v>
      </c>
      <c r="AS65" s="185"/>
      <c r="AT65" s="185"/>
      <c r="AU65" s="185"/>
      <c r="AV65" s="185">
        <v>1080</v>
      </c>
      <c r="AW65" s="185"/>
      <c r="AX65" s="185"/>
      <c r="AY65" s="185"/>
      <c r="AZ65" s="185"/>
      <c r="BA65" s="185"/>
      <c r="BB65" s="185"/>
      <c r="BC65" s="185"/>
      <c r="BD65" s="185"/>
      <c r="BE65" s="185">
        <v>1736937.48</v>
      </c>
      <c r="BF65" s="185"/>
      <c r="BG65" s="185"/>
      <c r="BH65" s="185">
        <v>688102.27</v>
      </c>
      <c r="BI65" s="185"/>
      <c r="BJ65" s="185"/>
      <c r="BK65" s="185"/>
      <c r="BL65" s="185"/>
      <c r="BM65" s="185"/>
      <c r="BN65" s="185">
        <v>1135</v>
      </c>
      <c r="BO65" s="185"/>
      <c r="BP65" s="185"/>
      <c r="BQ65" s="185"/>
      <c r="BR65" s="185"/>
      <c r="BS65" s="185"/>
      <c r="BT65" s="185"/>
      <c r="BU65" s="185"/>
      <c r="BV65" s="185">
        <v>425</v>
      </c>
      <c r="BW65" s="185"/>
      <c r="BX65" s="185"/>
      <c r="BY65" s="185"/>
      <c r="BZ65" s="185"/>
      <c r="CA65" s="185"/>
      <c r="CB65" s="185"/>
      <c r="CC65" s="185"/>
      <c r="CD65" s="305" t="s">
        <v>221</v>
      </c>
      <c r="CE65" s="295">
        <f t="shared" si="0"/>
        <v>2453101.15</v>
      </c>
      <c r="CF65" s="2"/>
    </row>
    <row r="66" spans="1:84" ht="12.65" customHeight="1" x14ac:dyDescent="0.3">
      <c r="A66" s="302" t="s">
        <v>239</v>
      </c>
      <c r="B66" s="295"/>
      <c r="C66" s="300">
        <v>133720.48000000001</v>
      </c>
      <c r="D66" s="300"/>
      <c r="E66" s="300">
        <f>289772.82+82781.3</f>
        <v>372554.12</v>
      </c>
      <c r="F66" s="300"/>
      <c r="G66" s="300"/>
      <c r="H66" s="300"/>
      <c r="I66" s="300"/>
      <c r="J66" s="300">
        <v>42143.21</v>
      </c>
      <c r="K66" s="185"/>
      <c r="L66" s="185"/>
      <c r="M66" s="300"/>
      <c r="N66" s="300"/>
      <c r="O66" s="185">
        <v>25586.95</v>
      </c>
      <c r="P66" s="185">
        <v>190397.49</v>
      </c>
      <c r="Q66" s="185">
        <v>13679.02</v>
      </c>
      <c r="R66" s="185">
        <v>112.5</v>
      </c>
      <c r="S66" s="300"/>
      <c r="T66" s="300"/>
      <c r="U66" s="185">
        <v>2414327.91</v>
      </c>
      <c r="V66" s="185">
        <v>414.5</v>
      </c>
      <c r="W66" s="185">
        <v>4090</v>
      </c>
      <c r="X66" s="185">
        <v>2342.27</v>
      </c>
      <c r="Y66" s="185">
        <v>699292.29</v>
      </c>
      <c r="Z66" s="185">
        <v>522842.27</v>
      </c>
      <c r="AA66" s="185">
        <v>1580</v>
      </c>
      <c r="AB66" s="185">
        <v>4000</v>
      </c>
      <c r="AC66" s="185">
        <v>150972.35</v>
      </c>
      <c r="AD66" s="185"/>
      <c r="AE66" s="185">
        <v>29770.86</v>
      </c>
      <c r="AF66" s="185"/>
      <c r="AG66" s="185">
        <v>211560.78</v>
      </c>
      <c r="AH66" s="185">
        <v>547.38</v>
      </c>
      <c r="AI66" s="185"/>
      <c r="AJ66" s="185">
        <v>191452.31</v>
      </c>
      <c r="AK66" s="185"/>
      <c r="AL66" s="185"/>
      <c r="AM66" s="185"/>
      <c r="AN66" s="185"/>
      <c r="AO66" s="185"/>
      <c r="AP66" s="185"/>
      <c r="AQ66" s="185"/>
      <c r="AR66" s="185">
        <v>445067.71</v>
      </c>
      <c r="AS66" s="185"/>
      <c r="AT66" s="185"/>
      <c r="AU66" s="185"/>
      <c r="AV66" s="185">
        <v>77.84</v>
      </c>
      <c r="AW66" s="185"/>
      <c r="AX66" s="185"/>
      <c r="AY66" s="185">
        <v>1628.41</v>
      </c>
      <c r="AZ66" s="185"/>
      <c r="BA66" s="185"/>
      <c r="BB66" s="185">
        <v>282229.24</v>
      </c>
      <c r="BC66" s="185"/>
      <c r="BD66" s="185">
        <v>40953.629999999997</v>
      </c>
      <c r="BE66" s="185">
        <v>206198.69</v>
      </c>
      <c r="BF66" s="185">
        <v>16202.18</v>
      </c>
      <c r="BG66" s="185"/>
      <c r="BH66" s="185">
        <v>58505.17</v>
      </c>
      <c r="BI66" s="185">
        <v>180942.68</v>
      </c>
      <c r="BJ66" s="185">
        <v>5927.85</v>
      </c>
      <c r="BK66" s="185">
        <v>364503.57</v>
      </c>
      <c r="BL66" s="185">
        <v>32802.5</v>
      </c>
      <c r="BM66" s="185"/>
      <c r="BN66" s="185">
        <v>114782.73</v>
      </c>
      <c r="BO66" s="185"/>
      <c r="BP66" s="185">
        <v>21479.08</v>
      </c>
      <c r="BQ66" s="185"/>
      <c r="BR66" s="185">
        <v>59944.38</v>
      </c>
      <c r="BS66" s="185"/>
      <c r="BT66" s="185"/>
      <c r="BU66" s="185"/>
      <c r="BV66" s="185">
        <v>27468.53</v>
      </c>
      <c r="BW66" s="185"/>
      <c r="BX66" s="185"/>
      <c r="BY66" s="185">
        <v>8925</v>
      </c>
      <c r="BZ66" s="185"/>
      <c r="CA66" s="185">
        <v>149842.28</v>
      </c>
      <c r="CB66" s="185"/>
      <c r="CC66" s="185">
        <v>3064054.23</v>
      </c>
      <c r="CD66" s="305" t="s">
        <v>221</v>
      </c>
      <c r="CE66" s="295">
        <f t="shared" si="0"/>
        <v>10092922.390000001</v>
      </c>
      <c r="CF66" s="2"/>
    </row>
    <row r="67" spans="1:84" ht="12.65" customHeight="1" x14ac:dyDescent="0.3">
      <c r="A67" s="302" t="s">
        <v>6</v>
      </c>
      <c r="B67" s="295"/>
      <c r="C67" s="295">
        <f>ROUND(C51+C52,0)</f>
        <v>65171</v>
      </c>
      <c r="D67" s="295">
        <f>ROUND(D51+D52,0)</f>
        <v>0</v>
      </c>
      <c r="E67" s="295">
        <f t="shared" ref="E67:BP67" si="3">ROUND(E51+E52,0)</f>
        <v>57241</v>
      </c>
      <c r="F67" s="295">
        <f t="shared" si="3"/>
        <v>0</v>
      </c>
      <c r="G67" s="295">
        <f t="shared" si="3"/>
        <v>0</v>
      </c>
      <c r="H67" s="295">
        <f t="shared" si="3"/>
        <v>0</v>
      </c>
      <c r="I67" s="295">
        <f t="shared" si="3"/>
        <v>0</v>
      </c>
      <c r="J67" s="295">
        <f>ROUND(J51+J52,0)</f>
        <v>10307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6258</v>
      </c>
      <c r="P67" s="295">
        <f t="shared" si="3"/>
        <v>476744</v>
      </c>
      <c r="Q67" s="295">
        <f t="shared" si="3"/>
        <v>449</v>
      </c>
      <c r="R67" s="295">
        <f t="shared" si="3"/>
        <v>55048</v>
      </c>
      <c r="S67" s="295">
        <f t="shared" si="3"/>
        <v>54536</v>
      </c>
      <c r="T67" s="295">
        <f t="shared" si="3"/>
        <v>0</v>
      </c>
      <c r="U67" s="295">
        <f t="shared" si="3"/>
        <v>280328</v>
      </c>
      <c r="V67" s="295">
        <f t="shared" si="3"/>
        <v>122397</v>
      </c>
      <c r="W67" s="295">
        <f t="shared" si="3"/>
        <v>255834</v>
      </c>
      <c r="X67" s="295">
        <f t="shared" si="3"/>
        <v>132832</v>
      </c>
      <c r="Y67" s="295">
        <f t="shared" si="3"/>
        <v>624870</v>
      </c>
      <c r="Z67" s="295">
        <f t="shared" si="3"/>
        <v>598582</v>
      </c>
      <c r="AA67" s="295">
        <f t="shared" si="3"/>
        <v>547</v>
      </c>
      <c r="AB67" s="295">
        <f t="shared" si="3"/>
        <v>200229</v>
      </c>
      <c r="AC67" s="295">
        <f t="shared" si="3"/>
        <v>61292</v>
      </c>
      <c r="AD67" s="295">
        <f t="shared" si="3"/>
        <v>0</v>
      </c>
      <c r="AE67" s="295">
        <f t="shared" si="3"/>
        <v>9199</v>
      </c>
      <c r="AF67" s="295">
        <f t="shared" si="3"/>
        <v>0</v>
      </c>
      <c r="AG67" s="295">
        <f t="shared" si="3"/>
        <v>103730</v>
      </c>
      <c r="AH67" s="295">
        <f t="shared" si="3"/>
        <v>0</v>
      </c>
      <c r="AI67" s="295">
        <f t="shared" si="3"/>
        <v>33473</v>
      </c>
      <c r="AJ67" s="295">
        <f t="shared" si="3"/>
        <v>465469</v>
      </c>
      <c r="AK67" s="295">
        <f t="shared" si="3"/>
        <v>0</v>
      </c>
      <c r="AL67" s="295">
        <f t="shared" si="3"/>
        <v>0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0</v>
      </c>
      <c r="AQ67" s="295">
        <f t="shared" si="3"/>
        <v>0</v>
      </c>
      <c r="AR67" s="295">
        <f t="shared" si="3"/>
        <v>3809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1028</v>
      </c>
      <c r="AW67" s="295">
        <f t="shared" si="3"/>
        <v>0</v>
      </c>
      <c r="AX67" s="295">
        <f t="shared" si="3"/>
        <v>10316</v>
      </c>
      <c r="AY67" s="295">
        <f t="shared" si="3"/>
        <v>27146</v>
      </c>
      <c r="AZ67" s="295">
        <f>ROUND(AZ51+AZ52,0)</f>
        <v>3547</v>
      </c>
      <c r="BA67" s="295">
        <f>ROUND(BA51+BA52,0)</f>
        <v>25145</v>
      </c>
      <c r="BB67" s="295">
        <f t="shared" si="3"/>
        <v>675</v>
      </c>
      <c r="BC67" s="295">
        <f t="shared" si="3"/>
        <v>0</v>
      </c>
      <c r="BD67" s="295">
        <f t="shared" si="3"/>
        <v>9967</v>
      </c>
      <c r="BE67" s="295">
        <f t="shared" si="3"/>
        <v>92404</v>
      </c>
      <c r="BF67" s="295">
        <f t="shared" si="3"/>
        <v>4409</v>
      </c>
      <c r="BG67" s="295">
        <f t="shared" si="3"/>
        <v>0</v>
      </c>
      <c r="BH67" s="295">
        <f t="shared" si="3"/>
        <v>1738711</v>
      </c>
      <c r="BI67" s="295">
        <f t="shared" si="3"/>
        <v>19791</v>
      </c>
      <c r="BJ67" s="295">
        <f t="shared" si="3"/>
        <v>34192</v>
      </c>
      <c r="BK67" s="295">
        <f t="shared" si="3"/>
        <v>1223</v>
      </c>
      <c r="BL67" s="295">
        <f t="shared" si="3"/>
        <v>4339</v>
      </c>
      <c r="BM67" s="295">
        <f t="shared" si="3"/>
        <v>0</v>
      </c>
      <c r="BN67" s="295">
        <f t="shared" si="3"/>
        <v>5922</v>
      </c>
      <c r="BO67" s="295">
        <f t="shared" si="3"/>
        <v>0</v>
      </c>
      <c r="BP67" s="295">
        <f t="shared" si="3"/>
        <v>2707</v>
      </c>
      <c r="BQ67" s="295">
        <f t="shared" ref="BQ67:CC67" si="4">ROUND(BQ51+BQ52,0)</f>
        <v>0</v>
      </c>
      <c r="BR67" s="295">
        <f t="shared" si="4"/>
        <v>13661</v>
      </c>
      <c r="BS67" s="295">
        <f t="shared" si="4"/>
        <v>0</v>
      </c>
      <c r="BT67" s="295">
        <f t="shared" si="4"/>
        <v>0</v>
      </c>
      <c r="BU67" s="295">
        <f t="shared" si="4"/>
        <v>0</v>
      </c>
      <c r="BV67" s="295">
        <f t="shared" si="4"/>
        <v>3887</v>
      </c>
      <c r="BW67" s="295">
        <f t="shared" si="4"/>
        <v>4117</v>
      </c>
      <c r="BX67" s="295">
        <f t="shared" si="4"/>
        <v>0</v>
      </c>
      <c r="BY67" s="295">
        <f t="shared" si="4"/>
        <v>3337</v>
      </c>
      <c r="BZ67" s="295">
        <f t="shared" si="4"/>
        <v>0</v>
      </c>
      <c r="CA67" s="295">
        <f t="shared" si="4"/>
        <v>13779</v>
      </c>
      <c r="CB67" s="295">
        <f t="shared" si="4"/>
        <v>0</v>
      </c>
      <c r="CC67" s="295">
        <f t="shared" si="4"/>
        <v>5360437</v>
      </c>
      <c r="CD67" s="305" t="s">
        <v>221</v>
      </c>
      <c r="CE67" s="295">
        <f t="shared" si="0"/>
        <v>10999085</v>
      </c>
      <c r="CF67" s="2"/>
    </row>
    <row r="68" spans="1:84" ht="12.65" customHeight="1" x14ac:dyDescent="0.3">
      <c r="A68" s="302" t="s">
        <v>240</v>
      </c>
      <c r="B68" s="295"/>
      <c r="C68" s="300">
        <v>1129.1500000000001</v>
      </c>
      <c r="D68" s="300"/>
      <c r="E68" s="300">
        <v>14313.63</v>
      </c>
      <c r="F68" s="300"/>
      <c r="G68" s="300"/>
      <c r="H68" s="300"/>
      <c r="I68" s="300"/>
      <c r="J68" s="300"/>
      <c r="K68" s="185"/>
      <c r="L68" s="185"/>
      <c r="M68" s="300"/>
      <c r="N68" s="300"/>
      <c r="O68" s="300"/>
      <c r="P68" s="185">
        <v>140.74</v>
      </c>
      <c r="Q68" s="185"/>
      <c r="R68" s="185"/>
      <c r="S68" s="185">
        <v>140.74</v>
      </c>
      <c r="T68" s="185"/>
      <c r="U68" s="185">
        <v>82460.14</v>
      </c>
      <c r="V68" s="185">
        <v>111485.54</v>
      </c>
      <c r="W68" s="185"/>
      <c r="X68" s="185"/>
      <c r="Y68" s="185">
        <v>206164.52</v>
      </c>
      <c r="Z68" s="185">
        <v>43.28</v>
      </c>
      <c r="AA68" s="185"/>
      <c r="AB68" s="185">
        <v>140.74</v>
      </c>
      <c r="AC68" s="185">
        <v>44953.83</v>
      </c>
      <c r="AD68" s="185"/>
      <c r="AE68" s="185">
        <v>3947.74</v>
      </c>
      <c r="AF68" s="185"/>
      <c r="AG68" s="185">
        <v>140.74</v>
      </c>
      <c r="AH68" s="185"/>
      <c r="AI68" s="185"/>
      <c r="AJ68" s="185">
        <v>1288537.8600000001</v>
      </c>
      <c r="AK68" s="185"/>
      <c r="AL68" s="185"/>
      <c r="AM68" s="185"/>
      <c r="AN68" s="185"/>
      <c r="AO68" s="185"/>
      <c r="AP68" s="185"/>
      <c r="AQ68" s="185"/>
      <c r="AR68" s="185">
        <v>90140.74</v>
      </c>
      <c r="AS68" s="185"/>
      <c r="AT68" s="185"/>
      <c r="AU68" s="185"/>
      <c r="AV68" s="185">
        <v>60281.48</v>
      </c>
      <c r="AW68" s="185"/>
      <c r="AX68" s="185">
        <v>140.74</v>
      </c>
      <c r="AY68" s="185"/>
      <c r="AZ68" s="185"/>
      <c r="BA68" s="185">
        <v>140.74</v>
      </c>
      <c r="BB68" s="185"/>
      <c r="BC68" s="185"/>
      <c r="BD68" s="185">
        <v>2596.86</v>
      </c>
      <c r="BE68" s="185">
        <v>140.74</v>
      </c>
      <c r="BF68" s="185">
        <v>140.74</v>
      </c>
      <c r="BG68" s="185"/>
      <c r="BH68" s="185">
        <v>487.07</v>
      </c>
      <c r="BI68" s="185"/>
      <c r="BJ68" s="185"/>
      <c r="BK68" s="185">
        <v>60534.49</v>
      </c>
      <c r="BL68" s="185">
        <v>98540.74</v>
      </c>
      <c r="BM68" s="185"/>
      <c r="BN68" s="185">
        <v>4137.75</v>
      </c>
      <c r="BO68" s="185"/>
      <c r="BP68" s="185">
        <v>140.74</v>
      </c>
      <c r="BQ68" s="185"/>
      <c r="BR68" s="185"/>
      <c r="BS68" s="185"/>
      <c r="BT68" s="185"/>
      <c r="BU68" s="185"/>
      <c r="BV68" s="185">
        <v>140.74</v>
      </c>
      <c r="BW68" s="185"/>
      <c r="BX68" s="185"/>
      <c r="BY68" s="185"/>
      <c r="BZ68" s="185"/>
      <c r="CA68" s="185"/>
      <c r="CB68" s="185"/>
      <c r="CC68" s="185">
        <v>-1695052.92</v>
      </c>
      <c r="CD68" s="305" t="s">
        <v>221</v>
      </c>
      <c r="CE68" s="295">
        <f t="shared" si="0"/>
        <v>376109.30000000028</v>
      </c>
      <c r="CF68" s="2"/>
    </row>
    <row r="69" spans="1:84" ht="12.65" customHeight="1" x14ac:dyDescent="0.3">
      <c r="A69" s="302" t="s">
        <v>241</v>
      </c>
      <c r="B69" s="295"/>
      <c r="C69" s="300">
        <v>18563.099999999999</v>
      </c>
      <c r="D69" s="300"/>
      <c r="E69" s="185">
        <f>9834.25+17223.72</f>
        <v>27057.97</v>
      </c>
      <c r="F69" s="185"/>
      <c r="G69" s="300"/>
      <c r="H69" s="300"/>
      <c r="I69" s="185"/>
      <c r="J69" s="185">
        <v>8768.44</v>
      </c>
      <c r="K69" s="185"/>
      <c r="L69" s="185"/>
      <c r="M69" s="300"/>
      <c r="N69" s="300"/>
      <c r="O69" s="300">
        <v>5323.7</v>
      </c>
      <c r="P69" s="185">
        <v>540651.53</v>
      </c>
      <c r="Q69" s="185">
        <v>7575.06</v>
      </c>
      <c r="R69" s="224">
        <v>24357.29</v>
      </c>
      <c r="S69" s="185">
        <v>145748.82999999999</v>
      </c>
      <c r="T69" s="300"/>
      <c r="U69" s="185">
        <v>400658.41</v>
      </c>
      <c r="V69" s="185">
        <v>121543.32</v>
      </c>
      <c r="W69" s="300">
        <v>348933.95</v>
      </c>
      <c r="X69" s="185">
        <v>376875.87</v>
      </c>
      <c r="Y69" s="185">
        <v>769528.09</v>
      </c>
      <c r="Z69" s="185">
        <v>500719.94</v>
      </c>
      <c r="AA69" s="185">
        <v>61648.5</v>
      </c>
      <c r="AB69" s="185">
        <v>1891081.06</v>
      </c>
      <c r="AC69" s="185">
        <v>29230.49</v>
      </c>
      <c r="AD69" s="185"/>
      <c r="AE69" s="185">
        <v>20208.25</v>
      </c>
      <c r="AF69" s="185"/>
      <c r="AG69" s="185">
        <v>31201.200000000001</v>
      </c>
      <c r="AH69" s="185"/>
      <c r="AI69" s="185">
        <v>8659.59</v>
      </c>
      <c r="AJ69" s="185">
        <v>131792.01999999999</v>
      </c>
      <c r="AK69" s="185"/>
      <c r="AL69" s="185">
        <v>23.53</v>
      </c>
      <c r="AM69" s="185"/>
      <c r="AN69" s="185"/>
      <c r="AO69" s="300"/>
      <c r="AP69" s="185">
        <v>350</v>
      </c>
      <c r="AQ69" s="300"/>
      <c r="AR69" s="300">
        <v>233396.66</v>
      </c>
      <c r="AS69" s="300"/>
      <c r="AT69" s="300"/>
      <c r="AU69" s="185"/>
      <c r="AV69" s="185">
        <v>5802.33</v>
      </c>
      <c r="AW69" s="185"/>
      <c r="AX69" s="185">
        <v>243.26</v>
      </c>
      <c r="AY69" s="185">
        <v>41735.129999999997</v>
      </c>
      <c r="AZ69" s="185">
        <v>13363.85</v>
      </c>
      <c r="BA69" s="185">
        <v>617.45000000000005</v>
      </c>
      <c r="BB69" s="185">
        <v>17383.75</v>
      </c>
      <c r="BC69" s="185"/>
      <c r="BD69" s="185">
        <v>303174.19</v>
      </c>
      <c r="BE69" s="185">
        <v>514962.32</v>
      </c>
      <c r="BF69" s="185">
        <v>4182.5200000000004</v>
      </c>
      <c r="BG69" s="185"/>
      <c r="BH69" s="224">
        <v>3170887.38</v>
      </c>
      <c r="BI69" s="185">
        <v>41218.83</v>
      </c>
      <c r="BJ69" s="185">
        <v>180092.68</v>
      </c>
      <c r="BK69" s="185">
        <v>340509.1</v>
      </c>
      <c r="BL69" s="185">
        <v>26417.34</v>
      </c>
      <c r="BM69" s="185"/>
      <c r="BN69" s="185">
        <v>328503.28999999998</v>
      </c>
      <c r="BO69" s="185">
        <v>130533.34</v>
      </c>
      <c r="BP69" s="185">
        <v>273693.01</v>
      </c>
      <c r="BQ69" s="185"/>
      <c r="BR69" s="185">
        <v>784038.28</v>
      </c>
      <c r="BS69" s="185"/>
      <c r="BT69" s="185"/>
      <c r="BU69" s="185"/>
      <c r="BV69" s="185">
        <v>94923.69</v>
      </c>
      <c r="BW69" s="185">
        <v>18235.919999999998</v>
      </c>
      <c r="BX69" s="185"/>
      <c r="BY69" s="185">
        <v>302.54000000000002</v>
      </c>
      <c r="BZ69" s="185"/>
      <c r="CA69" s="185">
        <v>42647.43</v>
      </c>
      <c r="CB69" s="185"/>
      <c r="CC69" s="185">
        <v>2291446.36</v>
      </c>
      <c r="CD69" s="308"/>
      <c r="CE69" s="295">
        <f t="shared" si="0"/>
        <v>14328810.789999995</v>
      </c>
      <c r="CF69" s="2"/>
    </row>
    <row r="70" spans="1:84" ht="12.65" customHeight="1" x14ac:dyDescent="0.3">
      <c r="A70" s="302" t="s">
        <v>242</v>
      </c>
      <c r="B70" s="295"/>
      <c r="C70" s="300"/>
      <c r="D70" s="300"/>
      <c r="E70" s="300"/>
      <c r="F70" s="185"/>
      <c r="G70" s="300"/>
      <c r="H70" s="300"/>
      <c r="I70" s="300"/>
      <c r="J70" s="185"/>
      <c r="K70" s="185"/>
      <c r="L70" s="185"/>
      <c r="M70" s="300"/>
      <c r="N70" s="300"/>
      <c r="O70" s="300"/>
      <c r="P70" s="300"/>
      <c r="Q70" s="300"/>
      <c r="R70" s="300"/>
      <c r="S70" s="300"/>
      <c r="T70" s="300"/>
      <c r="U70" s="185"/>
      <c r="V70" s="300"/>
      <c r="W70" s="300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8"/>
      <c r="CE70" s="295">
        <f t="shared" si="0"/>
        <v>0</v>
      </c>
      <c r="CF70" s="2"/>
    </row>
    <row r="71" spans="1:84" ht="12.65" customHeight="1" x14ac:dyDescent="0.3">
      <c r="A71" s="302" t="s">
        <v>243</v>
      </c>
      <c r="B71" s="295"/>
      <c r="C71" s="295">
        <f>SUM(C61:C68)+C69-C70</f>
        <v>6123885.330000001</v>
      </c>
      <c r="D71" s="295">
        <f t="shared" ref="D71:AI71" si="5">SUM(D61:D69)-D70</f>
        <v>0</v>
      </c>
      <c r="E71" s="295">
        <f t="shared" si="5"/>
        <v>9132418.8000000007</v>
      </c>
      <c r="F71" s="295">
        <f t="shared" si="5"/>
        <v>0</v>
      </c>
      <c r="G71" s="295">
        <f t="shared" si="5"/>
        <v>0</v>
      </c>
      <c r="H71" s="295">
        <f t="shared" si="5"/>
        <v>0</v>
      </c>
      <c r="I71" s="295">
        <f t="shared" si="5"/>
        <v>0</v>
      </c>
      <c r="J71" s="295">
        <f t="shared" si="5"/>
        <v>788565.69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478771.85000000003</v>
      </c>
      <c r="P71" s="295">
        <f t="shared" si="5"/>
        <v>10715633.819999998</v>
      </c>
      <c r="Q71" s="295">
        <f t="shared" si="5"/>
        <v>828303.78</v>
      </c>
      <c r="R71" s="295">
        <f t="shared" si="5"/>
        <v>1315325.43</v>
      </c>
      <c r="S71" s="295">
        <f t="shared" si="5"/>
        <v>1476215.75</v>
      </c>
      <c r="T71" s="295">
        <f t="shared" si="5"/>
        <v>172466.67</v>
      </c>
      <c r="U71" s="295">
        <f t="shared" si="5"/>
        <v>10593250.83</v>
      </c>
      <c r="V71" s="295">
        <f t="shared" si="5"/>
        <v>3879140.01</v>
      </c>
      <c r="W71" s="295">
        <f t="shared" si="5"/>
        <v>1559383.0999999999</v>
      </c>
      <c r="X71" s="295">
        <f t="shared" si="5"/>
        <v>1768423.9500000002</v>
      </c>
      <c r="Y71" s="295">
        <f t="shared" si="5"/>
        <v>8389324.1099999994</v>
      </c>
      <c r="Z71" s="295">
        <f t="shared" si="5"/>
        <v>5024260.2200000007</v>
      </c>
      <c r="AA71" s="295">
        <f t="shared" si="5"/>
        <v>538073.55000000005</v>
      </c>
      <c r="AB71" s="295">
        <f t="shared" si="5"/>
        <v>22662950.039999999</v>
      </c>
      <c r="AC71" s="295">
        <f t="shared" si="5"/>
        <v>1543504.7800000003</v>
      </c>
      <c r="AD71" s="295">
        <f t="shared" si="5"/>
        <v>0</v>
      </c>
      <c r="AE71" s="295">
        <f t="shared" si="5"/>
        <v>4383847.7</v>
      </c>
      <c r="AF71" s="295">
        <f t="shared" si="5"/>
        <v>0</v>
      </c>
      <c r="AG71" s="295">
        <f t="shared" si="5"/>
        <v>12287853.52</v>
      </c>
      <c r="AH71" s="295">
        <f t="shared" si="5"/>
        <v>547.38</v>
      </c>
      <c r="AI71" s="295">
        <f t="shared" si="5"/>
        <v>2631239.8899999997</v>
      </c>
      <c r="AJ71" s="295">
        <f t="shared" ref="AJ71:BO71" si="6">SUM(AJ61:AJ69)-AJ70</f>
        <v>43375457.990000002</v>
      </c>
      <c r="AK71" s="295">
        <f t="shared" si="6"/>
        <v>0</v>
      </c>
      <c r="AL71" s="295">
        <f t="shared" si="6"/>
        <v>23.53</v>
      </c>
      <c r="AM71" s="295">
        <f t="shared" si="6"/>
        <v>0</v>
      </c>
      <c r="AN71" s="295">
        <f t="shared" si="6"/>
        <v>0</v>
      </c>
      <c r="AO71" s="295">
        <f t="shared" si="6"/>
        <v>0</v>
      </c>
      <c r="AP71" s="295">
        <f t="shared" si="6"/>
        <v>350</v>
      </c>
      <c r="AQ71" s="295">
        <f t="shared" si="6"/>
        <v>0</v>
      </c>
      <c r="AR71" s="295">
        <f t="shared" si="6"/>
        <v>7996671.5499999998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4858378.4700000007</v>
      </c>
      <c r="AW71" s="295">
        <f t="shared" si="6"/>
        <v>0</v>
      </c>
      <c r="AX71" s="295">
        <f t="shared" si="6"/>
        <v>129241.5</v>
      </c>
      <c r="AY71" s="295">
        <f t="shared" si="6"/>
        <v>2700137.4</v>
      </c>
      <c r="AZ71" s="295">
        <f t="shared" si="6"/>
        <v>319414.67000000004</v>
      </c>
      <c r="BA71" s="295">
        <f t="shared" si="6"/>
        <v>643051.01</v>
      </c>
      <c r="BB71" s="295">
        <f t="shared" si="6"/>
        <v>1861503.21</v>
      </c>
      <c r="BC71" s="295">
        <f t="shared" si="6"/>
        <v>0</v>
      </c>
      <c r="BD71" s="295">
        <f t="shared" si="6"/>
        <v>1622869.94</v>
      </c>
      <c r="BE71" s="295">
        <f t="shared" si="6"/>
        <v>4066256.66</v>
      </c>
      <c r="BF71" s="295">
        <f t="shared" si="6"/>
        <v>2420737.1500000004</v>
      </c>
      <c r="BG71" s="295">
        <f t="shared" si="6"/>
        <v>0</v>
      </c>
      <c r="BH71" s="295">
        <f t="shared" si="6"/>
        <v>9466334.8399999999</v>
      </c>
      <c r="BI71" s="295">
        <f t="shared" si="6"/>
        <v>1248764.55</v>
      </c>
      <c r="BJ71" s="295">
        <f t="shared" si="6"/>
        <v>1791110.32</v>
      </c>
      <c r="BK71" s="295">
        <f t="shared" si="6"/>
        <v>2721300.33</v>
      </c>
      <c r="BL71" s="295">
        <f t="shared" si="6"/>
        <v>5723479.3999999994</v>
      </c>
      <c r="BM71" s="295">
        <f t="shared" si="6"/>
        <v>0</v>
      </c>
      <c r="BN71" s="295">
        <f t="shared" si="6"/>
        <v>1763262.49</v>
      </c>
      <c r="BO71" s="295">
        <f t="shared" si="6"/>
        <v>413808.5</v>
      </c>
      <c r="BP71" s="295">
        <f t="shared" ref="BP71:CC71" si="7">SUM(BP61:BP69)-BP70</f>
        <v>609185.4</v>
      </c>
      <c r="BQ71" s="295">
        <f t="shared" si="7"/>
        <v>0</v>
      </c>
      <c r="BR71" s="295">
        <f t="shared" si="7"/>
        <v>2822626.58</v>
      </c>
      <c r="BS71" s="295">
        <f t="shared" si="7"/>
        <v>0</v>
      </c>
      <c r="BT71" s="295">
        <f t="shared" si="7"/>
        <v>0</v>
      </c>
      <c r="BU71" s="295">
        <f t="shared" si="7"/>
        <v>0</v>
      </c>
      <c r="BV71" s="295">
        <f t="shared" si="7"/>
        <v>1131813.06</v>
      </c>
      <c r="BW71" s="295">
        <f t="shared" si="7"/>
        <v>287667.64</v>
      </c>
      <c r="BX71" s="295">
        <f t="shared" si="7"/>
        <v>0</v>
      </c>
      <c r="BY71" s="295">
        <f t="shared" si="7"/>
        <v>1376966.8</v>
      </c>
      <c r="BZ71" s="295">
        <f t="shared" si="7"/>
        <v>0</v>
      </c>
      <c r="CA71" s="295">
        <f t="shared" si="7"/>
        <v>660117.22</v>
      </c>
      <c r="CB71" s="295">
        <f t="shared" si="7"/>
        <v>0</v>
      </c>
      <c r="CC71" s="295">
        <f t="shared" si="7"/>
        <v>13492672.16</v>
      </c>
      <c r="CD71" s="301">
        <f>CD69-CD70</f>
        <v>0</v>
      </c>
      <c r="CE71" s="295">
        <f>SUM(CE61:CE69)-CE70</f>
        <v>219796588.57000002</v>
      </c>
      <c r="CF71" s="2"/>
    </row>
    <row r="72" spans="1:84" ht="12.65" customHeight="1" x14ac:dyDescent="0.3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>
        <v>4654426.04</v>
      </c>
      <c r="CF72" s="2"/>
    </row>
    <row r="73" spans="1:84" ht="12.65" customHeight="1" x14ac:dyDescent="0.3">
      <c r="A73" s="302" t="s">
        <v>245</v>
      </c>
      <c r="B73" s="295"/>
      <c r="C73" s="300">
        <f>14293451.25+3402126.06</f>
        <v>17695577.309999999</v>
      </c>
      <c r="D73" s="300"/>
      <c r="E73" s="185">
        <v>18518487.510000002</v>
      </c>
      <c r="F73" s="185"/>
      <c r="G73" s="300"/>
      <c r="H73" s="300"/>
      <c r="I73" s="185"/>
      <c r="J73" s="185">
        <v>1731991.45</v>
      </c>
      <c r="K73" s="185"/>
      <c r="L73" s="185"/>
      <c r="M73" s="300"/>
      <c r="N73" s="300"/>
      <c r="O73" s="300">
        <v>1051566.24</v>
      </c>
      <c r="P73" s="185">
        <v>10456875.5</v>
      </c>
      <c r="Q73" s="185"/>
      <c r="R73" s="185">
        <v>722253</v>
      </c>
      <c r="S73" s="185">
        <v>1091518.75</v>
      </c>
      <c r="T73" s="185">
        <v>579455.5</v>
      </c>
      <c r="U73" s="185">
        <v>8542943.5500000007</v>
      </c>
      <c r="V73" s="185">
        <v>1535361.99</v>
      </c>
      <c r="W73" s="185">
        <v>1128551.17</v>
      </c>
      <c r="X73" s="185">
        <v>6572945.3899999997</v>
      </c>
      <c r="Y73" s="185">
        <v>2642690.88</v>
      </c>
      <c r="Z73" s="185">
        <v>58142.5</v>
      </c>
      <c r="AA73" s="185">
        <v>133112.5</v>
      </c>
      <c r="AB73" s="185">
        <v>11382272.880000001</v>
      </c>
      <c r="AC73" s="185">
        <v>3401164</v>
      </c>
      <c r="AD73" s="185"/>
      <c r="AE73" s="185">
        <v>1173714.75</v>
      </c>
      <c r="AF73" s="185"/>
      <c r="AG73" s="185">
        <v>5329868.5</v>
      </c>
      <c r="AH73" s="185"/>
      <c r="AI73" s="185">
        <v>26273.5</v>
      </c>
      <c r="AJ73" s="185">
        <v>58934.98</v>
      </c>
      <c r="AK73" s="185">
        <v>383</v>
      </c>
      <c r="AL73" s="185">
        <v>799.75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3241166.45+478</f>
        <v>3241644.45</v>
      </c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97076529.049999997</v>
      </c>
      <c r="CF73" s="2"/>
    </row>
    <row r="74" spans="1:84" ht="12.65" customHeight="1" x14ac:dyDescent="0.3">
      <c r="A74" s="302" t="s">
        <v>246</v>
      </c>
      <c r="B74" s="295"/>
      <c r="C74" s="300">
        <v>446336.25</v>
      </c>
      <c r="D74" s="300"/>
      <c r="E74" s="185">
        <f>2623074.25+463866.15</f>
        <v>3086940.4</v>
      </c>
      <c r="F74" s="185"/>
      <c r="G74" s="300"/>
      <c r="H74" s="300"/>
      <c r="I74" s="300"/>
      <c r="J74" s="185">
        <v>236150.04</v>
      </c>
      <c r="K74" s="185"/>
      <c r="L74" s="185"/>
      <c r="M74" s="300"/>
      <c r="N74" s="300"/>
      <c r="O74" s="300">
        <v>143376.81</v>
      </c>
      <c r="P74" s="185">
        <v>27715705.329999998</v>
      </c>
      <c r="Q74" s="185">
        <v>1529285</v>
      </c>
      <c r="R74" s="185">
        <v>2975629.25</v>
      </c>
      <c r="S74" s="185"/>
      <c r="T74" s="185">
        <v>103922.75</v>
      </c>
      <c r="U74" s="185">
        <v>33839656.200000003</v>
      </c>
      <c r="V74" s="185">
        <v>15169491.01</v>
      </c>
      <c r="W74" s="185">
        <v>15735347.300000001</v>
      </c>
      <c r="X74" s="185">
        <v>29346586.539999999</v>
      </c>
      <c r="Y74" s="185">
        <v>28092231.489999998</v>
      </c>
      <c r="Z74" s="185">
        <v>15279742.949999999</v>
      </c>
      <c r="AA74" s="185">
        <v>1309863.3</v>
      </c>
      <c r="AB74" s="185">
        <v>56093016.549999997</v>
      </c>
      <c r="AC74" s="185">
        <v>1502774</v>
      </c>
      <c r="AD74" s="185"/>
      <c r="AE74" s="185">
        <v>5843519.3099999996</v>
      </c>
      <c r="AF74" s="185"/>
      <c r="AG74" s="185">
        <v>26315242.289999999</v>
      </c>
      <c r="AH74" s="185"/>
      <c r="AI74" s="185">
        <v>2717081.28</v>
      </c>
      <c r="AJ74" s="185">
        <v>61471037.329999998</v>
      </c>
      <c r="AK74" s="185">
        <v>817366.5</v>
      </c>
      <c r="AL74" s="185">
        <v>601714</v>
      </c>
      <c r="AM74" s="185"/>
      <c r="AN74" s="185"/>
      <c r="AO74" s="185"/>
      <c r="AP74" s="185"/>
      <c r="AQ74" s="185"/>
      <c r="AR74" s="185">
        <v>8848835.2400000002</v>
      </c>
      <c r="AS74" s="185"/>
      <c r="AT74" s="185"/>
      <c r="AU74" s="185"/>
      <c r="AV74" s="185">
        <f>222686.23+108829.5+48581</f>
        <v>380096.73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339600947.85000002</v>
      </c>
      <c r="CF74" s="2"/>
    </row>
    <row r="75" spans="1:84" ht="12.65" customHeight="1" x14ac:dyDescent="0.3">
      <c r="A75" s="302" t="s">
        <v>247</v>
      </c>
      <c r="B75" s="295"/>
      <c r="C75" s="295">
        <f t="shared" ref="C75:AV75" si="9">SUM(C73:C74)</f>
        <v>18141913.559999999</v>
      </c>
      <c r="D75" s="295">
        <f t="shared" si="9"/>
        <v>0</v>
      </c>
      <c r="E75" s="295">
        <f t="shared" si="9"/>
        <v>21605427.91</v>
      </c>
      <c r="F75" s="295">
        <f t="shared" si="9"/>
        <v>0</v>
      </c>
      <c r="G75" s="295">
        <f t="shared" si="9"/>
        <v>0</v>
      </c>
      <c r="H75" s="295">
        <f t="shared" si="9"/>
        <v>0</v>
      </c>
      <c r="I75" s="295">
        <f t="shared" si="9"/>
        <v>0</v>
      </c>
      <c r="J75" s="295">
        <f t="shared" si="9"/>
        <v>1968141.49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1194943.05</v>
      </c>
      <c r="P75" s="295">
        <f t="shared" si="9"/>
        <v>38172580.829999998</v>
      </c>
      <c r="Q75" s="295">
        <f t="shared" si="9"/>
        <v>1529285</v>
      </c>
      <c r="R75" s="295">
        <f t="shared" si="9"/>
        <v>3697882.25</v>
      </c>
      <c r="S75" s="295">
        <f t="shared" si="9"/>
        <v>1091518.75</v>
      </c>
      <c r="T75" s="295">
        <f t="shared" si="9"/>
        <v>683378.25</v>
      </c>
      <c r="U75" s="295">
        <f t="shared" si="9"/>
        <v>42382599.75</v>
      </c>
      <c r="V75" s="295">
        <f t="shared" si="9"/>
        <v>16704853</v>
      </c>
      <c r="W75" s="295">
        <f t="shared" si="9"/>
        <v>16863898.469999999</v>
      </c>
      <c r="X75" s="295">
        <f t="shared" si="9"/>
        <v>35919531.93</v>
      </c>
      <c r="Y75" s="295">
        <f t="shared" si="9"/>
        <v>30734922.369999997</v>
      </c>
      <c r="Z75" s="295">
        <f t="shared" si="9"/>
        <v>15337885.449999999</v>
      </c>
      <c r="AA75" s="295">
        <f t="shared" si="9"/>
        <v>1442975.8</v>
      </c>
      <c r="AB75" s="295">
        <f t="shared" si="9"/>
        <v>67475289.429999992</v>
      </c>
      <c r="AC75" s="295">
        <f t="shared" si="9"/>
        <v>4903938</v>
      </c>
      <c r="AD75" s="295">
        <f t="shared" si="9"/>
        <v>0</v>
      </c>
      <c r="AE75" s="295">
        <f t="shared" si="9"/>
        <v>7017234.0599999996</v>
      </c>
      <c r="AF75" s="295">
        <f t="shared" si="9"/>
        <v>0</v>
      </c>
      <c r="AG75" s="295">
        <f t="shared" si="9"/>
        <v>31645110.789999999</v>
      </c>
      <c r="AH75" s="295">
        <f t="shared" si="9"/>
        <v>0</v>
      </c>
      <c r="AI75" s="295">
        <f t="shared" si="9"/>
        <v>2743354.78</v>
      </c>
      <c r="AJ75" s="295">
        <f t="shared" si="9"/>
        <v>61529972.309999995</v>
      </c>
      <c r="AK75" s="295">
        <f t="shared" si="9"/>
        <v>817749.5</v>
      </c>
      <c r="AL75" s="295">
        <f t="shared" si="9"/>
        <v>602513.75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0</v>
      </c>
      <c r="AQ75" s="295">
        <f t="shared" si="9"/>
        <v>0</v>
      </c>
      <c r="AR75" s="295">
        <f t="shared" si="9"/>
        <v>8848835.2400000002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3621741.18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436677476.90000004</v>
      </c>
      <c r="CF75" s="2"/>
    </row>
    <row r="76" spans="1:84" ht="12.65" customHeight="1" x14ac:dyDescent="0.3">
      <c r="A76" s="302" t="s">
        <v>248</v>
      </c>
      <c r="B76" s="295"/>
      <c r="C76" s="300">
        <v>6300.62</v>
      </c>
      <c r="D76" s="300"/>
      <c r="E76" s="185">
        <v>12413.56</v>
      </c>
      <c r="F76" s="185"/>
      <c r="G76" s="300"/>
      <c r="H76" s="300"/>
      <c r="I76" s="185"/>
      <c r="J76" s="185">
        <v>253.24</v>
      </c>
      <c r="K76" s="185"/>
      <c r="L76" s="185"/>
      <c r="M76" s="185"/>
      <c r="N76" s="185"/>
      <c r="O76" s="185">
        <v>6311.84</v>
      </c>
      <c r="P76" s="185">
        <v>11814.22</v>
      </c>
      <c r="Q76" s="185">
        <v>1720.47</v>
      </c>
      <c r="R76" s="185">
        <v>500.56</v>
      </c>
      <c r="S76" s="185">
        <v>3093.06</v>
      </c>
      <c r="T76" s="185"/>
      <c r="U76" s="185">
        <v>8720.26</v>
      </c>
      <c r="V76" s="185">
        <v>9412.4</v>
      </c>
      <c r="W76" s="185">
        <v>1197.6600000000001</v>
      </c>
      <c r="X76" s="185">
        <v>1261.94</v>
      </c>
      <c r="Y76" s="185">
        <v>19441.689999999999</v>
      </c>
      <c r="Z76" s="185">
        <v>6046.97</v>
      </c>
      <c r="AA76" s="185">
        <v>599.78</v>
      </c>
      <c r="AB76" s="185">
        <v>2337.7600000000002</v>
      </c>
      <c r="AC76" s="185">
        <v>2844.88</v>
      </c>
      <c r="AD76" s="185"/>
      <c r="AE76" s="185">
        <v>9552.9599999999991</v>
      </c>
      <c r="AF76" s="185"/>
      <c r="AG76" s="185">
        <v>6022.48</v>
      </c>
      <c r="AH76" s="185">
        <v>97.77</v>
      </c>
      <c r="AI76" s="185">
        <v>5193.58</v>
      </c>
      <c r="AJ76" s="185">
        <v>45670.99</v>
      </c>
      <c r="AK76" s="185"/>
      <c r="AL76" s="185"/>
      <c r="AM76" s="185"/>
      <c r="AN76" s="185"/>
      <c r="AO76" s="185"/>
      <c r="AP76" s="185"/>
      <c r="AQ76" s="185"/>
      <c r="AR76" s="185">
        <v>4731.8500000000004</v>
      </c>
      <c r="AS76" s="185"/>
      <c r="AT76" s="185"/>
      <c r="AU76" s="185"/>
      <c r="AV76" s="185">
        <v>2417.65</v>
      </c>
      <c r="AW76" s="185"/>
      <c r="AX76" s="185">
        <v>1020.73</v>
      </c>
      <c r="AY76" s="185">
        <v>6739.93</v>
      </c>
      <c r="AZ76" s="185">
        <v>1129.03</v>
      </c>
      <c r="BA76" s="185">
        <v>3169.97</v>
      </c>
      <c r="BB76" s="185">
        <v>751.78</v>
      </c>
      <c r="BC76" s="185"/>
      <c r="BD76" s="185">
        <v>10922.31</v>
      </c>
      <c r="BE76" s="185">
        <v>25962.22</v>
      </c>
      <c r="BF76" s="185">
        <v>2025.75</v>
      </c>
      <c r="BG76" s="185"/>
      <c r="BH76" s="185">
        <v>14308.94</v>
      </c>
      <c r="BI76" s="185">
        <v>3788.29</v>
      </c>
      <c r="BJ76" s="185">
        <v>1565.08</v>
      </c>
      <c r="BK76" s="185">
        <v>4617.0499999999993</v>
      </c>
      <c r="BL76" s="185">
        <v>5480.68</v>
      </c>
      <c r="BM76" s="185"/>
      <c r="BN76" s="185">
        <v>1916.88</v>
      </c>
      <c r="BO76" s="185">
        <v>122.76</v>
      </c>
      <c r="BP76" s="185">
        <v>1590.75</v>
      </c>
      <c r="BQ76" s="185"/>
      <c r="BR76" s="185">
        <v>3326.56</v>
      </c>
      <c r="BS76" s="185"/>
      <c r="BT76" s="185"/>
      <c r="BU76" s="185"/>
      <c r="BV76" s="185">
        <v>2989.01</v>
      </c>
      <c r="BW76" s="185">
        <v>331.03</v>
      </c>
      <c r="BX76" s="185"/>
      <c r="BY76" s="185">
        <v>807.15</v>
      </c>
      <c r="BZ76" s="185"/>
      <c r="CA76" s="185">
        <v>5334.4</v>
      </c>
      <c r="CB76" s="185"/>
      <c r="CC76" s="185">
        <v>158000.45000000001</v>
      </c>
      <c r="CD76" s="305" t="s">
        <v>221</v>
      </c>
      <c r="CE76" s="295">
        <f t="shared" si="8"/>
        <v>423858.94</v>
      </c>
      <c r="CF76" s="295">
        <f>BE59-CE76</f>
        <v>-3.999999986262992E-2</v>
      </c>
    </row>
    <row r="77" spans="1:84" ht="12.65" customHeight="1" x14ac:dyDescent="0.3">
      <c r="A77" s="302" t="s">
        <v>249</v>
      </c>
      <c r="B77" s="295"/>
      <c r="C77" s="300">
        <v>9510</v>
      </c>
      <c r="D77" s="300"/>
      <c r="E77" s="300">
        <v>36597</v>
      </c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5" t="s">
        <v>221</v>
      </c>
      <c r="AY77" s="305" t="s">
        <v>221</v>
      </c>
      <c r="AZ77" s="300"/>
      <c r="BA77" s="300"/>
      <c r="BB77" s="300"/>
      <c r="BC77" s="300"/>
      <c r="BD77" s="305" t="s">
        <v>221</v>
      </c>
      <c r="BE77" s="305" t="s">
        <v>221</v>
      </c>
      <c r="BF77" s="300"/>
      <c r="BG77" s="305" t="s">
        <v>221</v>
      </c>
      <c r="BH77" s="300"/>
      <c r="BI77" s="300"/>
      <c r="BJ77" s="305" t="s">
        <v>221</v>
      </c>
      <c r="BK77" s="300"/>
      <c r="BL77" s="300"/>
      <c r="BM77" s="300"/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/>
      <c r="BT77" s="300"/>
      <c r="BU77" s="300"/>
      <c r="BV77" s="300"/>
      <c r="BW77" s="300"/>
      <c r="BX77" s="300"/>
      <c r="BY77" s="300"/>
      <c r="BZ77" s="300"/>
      <c r="CA77" s="300"/>
      <c r="CB77" s="300"/>
      <c r="CC77" s="305" t="s">
        <v>221</v>
      </c>
      <c r="CD77" s="305" t="s">
        <v>221</v>
      </c>
      <c r="CE77" s="295">
        <f>SUM(C77:CD77)</f>
        <v>46107</v>
      </c>
      <c r="CF77" s="295">
        <f>AY59-CE77</f>
        <v>0</v>
      </c>
    </row>
    <row r="78" spans="1:84" ht="12.65" customHeight="1" x14ac:dyDescent="0.3">
      <c r="A78" s="302" t="s">
        <v>250</v>
      </c>
      <c r="B78" s="295"/>
      <c r="C78" s="300">
        <v>1545.0508929397336</v>
      </c>
      <c r="D78" s="300"/>
      <c r="E78" s="300">
        <v>3044.0785133147151</v>
      </c>
      <c r="F78" s="300"/>
      <c r="G78" s="300"/>
      <c r="H78" s="300"/>
      <c r="I78" s="300"/>
      <c r="J78" s="300">
        <v>62.100029541228992</v>
      </c>
      <c r="K78" s="300"/>
      <c r="L78" s="300"/>
      <c r="M78" s="300"/>
      <c r="N78" s="300"/>
      <c r="O78" s="300">
        <v>1547.8022842343655</v>
      </c>
      <c r="P78" s="300">
        <v>1923.0238850948958</v>
      </c>
      <c r="Q78" s="300">
        <v>421.89716405306518</v>
      </c>
      <c r="R78" s="300">
        <v>122.74834460258087</v>
      </c>
      <c r="S78" s="300">
        <v>758.48648465010945</v>
      </c>
      <c r="T78" s="300"/>
      <c r="U78" s="300">
        <v>2052.4766002852875</v>
      </c>
      <c r="V78" s="300">
        <v>2222.204583410648</v>
      </c>
      <c r="W78" s="300">
        <v>293.69262904891929</v>
      </c>
      <c r="X78" s="300">
        <v>309.4555018135307</v>
      </c>
      <c r="Y78" s="300">
        <v>4273.2024947916016</v>
      </c>
      <c r="Z78" s="300">
        <v>1482.8503223618916</v>
      </c>
      <c r="AA78" s="300">
        <v>147.0792754629534</v>
      </c>
      <c r="AB78" s="300">
        <v>573.27027744551992</v>
      </c>
      <c r="AC78" s="300">
        <v>697.62727863391058</v>
      </c>
      <c r="AD78" s="300"/>
      <c r="AE78" s="300">
        <v>2342.5963442038337</v>
      </c>
      <c r="AF78" s="300"/>
      <c r="AG78" s="300">
        <v>1476.8448345895622</v>
      </c>
      <c r="AH78" s="300">
        <v>23.975358901618847</v>
      </c>
      <c r="AI78" s="300">
        <v>1273.5802852027168</v>
      </c>
      <c r="AJ78" s="300">
        <v>7359.9251209527065</v>
      </c>
      <c r="AK78" s="300"/>
      <c r="AL78" s="300"/>
      <c r="AM78" s="300"/>
      <c r="AN78" s="300"/>
      <c r="AO78" s="300"/>
      <c r="AP78" s="300"/>
      <c r="AQ78" s="300"/>
      <c r="AR78" s="300">
        <v>693.10293198632064</v>
      </c>
      <c r="AS78" s="300"/>
      <c r="AT78" s="300"/>
      <c r="AU78" s="300"/>
      <c r="AV78" s="300">
        <v>273.98903809315493</v>
      </c>
      <c r="AW78" s="300"/>
      <c r="AX78" s="305" t="s">
        <v>221</v>
      </c>
      <c r="AY78" s="305" t="s">
        <v>221</v>
      </c>
      <c r="AZ78" s="305" t="s">
        <v>221</v>
      </c>
      <c r="BA78" s="300">
        <v>777.34651178648562</v>
      </c>
      <c r="BB78" s="300">
        <v>184.35302562195989</v>
      </c>
      <c r="BC78" s="300"/>
      <c r="BD78" s="305" t="s">
        <v>221</v>
      </c>
      <c r="BE78" s="305" t="s">
        <v>221</v>
      </c>
      <c r="BF78" s="305" t="s">
        <v>221</v>
      </c>
      <c r="BG78" s="305" t="s">
        <v>221</v>
      </c>
      <c r="BH78" s="300">
        <v>3361.8838256079443</v>
      </c>
      <c r="BI78" s="300">
        <v>46285.91</v>
      </c>
      <c r="BJ78" s="305" t="s">
        <v>221</v>
      </c>
      <c r="BK78" s="300">
        <v>0</v>
      </c>
      <c r="BL78" s="300">
        <v>1213.6161396344153</v>
      </c>
      <c r="BM78" s="300"/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/>
      <c r="BT78" s="300"/>
      <c r="BU78" s="300"/>
      <c r="BV78" s="300">
        <v>423.01047211702507</v>
      </c>
      <c r="BW78" s="300">
        <v>81.175852073262632</v>
      </c>
      <c r="BX78" s="300"/>
      <c r="BY78" s="300">
        <v>197.93097000554008</v>
      </c>
      <c r="BZ78" s="300"/>
      <c r="CA78" s="300">
        <v>1308.1124529487122</v>
      </c>
      <c r="CB78" s="300"/>
      <c r="CC78" s="305" t="s">
        <v>221</v>
      </c>
      <c r="CD78" s="305" t="s">
        <v>221</v>
      </c>
      <c r="CE78" s="295">
        <f t="shared" si="8"/>
        <v>88754.399725410214</v>
      </c>
      <c r="CF78" s="295"/>
    </row>
    <row r="79" spans="1:84" ht="12.65" customHeight="1" x14ac:dyDescent="0.3">
      <c r="A79" s="302" t="s">
        <v>251</v>
      </c>
      <c r="B79" s="295"/>
      <c r="C79" s="225">
        <v>134918</v>
      </c>
      <c r="D79" s="225"/>
      <c r="E79" s="300">
        <v>234702</v>
      </c>
      <c r="F79" s="300"/>
      <c r="G79" s="300"/>
      <c r="H79" s="300"/>
      <c r="I79" s="300"/>
      <c r="J79" s="300">
        <v>13123</v>
      </c>
      <c r="K79" s="300"/>
      <c r="L79" s="300"/>
      <c r="M79" s="300"/>
      <c r="N79" s="300"/>
      <c r="O79" s="300">
        <v>49664</v>
      </c>
      <c r="P79" s="300">
        <v>109500</v>
      </c>
      <c r="Q79" s="300">
        <v>29746</v>
      </c>
      <c r="R79" s="300"/>
      <c r="S79" s="300">
        <v>19264</v>
      </c>
      <c r="T79" s="300"/>
      <c r="U79" s="300">
        <v>2177</v>
      </c>
      <c r="V79" s="300"/>
      <c r="W79" s="300"/>
      <c r="X79" s="300"/>
      <c r="Y79" s="300">
        <v>106889</v>
      </c>
      <c r="Z79" s="300">
        <v>17367.73</v>
      </c>
      <c r="AA79" s="300"/>
      <c r="AB79" s="300">
        <v>507</v>
      </c>
      <c r="AC79" s="300">
        <v>60</v>
      </c>
      <c r="AD79" s="300"/>
      <c r="AE79" s="300">
        <v>21696</v>
      </c>
      <c r="AF79" s="300"/>
      <c r="AG79" s="300">
        <v>287965</v>
      </c>
      <c r="AH79" s="300"/>
      <c r="AI79" s="300">
        <v>61293.06</v>
      </c>
      <c r="AJ79" s="300">
        <v>52522</v>
      </c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>
        <v>5318</v>
      </c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/>
      <c r="BI79" s="300">
        <v>69515</v>
      </c>
      <c r="BJ79" s="305" t="s">
        <v>221</v>
      </c>
      <c r="BK79" s="300"/>
      <c r="BL79" s="300"/>
      <c r="BM79" s="300"/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/>
      <c r="BT79" s="300"/>
      <c r="BU79" s="300"/>
      <c r="BV79" s="300"/>
      <c r="BW79" s="300"/>
      <c r="BX79" s="300"/>
      <c r="BY79" s="300"/>
      <c r="BZ79" s="300"/>
      <c r="CA79" s="300"/>
      <c r="CB79" s="300"/>
      <c r="CC79" s="305" t="s">
        <v>221</v>
      </c>
      <c r="CD79" s="305" t="s">
        <v>221</v>
      </c>
      <c r="CE79" s="295">
        <f t="shared" si="8"/>
        <v>1216226.79</v>
      </c>
      <c r="CF79" s="295">
        <f>BA59</f>
        <v>0</v>
      </c>
    </row>
    <row r="80" spans="1:84" ht="12.65" customHeight="1" x14ac:dyDescent="0.3">
      <c r="A80" s="302" t="s">
        <v>252</v>
      </c>
      <c r="B80" s="295"/>
      <c r="C80" s="187">
        <v>36.68</v>
      </c>
      <c r="D80" s="187"/>
      <c r="E80" s="187">
        <v>60.57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15.98</v>
      </c>
      <c r="Q80" s="187">
        <v>6.55</v>
      </c>
      <c r="R80" s="187">
        <v>1.22</v>
      </c>
      <c r="S80" s="187"/>
      <c r="T80" s="187">
        <v>0.59</v>
      </c>
      <c r="U80" s="187"/>
      <c r="V80" s="187">
        <v>2.85</v>
      </c>
      <c r="W80" s="187"/>
      <c r="X80" s="187"/>
      <c r="Y80" s="187">
        <v>3.09</v>
      </c>
      <c r="Z80" s="187">
        <v>2.72</v>
      </c>
      <c r="AA80" s="187"/>
      <c r="AB80" s="187"/>
      <c r="AC80" s="187"/>
      <c r="AD80" s="187"/>
      <c r="AE80" s="187"/>
      <c r="AF80" s="187"/>
      <c r="AG80" s="187">
        <v>41.29</v>
      </c>
      <c r="AH80" s="187"/>
      <c r="AI80" s="187">
        <v>16.28</v>
      </c>
      <c r="AJ80" s="187">
        <v>43.2</v>
      </c>
      <c r="AK80" s="187"/>
      <c r="AL80" s="187"/>
      <c r="AM80" s="187"/>
      <c r="AN80" s="187"/>
      <c r="AO80" s="187"/>
      <c r="AP80" s="187"/>
      <c r="AQ80" s="187"/>
      <c r="AR80" s="187">
        <v>24.26</v>
      </c>
      <c r="AS80" s="187"/>
      <c r="AT80" s="187"/>
      <c r="AU80" s="187"/>
      <c r="AV80" s="187">
        <v>2.33</v>
      </c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257.60999999999996</v>
      </c>
      <c r="CF80" s="310"/>
    </row>
    <row r="81" spans="1:84" ht="21" customHeight="1" x14ac:dyDescent="0.3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">
      <c r="A82" s="302" t="s">
        <v>254</v>
      </c>
      <c r="B82" s="312"/>
      <c r="C82" s="313" t="s">
        <v>1267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">
      <c r="A83" s="295" t="s">
        <v>255</v>
      </c>
      <c r="B83" s="312" t="s">
        <v>256</v>
      </c>
      <c r="C83" s="315" t="s">
        <v>1268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">
      <c r="A84" s="295" t="s">
        <v>257</v>
      </c>
      <c r="B84" s="312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">
      <c r="A85" s="295" t="s">
        <v>1250</v>
      </c>
      <c r="B85" s="312"/>
      <c r="C85" s="271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">
      <c r="A86" s="295" t="s">
        <v>1251</v>
      </c>
      <c r="B86" s="312" t="s">
        <v>256</v>
      </c>
      <c r="C86" s="230" t="s">
        <v>1270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">
      <c r="A87" s="295" t="s">
        <v>258</v>
      </c>
      <c r="B87" s="312" t="s">
        <v>256</v>
      </c>
      <c r="C87" s="229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">
      <c r="A88" s="295" t="s">
        <v>259</v>
      </c>
      <c r="B88" s="312" t="s">
        <v>256</v>
      </c>
      <c r="C88" s="229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">
      <c r="A89" s="295" t="s">
        <v>260</v>
      </c>
      <c r="B89" s="312" t="s">
        <v>256</v>
      </c>
      <c r="C89" s="229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">
      <c r="A90" s="295" t="s">
        <v>261</v>
      </c>
      <c r="B90" s="312" t="s">
        <v>256</v>
      </c>
      <c r="C90" s="229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">
      <c r="A91" s="295" t="s">
        <v>262</v>
      </c>
      <c r="B91" s="312" t="s">
        <v>256</v>
      </c>
      <c r="C91" s="229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">
      <c r="A92" s="295" t="s">
        <v>263</v>
      </c>
      <c r="B92" s="312" t="s">
        <v>256</v>
      </c>
      <c r="C92" s="226" t="s">
        <v>1276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">
      <c r="A93" s="295" t="s">
        <v>264</v>
      </c>
      <c r="B93" s="312" t="s">
        <v>256</v>
      </c>
      <c r="C93" s="270" t="s">
        <v>1277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">
      <c r="A97" s="295" t="s">
        <v>267</v>
      </c>
      <c r="B97" s="312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">
      <c r="A98" s="295" t="s">
        <v>259</v>
      </c>
      <c r="B98" s="312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">
      <c r="A99" s="295" t="s">
        <v>268</v>
      </c>
      <c r="B99" s="312" t="s">
        <v>256</v>
      </c>
      <c r="C99" s="189">
        <v>1</v>
      </c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">
      <c r="A101" s="295" t="s">
        <v>270</v>
      </c>
      <c r="B101" s="312" t="s">
        <v>256</v>
      </c>
      <c r="C101" s="189"/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">
      <c r="A102" s="295" t="s">
        <v>132</v>
      </c>
      <c r="B102" s="312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">
      <c r="A104" s="295" t="s">
        <v>272</v>
      </c>
      <c r="B104" s="312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">
      <c r="A105" s="295" t="s">
        <v>273</v>
      </c>
      <c r="B105" s="312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">
      <c r="A106" s="295" t="s">
        <v>274</v>
      </c>
      <c r="B106" s="312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">
      <c r="A108" s="318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">
      <c r="A111" s="295" t="s">
        <v>278</v>
      </c>
      <c r="B111" s="312" t="s">
        <v>256</v>
      </c>
      <c r="C111" s="189">
        <v>3841</v>
      </c>
      <c r="D111" s="174">
        <v>13132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">
      <c r="A112" s="295" t="s">
        <v>279</v>
      </c>
      <c r="B112" s="312" t="s">
        <v>256</v>
      </c>
      <c r="C112" s="189"/>
      <c r="D112" s="174"/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">
      <c r="A113" s="295" t="s">
        <v>280</v>
      </c>
      <c r="B113" s="312" t="s">
        <v>256</v>
      </c>
      <c r="C113" s="189"/>
      <c r="D113" s="174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">
      <c r="A114" s="295" t="s">
        <v>281</v>
      </c>
      <c r="B114" s="312" t="s">
        <v>256</v>
      </c>
      <c r="C114" s="189">
        <v>427</v>
      </c>
      <c r="D114" s="174">
        <v>791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">
      <c r="A116" s="295" t="s">
        <v>283</v>
      </c>
      <c r="B116" s="312" t="s">
        <v>256</v>
      </c>
      <c r="C116" s="189">
        <v>10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">
      <c r="A117" s="295" t="s">
        <v>284</v>
      </c>
      <c r="B117" s="312" t="s">
        <v>256</v>
      </c>
      <c r="C117" s="189">
        <v>9</v>
      </c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">
      <c r="A118" s="295" t="s">
        <v>1238</v>
      </c>
      <c r="B118" s="312" t="s">
        <v>256</v>
      </c>
      <c r="C118" s="189">
        <v>39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">
      <c r="A119" s="295" t="s">
        <v>285</v>
      </c>
      <c r="B119" s="312" t="s">
        <v>256</v>
      </c>
      <c r="C119" s="189"/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">
      <c r="A120" s="295" t="s">
        <v>286</v>
      </c>
      <c r="B120" s="312" t="s">
        <v>256</v>
      </c>
      <c r="C120" s="189">
        <v>9</v>
      </c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">
      <c r="A121" s="295" t="s">
        <v>287</v>
      </c>
      <c r="B121" s="312" t="s">
        <v>256</v>
      </c>
      <c r="C121" s="189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">
      <c r="A122" s="295" t="s">
        <v>97</v>
      </c>
      <c r="B122" s="312" t="s">
        <v>256</v>
      </c>
      <c r="C122" s="189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">
      <c r="A123" s="295" t="s">
        <v>288</v>
      </c>
      <c r="B123" s="312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">
      <c r="A124" s="295" t="s">
        <v>289</v>
      </c>
      <c r="B124" s="312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">
      <c r="A125" s="295" t="s">
        <v>280</v>
      </c>
      <c r="B125" s="312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">
      <c r="A126" s="295" t="s">
        <v>290</v>
      </c>
      <c r="B126" s="312" t="s">
        <v>256</v>
      </c>
      <c r="C126" s="189">
        <v>15</v>
      </c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">
      <c r="A127" s="295" t="s">
        <v>291</v>
      </c>
      <c r="B127" s="295"/>
      <c r="C127" s="303"/>
      <c r="D127" s="295"/>
      <c r="E127" s="295">
        <f>SUM(C116:C126)</f>
        <v>82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">
      <c r="A128" s="295" t="s">
        <v>292</v>
      </c>
      <c r="B128" s="312" t="s">
        <v>256</v>
      </c>
      <c r="C128" s="189">
        <v>126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">
      <c r="A129" s="295" t="s">
        <v>293</v>
      </c>
      <c r="B129" s="312" t="s">
        <v>256</v>
      </c>
      <c r="C129" s="189">
        <v>11</v>
      </c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">
      <c r="A131" s="295" t="s">
        <v>294</v>
      </c>
      <c r="B131" s="312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">
      <c r="A136" s="311" t="s">
        <v>1239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">
      <c r="A138" s="295" t="s">
        <v>277</v>
      </c>
      <c r="B138" s="174">
        <v>2350</v>
      </c>
      <c r="C138" s="189">
        <v>739</v>
      </c>
      <c r="D138" s="174">
        <v>752</v>
      </c>
      <c r="E138" s="295">
        <f>SUM(B138:D138)</f>
        <v>3841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">
      <c r="A139" s="295" t="s">
        <v>215</v>
      </c>
      <c r="B139" s="174">
        <v>8535</v>
      </c>
      <c r="C139" s="189">
        <v>2404</v>
      </c>
      <c r="D139" s="174">
        <v>2193</v>
      </c>
      <c r="E139" s="295">
        <f>SUM(B139:D139)</f>
        <v>13132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">
      <c r="A140" s="295" t="s">
        <v>298</v>
      </c>
      <c r="B140" s="174">
        <v>275314</v>
      </c>
      <c r="C140" s="174">
        <v>67728</v>
      </c>
      <c r="D140" s="174">
        <v>132409</v>
      </c>
      <c r="E140" s="295">
        <f>SUM(B140:D140)</f>
        <v>475451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">
      <c r="A141" s="295" t="s">
        <v>245</v>
      </c>
      <c r="B141" s="174">
        <v>61368104.380000003</v>
      </c>
      <c r="C141" s="189">
        <v>18122123.309999999</v>
      </c>
      <c r="D141" s="174">
        <v>17586301.359999999</v>
      </c>
      <c r="E141" s="295">
        <f>SUM(B141:D141)</f>
        <v>97076529.049999997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">
      <c r="A142" s="295" t="s">
        <v>246</v>
      </c>
      <c r="B142" s="174">
        <v>196648638.61000001</v>
      </c>
      <c r="C142" s="189">
        <v>48375901.270000003</v>
      </c>
      <c r="D142" s="174">
        <v>94576407.969999999</v>
      </c>
      <c r="E142" s="295">
        <f>SUM(B142:D142)</f>
        <v>339600947.85000002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">
      <c r="A144" s="295" t="s">
        <v>277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">
      <c r="A156" s="319" t="s">
        <v>301</v>
      </c>
      <c r="B156" s="320" t="s">
        <v>302</v>
      </c>
      <c r="C156" s="321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">
      <c r="A157" s="301" t="s">
        <v>304</v>
      </c>
      <c r="B157" s="174"/>
      <c r="C157" s="174"/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">
      <c r="A163" s="318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">
      <c r="A165" s="295" t="s">
        <v>307</v>
      </c>
      <c r="B165" s="312" t="s">
        <v>256</v>
      </c>
      <c r="C165" s="189">
        <v>7387673.54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">
      <c r="A166" s="295" t="s">
        <v>308</v>
      </c>
      <c r="B166" s="312" t="s">
        <v>256</v>
      </c>
      <c r="C166" s="189">
        <v>81354.3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">
      <c r="A167" s="301" t="s">
        <v>309</v>
      </c>
      <c r="B167" s="312" t="s">
        <v>256</v>
      </c>
      <c r="C167" s="189">
        <v>1024086.28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">
      <c r="A168" s="295" t="s">
        <v>310</v>
      </c>
      <c r="B168" s="312" t="s">
        <v>256</v>
      </c>
      <c r="C168" s="189">
        <v>14966884.189999999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">
      <c r="A169" s="295" t="s">
        <v>311</v>
      </c>
      <c r="B169" s="312" t="s">
        <v>256</v>
      </c>
      <c r="C169" s="189">
        <v>87942.45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">
      <c r="A170" s="295" t="s">
        <v>312</v>
      </c>
      <c r="B170" s="312" t="s">
        <v>256</v>
      </c>
      <c r="C170" s="189">
        <v>4697894.5199999996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">
      <c r="A171" s="295" t="s">
        <v>313</v>
      </c>
      <c r="B171" s="312" t="s">
        <v>256</v>
      </c>
      <c r="C171" s="189">
        <v>89613.72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">
      <c r="A172" s="295" t="s">
        <v>313</v>
      </c>
      <c r="B172" s="312" t="s">
        <v>256</v>
      </c>
      <c r="C172" s="189">
        <f>278200.16+12458.5+284138.81</f>
        <v>574797.47</v>
      </c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">
      <c r="A173" s="295" t="s">
        <v>203</v>
      </c>
      <c r="B173" s="295"/>
      <c r="C173" s="303"/>
      <c r="D173" s="295">
        <f>SUM(C165:C172)</f>
        <v>28910246.469999995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">
      <c r="A175" s="295" t="s">
        <v>315</v>
      </c>
      <c r="B175" s="312" t="s">
        <v>256</v>
      </c>
      <c r="C175" s="189">
        <v>338432.85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">
      <c r="A176" s="295" t="s">
        <v>316</v>
      </c>
      <c r="B176" s="312" t="s">
        <v>256</v>
      </c>
      <c r="C176" s="189">
        <v>37676.449999999997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">
      <c r="A177" s="295" t="s">
        <v>203</v>
      </c>
      <c r="B177" s="295"/>
      <c r="C177" s="303"/>
      <c r="D177" s="295">
        <f>SUM(C175:C176)</f>
        <v>376109.3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">
      <c r="A179" s="295" t="s">
        <v>318</v>
      </c>
      <c r="B179" s="312" t="s">
        <v>256</v>
      </c>
      <c r="C179" s="189">
        <v>1240307.95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">
      <c r="A180" s="295" t="s">
        <v>319</v>
      </c>
      <c r="B180" s="312" t="s">
        <v>256</v>
      </c>
      <c r="C180" s="189">
        <v>30189.5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">
      <c r="A181" s="295" t="s">
        <v>203</v>
      </c>
      <c r="B181" s="295"/>
      <c r="C181" s="303"/>
      <c r="D181" s="295">
        <f>SUM(C179:C180)</f>
        <v>1270497.45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">
      <c r="A183" s="295" t="s">
        <v>321</v>
      </c>
      <c r="B183" s="312" t="s">
        <v>256</v>
      </c>
      <c r="C183" s="189">
        <v>84059.86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">
      <c r="A184" s="295" t="s">
        <v>322</v>
      </c>
      <c r="B184" s="312" t="s">
        <v>256</v>
      </c>
      <c r="C184" s="189">
        <f>108447.23+1382151.66</f>
        <v>1490598.89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">
      <c r="A185" s="295" t="s">
        <v>132</v>
      </c>
      <c r="B185" s="312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">
      <c r="A186" s="295" t="s">
        <v>203</v>
      </c>
      <c r="B186" s="295"/>
      <c r="C186" s="303"/>
      <c r="D186" s="295">
        <f>SUM(C183:C185)</f>
        <v>1574658.75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">
      <c r="A188" s="295" t="s">
        <v>324</v>
      </c>
      <c r="B188" s="312" t="s">
        <v>256</v>
      </c>
      <c r="C188" s="189"/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">
      <c r="A189" s="295" t="s">
        <v>325</v>
      </c>
      <c r="B189" s="312" t="s">
        <v>256</v>
      </c>
      <c r="C189" s="189">
        <f>13612.69+633169.45+550161.17+775829.67</f>
        <v>1972772.98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">
      <c r="A190" s="295" t="s">
        <v>203</v>
      </c>
      <c r="B190" s="295"/>
      <c r="C190" s="303"/>
      <c r="D190" s="295">
        <f>SUM(C188:C189)</f>
        <v>1972772.98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">
      <c r="A193" s="318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">
      <c r="A195" s="295" t="s">
        <v>332</v>
      </c>
      <c r="B195" s="174">
        <v>9910130</v>
      </c>
      <c r="C195" s="189">
        <v>906852</v>
      </c>
      <c r="D195" s="174"/>
      <c r="E195" s="295">
        <f t="shared" ref="E195:E203" si="10">SUM(B195:C195)-D195</f>
        <v>10816982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">
      <c r="A196" s="295" t="s">
        <v>333</v>
      </c>
      <c r="B196" s="174">
        <v>9220213</v>
      </c>
      <c r="C196" s="189">
        <v>90287</v>
      </c>
      <c r="D196" s="174"/>
      <c r="E196" s="295">
        <f t="shared" si="10"/>
        <v>9310500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">
      <c r="A197" s="295" t="s">
        <v>334</v>
      </c>
      <c r="B197" s="174">
        <f>17871986+91522231</f>
        <v>109394217</v>
      </c>
      <c r="C197" s="189">
        <f>514124+14319788+173-583</f>
        <v>14833502</v>
      </c>
      <c r="D197" s="174">
        <f>39744+1100</f>
        <v>40844</v>
      </c>
      <c r="E197" s="295">
        <f t="shared" si="10"/>
        <v>124186875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">
      <c r="A198" s="295" t="s">
        <v>335</v>
      </c>
      <c r="B198" s="174"/>
      <c r="C198" s="189"/>
      <c r="D198" s="174"/>
      <c r="E198" s="295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">
      <c r="A199" s="295" t="s">
        <v>336</v>
      </c>
      <c r="B199" s="174">
        <v>34357150</v>
      </c>
      <c r="C199" s="189">
        <v>1067242</v>
      </c>
      <c r="D199" s="174">
        <v>424188</v>
      </c>
      <c r="E199" s="295">
        <f t="shared" si="10"/>
        <v>35000204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">
      <c r="A200" s="295" t="s">
        <v>337</v>
      </c>
      <c r="B200" s="174">
        <f>817732+62664801+217652+4652831</f>
        <v>68353016</v>
      </c>
      <c r="C200" s="189">
        <f>231535+4635920+641945+5258+4265</f>
        <v>5518923</v>
      </c>
      <c r="D200" s="174">
        <f>29807+6400197+102235</f>
        <v>6532239</v>
      </c>
      <c r="E200" s="295">
        <f t="shared" si="10"/>
        <v>67339700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">
      <c r="A201" s="295" t="s">
        <v>338</v>
      </c>
      <c r="B201" s="174">
        <v>2510952</v>
      </c>
      <c r="C201" s="189">
        <v>667496</v>
      </c>
      <c r="D201" s="174">
        <v>139192</v>
      </c>
      <c r="E201" s="295">
        <f t="shared" si="10"/>
        <v>3039256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">
      <c r="A202" s="295" t="s">
        <v>339</v>
      </c>
      <c r="B202" s="174">
        <v>362736</v>
      </c>
      <c r="C202" s="189">
        <v>0</v>
      </c>
      <c r="D202" s="174"/>
      <c r="E202" s="295">
        <f t="shared" si="10"/>
        <v>362736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">
      <c r="A203" s="295" t="s">
        <v>340</v>
      </c>
      <c r="B203" s="174">
        <v>14459546</v>
      </c>
      <c r="C203" s="189">
        <f>-23075189+10694269</f>
        <v>-12380920</v>
      </c>
      <c r="D203" s="174"/>
      <c r="E203" s="295">
        <f t="shared" si="10"/>
        <v>2078626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">
      <c r="A204" s="295" t="s">
        <v>203</v>
      </c>
      <c r="B204" s="295">
        <f>SUM(B195:B203)</f>
        <v>248567960</v>
      </c>
      <c r="C204" s="303">
        <f>SUM(C195:C203)</f>
        <v>10703382</v>
      </c>
      <c r="D204" s="295">
        <f>SUM(D195:D203)</f>
        <v>7136463</v>
      </c>
      <c r="E204" s="295">
        <f>SUM(E195:E203)</f>
        <v>252134879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">
      <c r="A208" s="295" t="s">
        <v>332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">
      <c r="A209" s="295" t="s">
        <v>333</v>
      </c>
      <c r="B209" s="174">
        <v>3814414</v>
      </c>
      <c r="C209" s="189">
        <v>491419</v>
      </c>
      <c r="D209" s="174"/>
      <c r="E209" s="295">
        <f t="shared" ref="E209:E216" si="11">SUM(B209:C209)-D209</f>
        <v>4305833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">
      <c r="A210" s="295" t="s">
        <v>334</v>
      </c>
      <c r="B210" s="174">
        <f>1365191+53612189-132831.34</f>
        <v>54844548.659999996</v>
      </c>
      <c r="C210" s="189">
        <f>467558+3292377-43634.02</f>
        <v>3716300.98</v>
      </c>
      <c r="D210" s="174"/>
      <c r="E210" s="295">
        <f t="shared" si="11"/>
        <v>58560849.639999993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">
      <c r="A211" s="295" t="s">
        <v>335</v>
      </c>
      <c r="B211" s="174"/>
      <c r="C211" s="189"/>
      <c r="D211" s="174"/>
      <c r="E211" s="295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">
      <c r="A212" s="295" t="s">
        <v>336</v>
      </c>
      <c r="B212" s="174">
        <v>20607167</v>
      </c>
      <c r="C212" s="189">
        <v>868561</v>
      </c>
      <c r="D212" s="174"/>
      <c r="E212" s="295">
        <f t="shared" si="11"/>
        <v>21475728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">
      <c r="A213" s="295" t="s">
        <v>337</v>
      </c>
      <c r="B213" s="174">
        <f>48337924-2217597.33</f>
        <v>46120326.670000002</v>
      </c>
      <c r="C213" s="189">
        <f>5707635-154119.8</f>
        <v>5553515.2000000002</v>
      </c>
      <c r="D213" s="174">
        <f>6958983-115784.58</f>
        <v>6843198.4199999999</v>
      </c>
      <c r="E213" s="295">
        <f t="shared" si="11"/>
        <v>44830643.450000003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">
      <c r="A214" s="295" t="s">
        <v>338</v>
      </c>
      <c r="B214" s="174">
        <v>2217597.33</v>
      </c>
      <c r="C214" s="189">
        <f>154119.8</f>
        <v>154119.79999999999</v>
      </c>
      <c r="D214" s="174">
        <v>115784.58</v>
      </c>
      <c r="E214" s="295">
        <f t="shared" si="11"/>
        <v>2255932.5499999998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">
      <c r="A215" s="295" t="s">
        <v>339</v>
      </c>
      <c r="B215" s="174">
        <v>132831.34</v>
      </c>
      <c r="C215" s="189">
        <v>43634.02</v>
      </c>
      <c r="D215" s="174"/>
      <c r="E215" s="295">
        <f t="shared" si="11"/>
        <v>176465.36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">
      <c r="A216" s="295" t="s">
        <v>340</v>
      </c>
      <c r="B216" s="174"/>
      <c r="C216" s="189"/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">
      <c r="A217" s="295" t="s">
        <v>203</v>
      </c>
      <c r="B217" s="295">
        <f>SUM(B208:B216)</f>
        <v>127736885</v>
      </c>
      <c r="C217" s="303">
        <f>SUM(C208:C216)</f>
        <v>10827550</v>
      </c>
      <c r="D217" s="295">
        <f>SUM(D208:D216)</f>
        <v>6958983</v>
      </c>
      <c r="E217" s="295">
        <f>SUM(E208:E216)</f>
        <v>131605451.99999999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">
      <c r="A220" s="311"/>
      <c r="B220" s="341" t="s">
        <v>1254</v>
      </c>
      <c r="C220" s="341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">
      <c r="A221" s="325" t="s">
        <v>1254</v>
      </c>
      <c r="B221" s="311"/>
      <c r="C221" s="189">
        <v>2704455.5</v>
      </c>
      <c r="D221" s="312">
        <f>C221</f>
        <v>2704455.5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">
      <c r="A223" s="295" t="s">
        <v>344</v>
      </c>
      <c r="B223" s="312" t="s">
        <v>256</v>
      </c>
      <c r="C223" s="189">
        <v>158121811.22999999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">
      <c r="A224" s="295" t="s">
        <v>345</v>
      </c>
      <c r="B224" s="312" t="s">
        <v>256</v>
      </c>
      <c r="C224" s="189">
        <v>41090811.969999999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">
      <c r="A225" s="295" t="s">
        <v>346</v>
      </c>
      <c r="B225" s="312" t="s">
        <v>256</v>
      </c>
      <c r="C225" s="189">
        <v>1876290.76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">
      <c r="A226" s="295" t="s">
        <v>347</v>
      </c>
      <c r="B226" s="312" t="s">
        <v>256</v>
      </c>
      <c r="C226" s="189">
        <v>15147608.789999999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">
      <c r="A227" s="295" t="s">
        <v>348</v>
      </c>
      <c r="B227" s="312" t="s">
        <v>256</v>
      </c>
      <c r="C227" s="189">
        <v>9634040.6699999999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">
      <c r="A228" s="295" t="s">
        <v>349</v>
      </c>
      <c r="B228" s="312" t="s">
        <v>256</v>
      </c>
      <c r="C228" s="189">
        <v>3651.3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">
      <c r="A229" s="295" t="s">
        <v>350</v>
      </c>
      <c r="B229" s="295"/>
      <c r="C229" s="303"/>
      <c r="D229" s="295">
        <f>SUM(C223:C228)</f>
        <v>225874214.71999997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">
      <c r="A231" s="302" t="s">
        <v>352</v>
      </c>
      <c r="B231" s="312" t="s">
        <v>256</v>
      </c>
      <c r="C231" s="189"/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">
      <c r="A233" s="302" t="s">
        <v>353</v>
      </c>
      <c r="B233" s="312" t="s">
        <v>256</v>
      </c>
      <c r="C233" s="189">
        <v>431751.28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">
      <c r="A234" s="302" t="s">
        <v>354</v>
      </c>
      <c r="B234" s="312" t="s">
        <v>256</v>
      </c>
      <c r="C234" s="189">
        <v>2271006.7200000002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">
      <c r="A236" s="302" t="s">
        <v>355</v>
      </c>
      <c r="B236" s="295"/>
      <c r="C236" s="303"/>
      <c r="D236" s="295">
        <f>SUM(C233:C235)</f>
        <v>2702758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">
      <c r="A238" s="295" t="s">
        <v>357</v>
      </c>
      <c r="B238" s="312" t="s">
        <v>256</v>
      </c>
      <c r="C238" s="189">
        <v>803552.78</v>
      </c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">
      <c r="A239" s="295" t="s">
        <v>356</v>
      </c>
      <c r="B239" s="312" t="s">
        <v>256</v>
      </c>
      <c r="C239" s="189"/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">
      <c r="A240" s="295" t="s">
        <v>358</v>
      </c>
      <c r="B240" s="295"/>
      <c r="C240" s="303"/>
      <c r="D240" s="295">
        <f>SUM(C238:C239)</f>
        <v>803552.78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">
      <c r="A242" s="295" t="s">
        <v>359</v>
      </c>
      <c r="B242" s="295"/>
      <c r="C242" s="303"/>
      <c r="D242" s="295">
        <f>D221+D229+D236+D240</f>
        <v>232084980.99999997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">
      <c r="A250" s="295" t="s">
        <v>362</v>
      </c>
      <c r="B250" s="312" t="s">
        <v>256</v>
      </c>
      <c r="C250" s="189">
        <v>17312466.920000002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">
      <c r="A251" s="295" t="s">
        <v>363</v>
      </c>
      <c r="B251" s="312" t="s">
        <v>256</v>
      </c>
      <c r="C251" s="189">
        <v>49985279.039999999</v>
      </c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">
      <c r="A252" s="295" t="s">
        <v>364</v>
      </c>
      <c r="B252" s="312" t="s">
        <v>256</v>
      </c>
      <c r="C252" s="189">
        <v>40816536.770000003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">
      <c r="A253" s="295" t="s">
        <v>365</v>
      </c>
      <c r="B253" s="312" t="s">
        <v>256</v>
      </c>
      <c r="C253" s="189">
        <f>2885047.33+17938960.74+925986.42</f>
        <v>21749994.490000002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">
      <c r="A254" s="295" t="s">
        <v>1240</v>
      </c>
      <c r="B254" s="312" t="s">
        <v>256</v>
      </c>
      <c r="C254" s="189"/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">
      <c r="A255" s="295" t="s">
        <v>366</v>
      </c>
      <c r="B255" s="312" t="s">
        <v>256</v>
      </c>
      <c r="C255" s="189">
        <v>1228786.8700000001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">
      <c r="A256" s="295" t="s">
        <v>367</v>
      </c>
      <c r="B256" s="312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">
      <c r="A257" s="295" t="s">
        <v>368</v>
      </c>
      <c r="B257" s="312" t="s">
        <v>256</v>
      </c>
      <c r="C257" s="189">
        <v>3077338.74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">
      <c r="A258" s="295" t="s">
        <v>369</v>
      </c>
      <c r="B258" s="312" t="s">
        <v>256</v>
      </c>
      <c r="C258" s="189">
        <v>2983046.82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">
      <c r="A259" s="295" t="s">
        <v>370</v>
      </c>
      <c r="B259" s="312" t="s">
        <v>256</v>
      </c>
      <c r="C259" s="189"/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">
      <c r="A260" s="295" t="s">
        <v>371</v>
      </c>
      <c r="B260" s="295"/>
      <c r="C260" s="303"/>
      <c r="D260" s="295">
        <f>SUM(C250:C252)-C253+SUM(C254:C259)</f>
        <v>93653460.670000017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">
      <c r="A262" s="295" t="s">
        <v>362</v>
      </c>
      <c r="B262" s="312" t="s">
        <v>256</v>
      </c>
      <c r="C262" s="189">
        <f>43681337.58-35562919</f>
        <v>8118418.5799999982</v>
      </c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">
      <c r="A263" s="295" t="s">
        <v>363</v>
      </c>
      <c r="B263" s="312" t="s">
        <v>256</v>
      </c>
      <c r="C263" s="189">
        <f>33775229+1787690</f>
        <v>35562919</v>
      </c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">
      <c r="A264" s="295" t="s">
        <v>373</v>
      </c>
      <c r="B264" s="312" t="s">
        <v>256</v>
      </c>
      <c r="C264" s="189"/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">
      <c r="A265" s="295" t="s">
        <v>374</v>
      </c>
      <c r="B265" s="295"/>
      <c r="C265" s="303"/>
      <c r="D265" s="295">
        <f>SUM(C262:C264)</f>
        <v>43681337.579999998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">
      <c r="A267" s="295" t="s">
        <v>332</v>
      </c>
      <c r="B267" s="312" t="s">
        <v>256</v>
      </c>
      <c r="C267" s="189">
        <v>10816981.619999999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">
      <c r="A268" s="295" t="s">
        <v>333</v>
      </c>
      <c r="B268" s="312" t="s">
        <v>256</v>
      </c>
      <c r="C268" s="189">
        <v>9310500.1899999995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">
      <c r="A269" s="295" t="s">
        <v>334</v>
      </c>
      <c r="B269" s="312" t="s">
        <v>256</v>
      </c>
      <c r="C269" s="189">
        <f>18345783.48+105841091.35</f>
        <v>124186874.83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">
      <c r="A270" s="295" t="s">
        <v>376</v>
      </c>
      <c r="B270" s="312" t="s">
        <v>256</v>
      </c>
      <c r="C270" s="189"/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">
      <c r="A271" s="295" t="s">
        <v>377</v>
      </c>
      <c r="B271" s="312" t="s">
        <v>256</v>
      </c>
      <c r="C271" s="189">
        <v>35000204.299999997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">
      <c r="A272" s="295" t="s">
        <v>378</v>
      </c>
      <c r="B272" s="312" t="s">
        <v>256</v>
      </c>
      <c r="C272" s="189">
        <f>1019460.7+60905782.4+3039255.76+217651.79+5196805.87</f>
        <v>70378956.519999996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">
      <c r="A273" s="295" t="s">
        <v>339</v>
      </c>
      <c r="B273" s="312" t="s">
        <v>256</v>
      </c>
      <c r="C273" s="189">
        <v>362736.46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">
      <c r="A274" s="295" t="s">
        <v>340</v>
      </c>
      <c r="B274" s="312" t="s">
        <v>256</v>
      </c>
      <c r="C274" s="189">
        <v>2078625.92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">
      <c r="A275" s="295" t="s">
        <v>379</v>
      </c>
      <c r="B275" s="295"/>
      <c r="C275" s="303"/>
      <c r="D275" s="295">
        <f>SUM(C267:C274)</f>
        <v>252134879.83999997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">
      <c r="A276" s="295" t="s">
        <v>380</v>
      </c>
      <c r="B276" s="312" t="s">
        <v>256</v>
      </c>
      <c r="C276" s="189">
        <v>131605452.92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">
      <c r="A277" s="295" t="s">
        <v>381</v>
      </c>
      <c r="B277" s="295"/>
      <c r="C277" s="303"/>
      <c r="D277" s="295">
        <f>D275-C276</f>
        <v>120529426.91999997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">
      <c r="A279" s="295" t="s">
        <v>383</v>
      </c>
      <c r="B279" s="312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">
      <c r="A280" s="295" t="s">
        <v>384</v>
      </c>
      <c r="B280" s="312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">
      <c r="A281" s="295" t="s">
        <v>385</v>
      </c>
      <c r="B281" s="312" t="s">
        <v>256</v>
      </c>
      <c r="C281" s="189"/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">
      <c r="A282" s="295" t="s">
        <v>373</v>
      </c>
      <c r="B282" s="312" t="s">
        <v>256</v>
      </c>
      <c r="C282" s="189"/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">
      <c r="A283" s="295" t="s">
        <v>386</v>
      </c>
      <c r="B283" s="295"/>
      <c r="C283" s="303"/>
      <c r="D283" s="295">
        <f>C279-C280+C281+C282</f>
        <v>0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">
      <c r="A286" s="295" t="s">
        <v>388</v>
      </c>
      <c r="B286" s="312" t="s">
        <v>256</v>
      </c>
      <c r="C286" s="189">
        <f>2406265.96-170817.96</f>
        <v>2235448</v>
      </c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">
      <c r="A287" s="295" t="s">
        <v>389</v>
      </c>
      <c r="B287" s="312" t="s">
        <v>256</v>
      </c>
      <c r="C287" s="189"/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">
      <c r="A288" s="295" t="s">
        <v>390</v>
      </c>
      <c r="B288" s="312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">
      <c r="A289" s="295" t="s">
        <v>391</v>
      </c>
      <c r="B289" s="312" t="s">
        <v>256</v>
      </c>
      <c r="C289" s="189">
        <v>170817.96</v>
      </c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">
      <c r="A290" s="295" t="s">
        <v>392</v>
      </c>
      <c r="B290" s="295"/>
      <c r="C290" s="303"/>
      <c r="D290" s="295">
        <f>SUM(C286:C289)</f>
        <v>2406265.96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">
      <c r="A292" s="295" t="s">
        <v>393</v>
      </c>
      <c r="B292" s="295"/>
      <c r="C292" s="303"/>
      <c r="D292" s="295">
        <f>D260+D265+D277+D283+D290</f>
        <v>260270491.12999997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">
      <c r="A304" s="295" t="s">
        <v>396</v>
      </c>
      <c r="B304" s="312" t="s">
        <v>256</v>
      </c>
      <c r="C304" s="189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">
      <c r="A305" s="295" t="s">
        <v>397</v>
      </c>
      <c r="B305" s="312" t="s">
        <v>256</v>
      </c>
      <c r="C305" s="189">
        <v>6871132.2599999998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">
      <c r="A306" s="295" t="s">
        <v>398</v>
      </c>
      <c r="B306" s="312" t="s">
        <v>256</v>
      </c>
      <c r="C306" s="189">
        <v>10627014.27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">
      <c r="A307" s="295" t="s">
        <v>399</v>
      </c>
      <c r="B307" s="312" t="s">
        <v>256</v>
      </c>
      <c r="C307" s="189">
        <v>16238.49</v>
      </c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">
      <c r="A308" s="295" t="s">
        <v>400</v>
      </c>
      <c r="B308" s="312" t="s">
        <v>256</v>
      </c>
      <c r="C308" s="189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">
      <c r="A309" s="295" t="s">
        <v>1241</v>
      </c>
      <c r="B309" s="312" t="s">
        <v>256</v>
      </c>
      <c r="C309" s="189">
        <v>1004867.35</v>
      </c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">
      <c r="A310" s="295" t="s">
        <v>401</v>
      </c>
      <c r="B310" s="312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">
      <c r="A311" s="295" t="s">
        <v>402</v>
      </c>
      <c r="B311" s="312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">
      <c r="A312" s="295" t="s">
        <v>403</v>
      </c>
      <c r="B312" s="312" t="s">
        <v>256</v>
      </c>
      <c r="C312" s="189">
        <v>42438097.740000002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">
      <c r="A313" s="295" t="s">
        <v>404</v>
      </c>
      <c r="B313" s="312" t="s">
        <v>256</v>
      </c>
      <c r="C313" s="189">
        <v>2285881.7200000002</v>
      </c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">
      <c r="A314" s="295" t="s">
        <v>405</v>
      </c>
      <c r="B314" s="295"/>
      <c r="C314" s="303"/>
      <c r="D314" s="295">
        <f>SUM(C304:C313)</f>
        <v>63243231.829999998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">
      <c r="A316" s="295" t="s">
        <v>407</v>
      </c>
      <c r="B316" s="312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">
      <c r="A317" s="295" t="s">
        <v>408</v>
      </c>
      <c r="B317" s="312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">
      <c r="A318" s="295" t="s">
        <v>409</v>
      </c>
      <c r="B318" s="312" t="s">
        <v>256</v>
      </c>
      <c r="C318" s="189"/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">
      <c r="A319" s="295" t="s">
        <v>410</v>
      </c>
      <c r="B319" s="295"/>
      <c r="C319" s="303"/>
      <c r="D319" s="295">
        <f>SUM(C316:C318)</f>
        <v>0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">
      <c r="A321" s="295" t="s">
        <v>412</v>
      </c>
      <c r="B321" s="312" t="s">
        <v>256</v>
      </c>
      <c r="C321" s="189"/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">
      <c r="A322" s="295" t="s">
        <v>413</v>
      </c>
      <c r="B322" s="312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">
      <c r="A323" s="295" t="s">
        <v>414</v>
      </c>
      <c r="B323" s="312" t="s">
        <v>256</v>
      </c>
      <c r="C323" s="189"/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">
      <c r="A324" s="302" t="s">
        <v>415</v>
      </c>
      <c r="B324" s="312" t="s">
        <v>256</v>
      </c>
      <c r="C324" s="189"/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">
      <c r="A325" s="295" t="s">
        <v>416</v>
      </c>
      <c r="B325" s="312" t="s">
        <v>256</v>
      </c>
      <c r="C325" s="189">
        <f>50688045+2285881.72</f>
        <v>52973926.719999999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">
      <c r="A326" s="302" t="s">
        <v>417</v>
      </c>
      <c r="B326" s="312" t="s">
        <v>256</v>
      </c>
      <c r="C326" s="189"/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">
      <c r="A327" s="295" t="s">
        <v>418</v>
      </c>
      <c r="B327" s="312" t="s">
        <v>256</v>
      </c>
      <c r="C327" s="189">
        <v>1064513.1000000001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">
      <c r="A328" s="295" t="s">
        <v>203</v>
      </c>
      <c r="B328" s="295"/>
      <c r="C328" s="303"/>
      <c r="D328" s="295">
        <f>SUM(C321:C327)</f>
        <v>54038439.82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">
      <c r="A329" s="295" t="s">
        <v>419</v>
      </c>
      <c r="B329" s="295"/>
      <c r="C329" s="303"/>
      <c r="D329" s="295">
        <f>C313</f>
        <v>2285881.7200000002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">
      <c r="A330" s="295" t="s">
        <v>420</v>
      </c>
      <c r="B330" s="295"/>
      <c r="C330" s="303"/>
      <c r="D330" s="295">
        <f>D328-D329</f>
        <v>51752558.100000001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">
      <c r="A332" s="295" t="s">
        <v>421</v>
      </c>
      <c r="B332" s="312" t="s">
        <v>256</v>
      </c>
      <c r="C332" s="222">
        <v>145274700.81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">
      <c r="A333" s="295"/>
      <c r="B333" s="312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">
      <c r="A334" s="295" t="s">
        <v>1142</v>
      </c>
      <c r="B334" s="312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">
      <c r="A335" s="295" t="s">
        <v>1143</v>
      </c>
      <c r="B335" s="312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">
      <c r="A336" s="295" t="s">
        <v>423</v>
      </c>
      <c r="B336" s="312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">
      <c r="A337" s="295" t="s">
        <v>422</v>
      </c>
      <c r="B337" s="312" t="s">
        <v>256</v>
      </c>
      <c r="C337" s="189"/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">
      <c r="A338" s="295" t="s">
        <v>1252</v>
      </c>
      <c r="B338" s="312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">
      <c r="A339" s="295" t="s">
        <v>424</v>
      </c>
      <c r="B339" s="295"/>
      <c r="C339" s="303"/>
      <c r="D339" s="295">
        <f>D314+D319+D330+C332+C336+C337</f>
        <v>260270490.74000001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">
      <c r="A341" s="295" t="s">
        <v>425</v>
      </c>
      <c r="B341" s="295"/>
      <c r="C341" s="303"/>
      <c r="D341" s="295">
        <f>D292</f>
        <v>260270491.12999997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">
      <c r="A359" s="295" t="s">
        <v>428</v>
      </c>
      <c r="B359" s="312" t="s">
        <v>256</v>
      </c>
      <c r="C359" s="189">
        <v>97076529.049999997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">
      <c r="A360" s="295" t="s">
        <v>429</v>
      </c>
      <c r="B360" s="312" t="s">
        <v>256</v>
      </c>
      <c r="C360" s="189">
        <f>273809496.93+56942615.68+8848835.24</f>
        <v>339600947.85000002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">
      <c r="A361" s="295" t="s">
        <v>430</v>
      </c>
      <c r="B361" s="295"/>
      <c r="C361" s="303"/>
      <c r="D361" s="295">
        <f>SUM(C359:C360)</f>
        <v>436677476.90000004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">
      <c r="A363" s="295" t="s">
        <v>1254</v>
      </c>
      <c r="B363" s="316"/>
      <c r="C363" s="189">
        <v>2704455.5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">
      <c r="A364" s="295" t="s">
        <v>432</v>
      </c>
      <c r="B364" s="312" t="s">
        <v>256</v>
      </c>
      <c r="C364" s="189">
        <v>226677767.5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">
      <c r="A365" s="295" t="s">
        <v>433</v>
      </c>
      <c r="B365" s="312" t="s">
        <v>256</v>
      </c>
      <c r="C365" s="189">
        <v>2702757.59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">
      <c r="A366" s="295" t="s">
        <v>434</v>
      </c>
      <c r="B366" s="312" t="s">
        <v>256</v>
      </c>
      <c r="C366" s="189"/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">
      <c r="A367" s="295" t="s">
        <v>359</v>
      </c>
      <c r="B367" s="295"/>
      <c r="C367" s="303"/>
      <c r="D367" s="295">
        <f>SUM(C363:C366)</f>
        <v>232084980.59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">
      <c r="A368" s="295" t="s">
        <v>435</v>
      </c>
      <c r="B368" s="295"/>
      <c r="C368" s="303"/>
      <c r="D368" s="295">
        <f>D361-D367</f>
        <v>204592496.31000003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">
      <c r="A370" s="295" t="s">
        <v>437</v>
      </c>
      <c r="B370" s="312" t="s">
        <v>256</v>
      </c>
      <c r="C370" s="189">
        <f>12856002.86-4654426.04</f>
        <v>8201576.8199999994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">
      <c r="A371" s="295" t="s">
        <v>438</v>
      </c>
      <c r="B371" s="312" t="s">
        <v>256</v>
      </c>
      <c r="C371" s="189">
        <v>4654426.04</v>
      </c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">
      <c r="A372" s="295" t="s">
        <v>439</v>
      </c>
      <c r="B372" s="295"/>
      <c r="C372" s="303"/>
      <c r="D372" s="295">
        <f>SUM(C370:C371)</f>
        <v>12856002.859999999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">
      <c r="A373" s="295" t="s">
        <v>440</v>
      </c>
      <c r="B373" s="295"/>
      <c r="C373" s="303"/>
      <c r="D373" s="295">
        <f>D368+D372</f>
        <v>217448499.17000002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">
      <c r="A378" s="295" t="s">
        <v>442</v>
      </c>
      <c r="B378" s="312" t="s">
        <v>256</v>
      </c>
      <c r="C378" s="189">
        <v>106482779.63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">
      <c r="A379" s="295" t="s">
        <v>3</v>
      </c>
      <c r="B379" s="312" t="s">
        <v>256</v>
      </c>
      <c r="C379" s="189">
        <f>20327518.63+8582727.84</f>
        <v>28910246.469999999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">
      <c r="A380" s="295" t="s">
        <v>236</v>
      </c>
      <c r="B380" s="312" t="s">
        <v>256</v>
      </c>
      <c r="C380" s="189">
        <v>11048503.07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">
      <c r="A381" s="295" t="s">
        <v>443</v>
      </c>
      <c r="B381" s="312" t="s">
        <v>256</v>
      </c>
      <c r="C381" s="189">
        <v>35105034.229999997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">
      <c r="A382" s="295" t="s">
        <v>444</v>
      </c>
      <c r="B382" s="312" t="s">
        <v>256</v>
      </c>
      <c r="C382" s="189"/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">
      <c r="A383" s="295" t="s">
        <v>445</v>
      </c>
      <c r="B383" s="312" t="s">
        <v>256</v>
      </c>
      <c r="C383" s="189">
        <v>10092922.380000001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">
      <c r="A384" s="295" t="s">
        <v>6</v>
      </c>
      <c r="B384" s="312" t="s">
        <v>256</v>
      </c>
      <c r="C384" s="189">
        <v>10999082.439999999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">
      <c r="A385" s="295" t="s">
        <v>446</v>
      </c>
      <c r="B385" s="312" t="s">
        <v>256</v>
      </c>
      <c r="C385" s="189">
        <v>376109.3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">
      <c r="A386" s="295" t="s">
        <v>447</v>
      </c>
      <c r="B386" s="312" t="s">
        <v>256</v>
      </c>
      <c r="C386" s="189">
        <v>1270497.45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">
      <c r="A387" s="295" t="s">
        <v>448</v>
      </c>
      <c r="B387" s="312" t="s">
        <v>256</v>
      </c>
      <c r="C387" s="189">
        <f>108447.23+1382151.66</f>
        <v>1490598.89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">
      <c r="A388" s="295" t="s">
        <v>449</v>
      </c>
      <c r="B388" s="312" t="s">
        <v>256</v>
      </c>
      <c r="C388" s="189"/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">
      <c r="A389" s="295" t="s">
        <v>451</v>
      </c>
      <c r="B389" s="312" t="s">
        <v>256</v>
      </c>
      <c r="C389" s="189">
        <f>8575538.64+4371120.49+2453101.15-108447.23</f>
        <v>15291313.050000001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">
      <c r="A390" s="295" t="s">
        <v>452</v>
      </c>
      <c r="B390" s="295"/>
      <c r="C390" s="303"/>
      <c r="D390" s="295">
        <f>SUM(C378:C389)</f>
        <v>221067086.90999997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">
      <c r="A391" s="295" t="s">
        <v>453</v>
      </c>
      <c r="B391" s="295"/>
      <c r="C391" s="303"/>
      <c r="D391" s="295">
        <f>D373-D390</f>
        <v>-3618587.7399999499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">
      <c r="A392" s="295" t="s">
        <v>454</v>
      </c>
      <c r="B392" s="312" t="s">
        <v>256</v>
      </c>
      <c r="C392" s="189">
        <v>13996778.49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">
      <c r="A393" s="295" t="s">
        <v>455</v>
      </c>
      <c r="B393" s="295"/>
      <c r="C393" s="303"/>
      <c r="D393" s="295">
        <f>D391+C392</f>
        <v>10378190.75000005</v>
      </c>
      <c r="E393" s="295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">
      <c r="A394" s="295" t="s">
        <v>456</v>
      </c>
      <c r="B394" s="312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">
      <c r="A395" s="295" t="s">
        <v>457</v>
      </c>
      <c r="B395" s="312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">
      <c r="A396" s="295" t="s">
        <v>458</v>
      </c>
      <c r="B396" s="295"/>
      <c r="C396" s="303"/>
      <c r="D396" s="295">
        <f>D393+C394-C395</f>
        <v>10378190.75000005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">
      <c r="A412" s="2" t="str">
        <f>C84&amp;"   "&amp;"H-"&amp;FIXED(C83,0,TRUE)&amp;"     FYE "&amp;C82</f>
        <v>Olympic Medical Center   H-0     FYE 12/31/2020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">
      <c r="A413" s="2" t="s">
        <v>460</v>
      </c>
      <c r="B413" s="327" t="s">
        <v>461</v>
      </c>
      <c r="C413" s="327" t="s">
        <v>1242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">
      <c r="A414" s="2" t="s">
        <v>463</v>
      </c>
      <c r="B414" s="2">
        <f>C111</f>
        <v>3841</v>
      </c>
      <c r="C414" s="2">
        <f>E138</f>
        <v>3841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">
      <c r="A415" s="2" t="s">
        <v>464</v>
      </c>
      <c r="B415" s="2">
        <f>D111</f>
        <v>13132</v>
      </c>
      <c r="C415" s="2">
        <f>E139</f>
        <v>13132</v>
      </c>
      <c r="D415" s="2">
        <f>SUM(C59:H59)+N59</f>
        <v>13132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">
      <c r="A423" s="2" t="s">
        <v>469</v>
      </c>
      <c r="B423" s="2">
        <f>C114</f>
        <v>427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">
      <c r="A424" s="2" t="s">
        <v>1243</v>
      </c>
      <c r="B424" s="2">
        <f>D114</f>
        <v>791</v>
      </c>
      <c r="C424" s="2"/>
      <c r="D424" s="2">
        <f>J59</f>
        <v>791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">
      <c r="A427" s="2" t="s">
        <v>473</v>
      </c>
      <c r="B427" s="2">
        <f t="shared" ref="B427:B437" si="12">C378</f>
        <v>106482779.63</v>
      </c>
      <c r="C427" s="2">
        <f t="shared" ref="C427:C434" si="13">CE61</f>
        <v>106482779.64000002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">
      <c r="A428" s="2" t="s">
        <v>3</v>
      </c>
      <c r="B428" s="2">
        <f t="shared" si="12"/>
        <v>28910246.469999999</v>
      </c>
      <c r="C428" s="2">
        <f t="shared" si="13"/>
        <v>28910243</v>
      </c>
      <c r="D428" s="2">
        <f>D173</f>
        <v>28910246.469999995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">
      <c r="A429" s="2" t="s">
        <v>236</v>
      </c>
      <c r="B429" s="2">
        <f t="shared" si="12"/>
        <v>11048503.07</v>
      </c>
      <c r="C429" s="2">
        <f t="shared" si="13"/>
        <v>11048503.07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">
      <c r="A430" s="2" t="s">
        <v>237</v>
      </c>
      <c r="B430" s="2">
        <f t="shared" si="12"/>
        <v>35105034.229999997</v>
      </c>
      <c r="C430" s="2">
        <f t="shared" si="13"/>
        <v>35105034.230000004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">
      <c r="A431" s="2" t="s">
        <v>444</v>
      </c>
      <c r="B431" s="2">
        <f t="shared" si="12"/>
        <v>0</v>
      </c>
      <c r="C431" s="2">
        <f t="shared" si="13"/>
        <v>2453101.15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">
      <c r="A432" s="2" t="s">
        <v>445</v>
      </c>
      <c r="B432" s="2">
        <f t="shared" si="12"/>
        <v>10092922.380000001</v>
      </c>
      <c r="C432" s="2">
        <f t="shared" si="13"/>
        <v>10092922.390000001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">
      <c r="A433" s="2" t="s">
        <v>6</v>
      </c>
      <c r="B433" s="2">
        <f t="shared" si="12"/>
        <v>10999082.439999999</v>
      </c>
      <c r="C433" s="2">
        <f t="shared" si="13"/>
        <v>10999085</v>
      </c>
      <c r="D433" s="2">
        <f>C217</f>
        <v>10827550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">
      <c r="A434" s="2" t="s">
        <v>474</v>
      </c>
      <c r="B434" s="2">
        <f t="shared" si="12"/>
        <v>376109.3</v>
      </c>
      <c r="C434" s="2">
        <f t="shared" si="13"/>
        <v>376109.30000000028</v>
      </c>
      <c r="D434" s="2">
        <f>D177</f>
        <v>376109.3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">
      <c r="A435" s="2" t="s">
        <v>447</v>
      </c>
      <c r="B435" s="2">
        <f t="shared" si="12"/>
        <v>1270497.45</v>
      </c>
      <c r="C435" s="2"/>
      <c r="D435" s="2">
        <f>D181</f>
        <v>1270497.45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">
      <c r="A436" s="2" t="s">
        <v>475</v>
      </c>
      <c r="B436" s="2">
        <f t="shared" si="12"/>
        <v>1490598.89</v>
      </c>
      <c r="C436" s="2"/>
      <c r="D436" s="2">
        <f>D186</f>
        <v>1574658.75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">
      <c r="A437" s="2" t="s">
        <v>449</v>
      </c>
      <c r="B437" s="2">
        <f t="shared" si="12"/>
        <v>0</v>
      </c>
      <c r="C437" s="2"/>
      <c r="D437" s="2">
        <f>D190</f>
        <v>1972772.98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">
      <c r="A438" s="2" t="s">
        <v>476</v>
      </c>
      <c r="B438" s="2">
        <f>C386+C387+C388</f>
        <v>2761096.34</v>
      </c>
      <c r="C438" s="2">
        <f>CD69</f>
        <v>0</v>
      </c>
      <c r="D438" s="2">
        <f>D181+D186+D190</f>
        <v>4817929.18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">
      <c r="A439" s="2" t="s">
        <v>451</v>
      </c>
      <c r="B439" s="2">
        <f>C389</f>
        <v>15291313.050000001</v>
      </c>
      <c r="C439" s="2">
        <f>SUM(C69:CC69)</f>
        <v>14328810.789999995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">
      <c r="A440" s="2" t="s">
        <v>477</v>
      </c>
      <c r="B440" s="2">
        <f>B438+B439</f>
        <v>18052409.390000001</v>
      </c>
      <c r="C440" s="2">
        <f>CE69</f>
        <v>14328810.789999995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">
      <c r="A441" s="2" t="s">
        <v>478</v>
      </c>
      <c r="B441" s="2">
        <f>D390</f>
        <v>221067086.90999997</v>
      </c>
      <c r="C441" s="2">
        <f>SUM(C427:C437)+C440</f>
        <v>219796588.57000002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">
      <c r="A444" s="2" t="s">
        <v>1256</v>
      </c>
      <c r="B444" s="2">
        <f>D221</f>
        <v>2704455.5</v>
      </c>
      <c r="C444" s="2">
        <f>C363</f>
        <v>2704455.5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">
      <c r="A445" s="2" t="s">
        <v>343</v>
      </c>
      <c r="B445" s="2">
        <f>D229</f>
        <v>225874214.71999997</v>
      </c>
      <c r="C445" s="2">
        <f>C364</f>
        <v>226677767.5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">
      <c r="A446" s="2" t="s">
        <v>351</v>
      </c>
      <c r="B446" s="2">
        <f>D236</f>
        <v>2702758</v>
      </c>
      <c r="C446" s="2">
        <f>C365</f>
        <v>2702757.59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">
      <c r="A447" s="2" t="s">
        <v>356</v>
      </c>
      <c r="B447" s="2">
        <f>D240</f>
        <v>803552.78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">
      <c r="A448" s="2" t="s">
        <v>358</v>
      </c>
      <c r="B448" s="2">
        <f>D242</f>
        <v>232084980.99999997</v>
      </c>
      <c r="C448" s="2">
        <f>D367</f>
        <v>232084980.59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">
      <c r="A453" s="322" t="s">
        <v>484</v>
      </c>
      <c r="B453" s="2">
        <f>C231</f>
        <v>0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">
      <c r="A454" s="2" t="s">
        <v>168</v>
      </c>
      <c r="B454" s="2">
        <f>C233</f>
        <v>431751.28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">
      <c r="A455" s="2" t="s">
        <v>131</v>
      </c>
      <c r="B455" s="2">
        <f>C234</f>
        <v>2271006.7200000002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">
      <c r="A458" s="2" t="s">
        <v>487</v>
      </c>
      <c r="B458" s="2">
        <f>C370</f>
        <v>8201576.8199999994</v>
      </c>
      <c r="C458" s="2">
        <f>CE70</f>
        <v>0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">
      <c r="A459" s="2" t="s">
        <v>244</v>
      </c>
      <c r="B459" s="2">
        <f>C371</f>
        <v>4654426.04</v>
      </c>
      <c r="C459" s="2">
        <f>CE72</f>
        <v>4654426.04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">
      <c r="A461" s="2" t="s">
        <v>488</v>
      </c>
      <c r="B461" s="327"/>
      <c r="C461" s="327"/>
      <c r="D461" s="32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">
      <c r="A463" s="2" t="s">
        <v>245</v>
      </c>
      <c r="B463" s="2">
        <f>C359</f>
        <v>97076529.049999997</v>
      </c>
      <c r="C463" s="2">
        <f>CE73</f>
        <v>97076529.049999997</v>
      </c>
      <c r="D463" s="2">
        <f>E141+E147+E153</f>
        <v>97076529.049999997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">
      <c r="A464" s="2" t="s">
        <v>246</v>
      </c>
      <c r="B464" s="2">
        <f>C360</f>
        <v>339600947.85000002</v>
      </c>
      <c r="C464" s="2">
        <f>CE74</f>
        <v>339600947.85000002</v>
      </c>
      <c r="D464" s="2">
        <f>E142+E148+E154</f>
        <v>339600947.85000002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">
      <c r="A465" s="2" t="s">
        <v>247</v>
      </c>
      <c r="B465" s="2">
        <f>D361</f>
        <v>436677476.90000004</v>
      </c>
      <c r="C465" s="2">
        <f>CE75</f>
        <v>436677476.90000004</v>
      </c>
      <c r="D465" s="2">
        <f>D463+D464</f>
        <v>436677476.90000004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">
      <c r="A468" s="2" t="s">
        <v>332</v>
      </c>
      <c r="B468" s="2">
        <f t="shared" ref="B468:B475" si="14">C267</f>
        <v>10816981.619999999</v>
      </c>
      <c r="C468" s="2">
        <f>E195</f>
        <v>10816982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">
      <c r="A469" s="2" t="s">
        <v>333</v>
      </c>
      <c r="B469" s="2">
        <f t="shared" si="14"/>
        <v>9310500.1899999995</v>
      </c>
      <c r="C469" s="2">
        <f>E196</f>
        <v>9310500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">
      <c r="A470" s="2" t="s">
        <v>334</v>
      </c>
      <c r="B470" s="2">
        <f t="shared" si="14"/>
        <v>124186874.83</v>
      </c>
      <c r="C470" s="2">
        <f>E197</f>
        <v>124186875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">
      <c r="A472" s="2" t="s">
        <v>377</v>
      </c>
      <c r="B472" s="2">
        <f t="shared" si="14"/>
        <v>35000204.299999997</v>
      </c>
      <c r="C472" s="2">
        <f>E199</f>
        <v>35000204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">
      <c r="A473" s="2" t="s">
        <v>495</v>
      </c>
      <c r="B473" s="2">
        <f t="shared" si="14"/>
        <v>70378956.519999996</v>
      </c>
      <c r="C473" s="2">
        <f>SUM(E200:E201)</f>
        <v>70378956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">
      <c r="A474" s="2" t="s">
        <v>339</v>
      </c>
      <c r="B474" s="2">
        <f t="shared" si="14"/>
        <v>362736.46</v>
      </c>
      <c r="C474" s="2">
        <f>E202</f>
        <v>362736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">
      <c r="A475" s="2" t="s">
        <v>340</v>
      </c>
      <c r="B475" s="2">
        <f t="shared" si="14"/>
        <v>2078625.92</v>
      </c>
      <c r="C475" s="2">
        <f>E203</f>
        <v>2078626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">
      <c r="A476" s="2" t="s">
        <v>203</v>
      </c>
      <c r="B476" s="2">
        <f>D275</f>
        <v>252134879.83999997</v>
      </c>
      <c r="C476" s="2">
        <f>E204</f>
        <v>252134879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">
      <c r="A478" s="2" t="s">
        <v>496</v>
      </c>
      <c r="B478" s="2">
        <f>C276</f>
        <v>131605452.92</v>
      </c>
      <c r="C478" s="2">
        <f>E217</f>
        <v>131605451.99999999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">
      <c r="A481" s="2" t="s">
        <v>498</v>
      </c>
      <c r="B481" s="2"/>
      <c r="C481" s="2">
        <f>D341</f>
        <v>260270491.12999997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">
      <c r="A482" s="2" t="s">
        <v>499</v>
      </c>
      <c r="B482" s="2"/>
      <c r="C482" s="2">
        <f>D339</f>
        <v>260270490.74000001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">
      <c r="A493" s="2" t="str">
        <f>C83</f>
        <v>38</v>
      </c>
      <c r="B493" s="331" t="str">
        <f>RIGHT('[1]Prior Year'!C83,4)</f>
        <v>2018</v>
      </c>
      <c r="C493" s="331" t="str">
        <f>RIGHT(C82,4)</f>
        <v>2020</v>
      </c>
      <c r="D493" s="331" t="str">
        <f>RIGHT('[1]Prior Year'!C83,4)</f>
        <v>2018</v>
      </c>
      <c r="E493" s="331" t="str">
        <f>RIGHT(C82,4)</f>
        <v>2020</v>
      </c>
      <c r="F493" s="331" t="str">
        <f>RIGHT('[1]Prior Year'!C83,4)</f>
        <v>2018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">
      <c r="A496" s="2" t="s">
        <v>512</v>
      </c>
      <c r="B496" s="333">
        <f>'[1]Prior Year'!C72</f>
        <v>6230423.0699999994</v>
      </c>
      <c r="C496" s="333">
        <f>C71</f>
        <v>6123885.330000001</v>
      </c>
      <c r="D496" s="333">
        <f>'[1]Prior Year'!C59</f>
        <v>4191</v>
      </c>
      <c r="E496" s="2">
        <f>C59</f>
        <v>3934</v>
      </c>
      <c r="F496" s="334">
        <f t="shared" ref="F496:G511" si="15">IF(B496=0,"",IF(D496=0,"",B496/D496))</f>
        <v>1486.6196778811739</v>
      </c>
      <c r="G496" s="334">
        <f t="shared" si="15"/>
        <v>1556.6561591255722</v>
      </c>
      <c r="H496" s="335" t="str">
        <f>IF(B496=0,"",IF(C496=0,"",IF(D496=0,"",IF(E496=0,"",IF(G496/F496-1&lt;-0.25,G496/F496-1,IF(G496/F496-1&gt;0.25,G496/F496-1,""))))))</f>
        <v/>
      </c>
      <c r="I496" s="267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">
      <c r="A497" s="2" t="s">
        <v>513</v>
      </c>
      <c r="B497" s="333">
        <f>'[1]Prior Year'!D72</f>
        <v>0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str">
        <f t="shared" si="15"/>
        <v/>
      </c>
      <c r="G497" s="334" t="str">
        <f t="shared" si="15"/>
        <v/>
      </c>
      <c r="H497" s="335" t="str">
        <f t="shared" ref="H497:H550" si="16">IF(B497=0,"",IF(C497=0,"",IF(D497=0,"",IF(E497=0,"",IF(G497/F497-1&lt;-0.25,G497/F497-1,IF(G497/F497-1&gt;0.25,G497/F497-1,""))))))</f>
        <v/>
      </c>
      <c r="I497" s="267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">
      <c r="A498" s="2" t="s">
        <v>514</v>
      </c>
      <c r="B498" s="333">
        <f>'[1]Prior Year'!E72</f>
        <v>10524838.460000003</v>
      </c>
      <c r="C498" s="333">
        <f>E71</f>
        <v>9132418.8000000007</v>
      </c>
      <c r="D498" s="333">
        <f>'[1]Prior Year'!E59</f>
        <v>10345</v>
      </c>
      <c r="E498" s="2">
        <f>E59</f>
        <v>9198</v>
      </c>
      <c r="F498" s="334">
        <f t="shared" si="15"/>
        <v>1017.3840947317548</v>
      </c>
      <c r="G498" s="334">
        <f t="shared" si="15"/>
        <v>992.87005870841494</v>
      </c>
      <c r="H498" s="335" t="str">
        <f t="shared" si="16"/>
        <v/>
      </c>
      <c r="I498" s="267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">
      <c r="A499" s="2" t="s">
        <v>515</v>
      </c>
      <c r="B499" s="333">
        <f>'[1]Prior Year'!F72</f>
        <v>0</v>
      </c>
      <c r="C499" s="333">
        <f>F71</f>
        <v>0</v>
      </c>
      <c r="D499" s="333">
        <f>'[1]Prior Year'!F59</f>
        <v>0</v>
      </c>
      <c r="E499" s="2">
        <f>F59</f>
        <v>0</v>
      </c>
      <c r="F499" s="334" t="str">
        <f t="shared" si="15"/>
        <v/>
      </c>
      <c r="G499" s="334" t="str">
        <f t="shared" si="15"/>
        <v/>
      </c>
      <c r="H499" s="335" t="str">
        <f t="shared" si="16"/>
        <v/>
      </c>
      <c r="I499" s="267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">
      <c r="A500" s="2" t="s">
        <v>516</v>
      </c>
      <c r="B500" s="333">
        <f>'[1]Prior Year'!G72</f>
        <v>0</v>
      </c>
      <c r="C500" s="333">
        <f>G71</f>
        <v>0</v>
      </c>
      <c r="D500" s="333">
        <f>'[1]Prior Year'!G59</f>
        <v>0</v>
      </c>
      <c r="E500" s="2">
        <f>G59</f>
        <v>0</v>
      </c>
      <c r="F500" s="334" t="str">
        <f t="shared" si="15"/>
        <v/>
      </c>
      <c r="G500" s="334" t="str">
        <f t="shared" si="15"/>
        <v/>
      </c>
      <c r="H500" s="335" t="str">
        <f t="shared" si="16"/>
        <v/>
      </c>
      <c r="I500" s="267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">
      <c r="A501" s="2" t="s">
        <v>517</v>
      </c>
      <c r="B501" s="333">
        <f>'[1]Prior Year'!H72</f>
        <v>0</v>
      </c>
      <c r="C501" s="333">
        <f>H71</f>
        <v>0</v>
      </c>
      <c r="D501" s="333">
        <f>'[1]Prior Year'!H59</f>
        <v>0</v>
      </c>
      <c r="E501" s="2">
        <f>H59</f>
        <v>0</v>
      </c>
      <c r="F501" s="334" t="str">
        <f t="shared" si="15"/>
        <v/>
      </c>
      <c r="G501" s="334" t="str">
        <f t="shared" si="15"/>
        <v/>
      </c>
      <c r="H501" s="335" t="str">
        <f t="shared" si="16"/>
        <v/>
      </c>
      <c r="I501" s="267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">
      <c r="A502" s="2" t="s">
        <v>518</v>
      </c>
      <c r="B502" s="333">
        <f>'[1]Prior Year'!I72</f>
        <v>0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str">
        <f t="shared" si="15"/>
        <v/>
      </c>
      <c r="G502" s="334" t="str">
        <f t="shared" si="15"/>
        <v/>
      </c>
      <c r="H502" s="335" t="str">
        <f t="shared" si="16"/>
        <v/>
      </c>
      <c r="I502" s="267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">
      <c r="A503" s="2" t="s">
        <v>519</v>
      </c>
      <c r="B503" s="333">
        <f>'[1]Prior Year'!J72</f>
        <v>879001.84</v>
      </c>
      <c r="C503" s="333">
        <f>J71</f>
        <v>788565.69</v>
      </c>
      <c r="D503" s="333">
        <f>'[1]Prior Year'!J59</f>
        <v>994</v>
      </c>
      <c r="E503" s="2">
        <f>J59</f>
        <v>791</v>
      </c>
      <c r="F503" s="334">
        <f t="shared" si="15"/>
        <v>884.30768611670021</v>
      </c>
      <c r="G503" s="334">
        <f t="shared" si="15"/>
        <v>996.92249051833119</v>
      </c>
      <c r="H503" s="335" t="str">
        <f t="shared" si="16"/>
        <v/>
      </c>
      <c r="I503" s="267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">
      <c r="A504" s="2" t="s">
        <v>520</v>
      </c>
      <c r="B504" s="333">
        <f>'[1]Prior Year'!K72</f>
        <v>0</v>
      </c>
      <c r="C504" s="333">
        <f>K71</f>
        <v>0</v>
      </c>
      <c r="D504" s="333">
        <f>'[1]Prior Year'!K59</f>
        <v>0</v>
      </c>
      <c r="E504" s="2">
        <f>K59</f>
        <v>0</v>
      </c>
      <c r="F504" s="334" t="str">
        <f t="shared" si="15"/>
        <v/>
      </c>
      <c r="G504" s="334" t="str">
        <f t="shared" si="15"/>
        <v/>
      </c>
      <c r="H504" s="335" t="str">
        <f t="shared" si="16"/>
        <v/>
      </c>
      <c r="I504" s="267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">
      <c r="A505" s="2" t="s">
        <v>521</v>
      </c>
      <c r="B505" s="333">
        <f>'[1]Prior Year'!L72</f>
        <v>0</v>
      </c>
      <c r="C505" s="333">
        <f>L71</f>
        <v>0</v>
      </c>
      <c r="D505" s="333">
        <f>'[1]Prior Year'!L59</f>
        <v>0</v>
      </c>
      <c r="E505" s="2">
        <f>L59</f>
        <v>0</v>
      </c>
      <c r="F505" s="334" t="str">
        <f t="shared" si="15"/>
        <v/>
      </c>
      <c r="G505" s="334" t="str">
        <f t="shared" si="15"/>
        <v/>
      </c>
      <c r="H505" s="335" t="str">
        <f t="shared" si="16"/>
        <v/>
      </c>
      <c r="I505" s="267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">
      <c r="A506" s="2" t="s">
        <v>522</v>
      </c>
      <c r="B506" s="333">
        <f>'[1]Prior Year'!M72</f>
        <v>0</v>
      </c>
      <c r="C506" s="333">
        <f>M71</f>
        <v>0</v>
      </c>
      <c r="D506" s="333">
        <f>'[1]Prior Year'!M59</f>
        <v>0</v>
      </c>
      <c r="E506" s="2">
        <f>M59</f>
        <v>0</v>
      </c>
      <c r="F506" s="334" t="str">
        <f t="shared" si="15"/>
        <v/>
      </c>
      <c r="G506" s="334" t="str">
        <f t="shared" si="15"/>
        <v/>
      </c>
      <c r="H506" s="335" t="str">
        <f t="shared" si="16"/>
        <v/>
      </c>
      <c r="I506" s="267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">
      <c r="A507" s="2" t="s">
        <v>523</v>
      </c>
      <c r="B507" s="333">
        <f>'[1]Prior Year'!N72</f>
        <v>0</v>
      </c>
      <c r="C507" s="333">
        <f>N71</f>
        <v>0</v>
      </c>
      <c r="D507" s="333">
        <f>'[1]Prior Year'!N59</f>
        <v>0</v>
      </c>
      <c r="E507" s="2">
        <f>N59</f>
        <v>0</v>
      </c>
      <c r="F507" s="334" t="str">
        <f t="shared" si="15"/>
        <v/>
      </c>
      <c r="G507" s="334" t="str">
        <f t="shared" si="15"/>
        <v/>
      </c>
      <c r="H507" s="335" t="str">
        <f t="shared" si="16"/>
        <v/>
      </c>
      <c r="I507" s="267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">
      <c r="A508" s="2" t="s">
        <v>524</v>
      </c>
      <c r="B508" s="333">
        <f>'[1]Prior Year'!O72</f>
        <v>585097.73</v>
      </c>
      <c r="C508" s="333">
        <f>O71</f>
        <v>478771.85000000003</v>
      </c>
      <c r="D508" s="333">
        <f>'[1]Prior Year'!O59</f>
        <v>337</v>
      </c>
      <c r="E508" s="2">
        <f>O59</f>
        <v>341</v>
      </c>
      <c r="F508" s="334">
        <f t="shared" si="15"/>
        <v>1736.1950445103857</v>
      </c>
      <c r="G508" s="334">
        <f t="shared" si="15"/>
        <v>1404.0230205278594</v>
      </c>
      <c r="H508" s="335" t="str">
        <f t="shared" si="16"/>
        <v/>
      </c>
      <c r="I508" s="267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">
      <c r="A509" s="2" t="s">
        <v>525</v>
      </c>
      <c r="B509" s="333">
        <f>'[1]Prior Year'!P72</f>
        <v>11013718.4</v>
      </c>
      <c r="C509" s="333">
        <f>P71</f>
        <v>10715633.819999998</v>
      </c>
      <c r="D509" s="333">
        <f>'[1]Prior Year'!P59</f>
        <v>313427</v>
      </c>
      <c r="E509" s="2">
        <f>P59</f>
        <v>290498</v>
      </c>
      <c r="F509" s="334">
        <f t="shared" si="15"/>
        <v>35.139660590823382</v>
      </c>
      <c r="G509" s="334">
        <f t="shared" si="15"/>
        <v>36.887117363974959</v>
      </c>
      <c r="H509" s="335" t="str">
        <f t="shared" si="16"/>
        <v/>
      </c>
      <c r="I509" s="267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">
      <c r="A510" s="2" t="s">
        <v>526</v>
      </c>
      <c r="B510" s="333">
        <f>'[1]Prior Year'!Q72</f>
        <v>961197.91999999993</v>
      </c>
      <c r="C510" s="333">
        <f>Q71</f>
        <v>828303.78</v>
      </c>
      <c r="D510" s="333">
        <f>'[1]Prior Year'!Q59</f>
        <v>162108</v>
      </c>
      <c r="E510" s="2">
        <f>Q59</f>
        <v>160352</v>
      </c>
      <c r="F510" s="334">
        <f t="shared" si="15"/>
        <v>5.9293675821057565</v>
      </c>
      <c r="G510" s="334">
        <f t="shared" si="15"/>
        <v>5.1655344492117345</v>
      </c>
      <c r="H510" s="335" t="str">
        <f t="shared" si="16"/>
        <v/>
      </c>
      <c r="I510" s="267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">
      <c r="A511" s="2" t="s">
        <v>527</v>
      </c>
      <c r="B511" s="333">
        <f>'[1]Prior Year'!R72</f>
        <v>1085584.8099999998</v>
      </c>
      <c r="C511" s="333">
        <f>R71</f>
        <v>1315325.43</v>
      </c>
      <c r="D511" s="333">
        <f>'[1]Prior Year'!R59</f>
        <v>413100</v>
      </c>
      <c r="E511" s="2">
        <f>R59</f>
        <v>372757</v>
      </c>
      <c r="F511" s="334">
        <f t="shared" si="15"/>
        <v>2.6278983539094645</v>
      </c>
      <c r="G511" s="334">
        <f t="shared" si="15"/>
        <v>3.5286404547734849</v>
      </c>
      <c r="H511" s="335">
        <f t="shared" si="16"/>
        <v>0.34276139315815124</v>
      </c>
      <c r="I511" s="267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">
      <c r="A512" s="2" t="s">
        <v>528</v>
      </c>
      <c r="B512" s="333">
        <f>'[1]Prior Year'!S72</f>
        <v>1382801.6</v>
      </c>
      <c r="C512" s="333">
        <f>S71</f>
        <v>1476215.75</v>
      </c>
      <c r="D512" s="327" t="s">
        <v>529</v>
      </c>
      <c r="E512" s="327" t="s">
        <v>529</v>
      </c>
      <c r="F512" s="334" t="str">
        <f t="shared" ref="F512:G527" si="17">IF(B512=0,"",IF(D512=0,"",B512/D512))</f>
        <v/>
      </c>
      <c r="G512" s="334" t="str">
        <f t="shared" si="17"/>
        <v/>
      </c>
      <c r="H512" s="335" t="str">
        <f t="shared" si="16"/>
        <v/>
      </c>
      <c r="I512" s="267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">
      <c r="A513" s="2" t="s">
        <v>1245</v>
      </c>
      <c r="B513" s="333">
        <f>'[1]Prior Year'!T72</f>
        <v>217048.81</v>
      </c>
      <c r="C513" s="333">
        <f>T71</f>
        <v>172466.67</v>
      </c>
      <c r="D513" s="327" t="s">
        <v>529</v>
      </c>
      <c r="E513" s="327" t="s">
        <v>529</v>
      </c>
      <c r="F513" s="334" t="str">
        <f t="shared" si="17"/>
        <v/>
      </c>
      <c r="G513" s="334" t="str">
        <f t="shared" si="17"/>
        <v/>
      </c>
      <c r="H513" s="335" t="str">
        <f t="shared" si="16"/>
        <v/>
      </c>
      <c r="I513" s="267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">
      <c r="A514" s="2" t="s">
        <v>530</v>
      </c>
      <c r="B514" s="333">
        <f>'[1]Prior Year'!U72</f>
        <v>9936175.4000000004</v>
      </c>
      <c r="C514" s="333">
        <f>U71</f>
        <v>10593250.83</v>
      </c>
      <c r="D514" s="333">
        <f>'[1]Prior Year'!U59</f>
        <v>572041</v>
      </c>
      <c r="E514" s="2">
        <f>U59</f>
        <v>621894</v>
      </c>
      <c r="F514" s="334">
        <f t="shared" si="17"/>
        <v>17.369690983688233</v>
      </c>
      <c r="G514" s="334">
        <f t="shared" si="17"/>
        <v>17.033852762689463</v>
      </c>
      <c r="H514" s="335" t="str">
        <f t="shared" si="16"/>
        <v/>
      </c>
      <c r="I514" s="267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">
      <c r="A515" s="2" t="s">
        <v>531</v>
      </c>
      <c r="B515" s="333">
        <f>'[1]Prior Year'!V72</f>
        <v>4129444.9</v>
      </c>
      <c r="C515" s="333">
        <f>V71</f>
        <v>3879140.01</v>
      </c>
      <c r="D515" s="333">
        <f>'[1]Prior Year'!V59</f>
        <v>31588</v>
      </c>
      <c r="E515" s="2">
        <f>V59</f>
        <v>29101</v>
      </c>
      <c r="F515" s="334">
        <f t="shared" si="17"/>
        <v>130.72827972647841</v>
      </c>
      <c r="G515" s="334">
        <f t="shared" si="17"/>
        <v>133.29919968385965</v>
      </c>
      <c r="H515" s="335" t="str">
        <f t="shared" si="16"/>
        <v/>
      </c>
      <c r="I515" s="267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">
      <c r="A516" s="2" t="s">
        <v>532</v>
      </c>
      <c r="B516" s="333">
        <f>'[1]Prior Year'!W72</f>
        <v>1080311.22</v>
      </c>
      <c r="C516" s="333">
        <f>W71</f>
        <v>1559383.0999999999</v>
      </c>
      <c r="D516" s="333">
        <f>'[1]Prior Year'!W59</f>
        <v>6491</v>
      </c>
      <c r="E516" s="2">
        <f>W59</f>
        <v>6732</v>
      </c>
      <c r="F516" s="334">
        <f t="shared" si="17"/>
        <v>166.43217069788938</v>
      </c>
      <c r="G516" s="334">
        <f t="shared" si="17"/>
        <v>231.63741830065356</v>
      </c>
      <c r="H516" s="335">
        <f t="shared" si="16"/>
        <v>0.39178271441959334</v>
      </c>
      <c r="I516" s="267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">
      <c r="A517" s="2" t="s">
        <v>533</v>
      </c>
      <c r="B517" s="333">
        <f>'[1]Prior Year'!X72</f>
        <v>1346356.94</v>
      </c>
      <c r="C517" s="333">
        <f>X71</f>
        <v>1768423.9500000002</v>
      </c>
      <c r="D517" s="333">
        <f>'[1]Prior Year'!X59</f>
        <v>17396</v>
      </c>
      <c r="E517" s="2">
        <f>X59</f>
        <v>20418</v>
      </c>
      <c r="F517" s="334">
        <f t="shared" si="17"/>
        <v>77.394627500574842</v>
      </c>
      <c r="G517" s="334">
        <f t="shared" si="17"/>
        <v>86.611027034969155</v>
      </c>
      <c r="H517" s="335" t="str">
        <f t="shared" si="16"/>
        <v/>
      </c>
      <c r="I517" s="267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">
      <c r="A518" s="2" t="s">
        <v>534</v>
      </c>
      <c r="B518" s="333">
        <f>'[1]Prior Year'!Y72</f>
        <v>7995680.4500000011</v>
      </c>
      <c r="C518" s="333">
        <f>Y71</f>
        <v>8389324.1099999994</v>
      </c>
      <c r="D518" s="333">
        <f>'[1]Prior Year'!Y59</f>
        <v>69638</v>
      </c>
      <c r="E518" s="2">
        <f>Y59</f>
        <v>69941</v>
      </c>
      <c r="F518" s="334">
        <f t="shared" si="17"/>
        <v>114.81777836813235</v>
      </c>
      <c r="G518" s="334">
        <f t="shared" si="17"/>
        <v>119.94858680888176</v>
      </c>
      <c r="H518" s="335" t="str">
        <f t="shared" si="16"/>
        <v/>
      </c>
      <c r="I518" s="267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">
      <c r="A519" s="2" t="s">
        <v>535</v>
      </c>
      <c r="B519" s="333">
        <f>'[1]Prior Year'!Z72</f>
        <v>4405195.07</v>
      </c>
      <c r="C519" s="333">
        <f>Z71</f>
        <v>5024260.2200000007</v>
      </c>
      <c r="D519" s="333">
        <f>'[1]Prior Year'!Z59</f>
        <v>16535.349999999999</v>
      </c>
      <c r="E519" s="2">
        <f>Z59</f>
        <v>0</v>
      </c>
      <c r="F519" s="334">
        <f t="shared" si="17"/>
        <v>266.41075453498115</v>
      </c>
      <c r="G519" s="334" t="str">
        <f t="shared" si="17"/>
        <v/>
      </c>
      <c r="H519" s="335" t="str">
        <f t="shared" si="16"/>
        <v/>
      </c>
      <c r="I519" s="267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">
      <c r="A520" s="2" t="s">
        <v>536</v>
      </c>
      <c r="B520" s="333">
        <f>'[1]Prior Year'!AA72</f>
        <v>684461.81</v>
      </c>
      <c r="C520" s="333">
        <f>AA71</f>
        <v>538073.55000000005</v>
      </c>
      <c r="D520" s="333">
        <f>'[1]Prior Year'!AA59</f>
        <v>644</v>
      </c>
      <c r="E520" s="2">
        <f>AA59</f>
        <v>700</v>
      </c>
      <c r="F520" s="334">
        <f t="shared" si="17"/>
        <v>1062.8288975155281</v>
      </c>
      <c r="G520" s="334">
        <f t="shared" si="17"/>
        <v>768.67650000000003</v>
      </c>
      <c r="H520" s="335">
        <f t="shared" si="16"/>
        <v>-0.27676364295620826</v>
      </c>
      <c r="I520" s="267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">
      <c r="A521" s="2" t="s">
        <v>537</v>
      </c>
      <c r="B521" s="333">
        <f>'[1]Prior Year'!AB72</f>
        <v>16236650.5</v>
      </c>
      <c r="C521" s="333">
        <f>AB71</f>
        <v>22662950.039999999</v>
      </c>
      <c r="D521" s="327" t="s">
        <v>529</v>
      </c>
      <c r="E521" s="327" t="s">
        <v>529</v>
      </c>
      <c r="F521" s="334" t="str">
        <f t="shared" si="17"/>
        <v/>
      </c>
      <c r="G521" s="334" t="str">
        <f t="shared" si="17"/>
        <v/>
      </c>
      <c r="H521" s="335" t="str">
        <f t="shared" si="16"/>
        <v/>
      </c>
      <c r="I521" s="267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">
      <c r="A522" s="2" t="s">
        <v>538</v>
      </c>
      <c r="B522" s="333">
        <f>'[1]Prior Year'!AC72</f>
        <v>1444590.6999999997</v>
      </c>
      <c r="C522" s="333">
        <f>AC71</f>
        <v>1543504.7800000003</v>
      </c>
      <c r="D522" s="333">
        <f>'[1]Prior Year'!AC59</f>
        <v>26371</v>
      </c>
      <c r="E522" s="2">
        <f>AC59</f>
        <v>19835</v>
      </c>
      <c r="F522" s="334">
        <f t="shared" si="17"/>
        <v>54.779519168783878</v>
      </c>
      <c r="G522" s="334">
        <f t="shared" si="17"/>
        <v>77.81723115704564</v>
      </c>
      <c r="H522" s="335">
        <f t="shared" si="16"/>
        <v>0.42055338085898741</v>
      </c>
      <c r="I522" s="267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">
      <c r="A523" s="2" t="s">
        <v>539</v>
      </c>
      <c r="B523" s="333">
        <f>'[1]Prior Year'!AD72</f>
        <v>0</v>
      </c>
      <c r="C523" s="333">
        <f>AD71</f>
        <v>0</v>
      </c>
      <c r="D523" s="333">
        <f>'[1]Prior Year'!AD59</f>
        <v>0</v>
      </c>
      <c r="E523" s="2">
        <f>AD59</f>
        <v>0</v>
      </c>
      <c r="F523" s="334" t="str">
        <f t="shared" si="17"/>
        <v/>
      </c>
      <c r="G523" s="334" t="str">
        <f t="shared" si="17"/>
        <v/>
      </c>
      <c r="H523" s="335" t="str">
        <f t="shared" si="16"/>
        <v/>
      </c>
      <c r="I523" s="267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">
      <c r="A524" s="2" t="s">
        <v>540</v>
      </c>
      <c r="B524" s="333">
        <f>'[1]Prior Year'!AE72</f>
        <v>3831861.05</v>
      </c>
      <c r="C524" s="333">
        <f>AE71</f>
        <v>4383847.7</v>
      </c>
      <c r="D524" s="333">
        <f>'[1]Prior Year'!AE59</f>
        <v>79100</v>
      </c>
      <c r="E524" s="2">
        <f>AE59</f>
        <v>82752</v>
      </c>
      <c r="F524" s="334">
        <f t="shared" si="17"/>
        <v>48.443249683944373</v>
      </c>
      <c r="G524" s="334">
        <f t="shared" si="17"/>
        <v>52.975731100154682</v>
      </c>
      <c r="H524" s="335" t="str">
        <f t="shared" si="16"/>
        <v/>
      </c>
      <c r="I524" s="267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">
      <c r="A525" s="2" t="s">
        <v>541</v>
      </c>
      <c r="B525" s="333">
        <f>'[1]Prior Year'!AF72</f>
        <v>0</v>
      </c>
      <c r="C525" s="333">
        <f>AF71</f>
        <v>0</v>
      </c>
      <c r="D525" s="333">
        <f>'[1]Prior Year'!AF59</f>
        <v>0</v>
      </c>
      <c r="E525" s="2">
        <f>AF59</f>
        <v>0</v>
      </c>
      <c r="F525" s="334" t="str">
        <f t="shared" si="17"/>
        <v/>
      </c>
      <c r="G525" s="334" t="str">
        <f t="shared" si="17"/>
        <v/>
      </c>
      <c r="H525" s="335" t="str">
        <f t="shared" si="16"/>
        <v/>
      </c>
      <c r="I525" s="267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">
      <c r="A526" s="2" t="s">
        <v>542</v>
      </c>
      <c r="B526" s="333">
        <f>'[1]Prior Year'!AG72</f>
        <v>11514763.630000001</v>
      </c>
      <c r="C526" s="333">
        <f>AG71</f>
        <v>12287853.52</v>
      </c>
      <c r="D526" s="333">
        <f>'[1]Prior Year'!AG59</f>
        <v>29463</v>
      </c>
      <c r="E526" s="2">
        <f>AG59</f>
        <v>24082</v>
      </c>
      <c r="F526" s="334">
        <f t="shared" si="17"/>
        <v>390.82115297152365</v>
      </c>
      <c r="G526" s="334">
        <f t="shared" si="17"/>
        <v>510.2505406527697</v>
      </c>
      <c r="H526" s="335">
        <f t="shared" si="16"/>
        <v>0.30558578207241527</v>
      </c>
      <c r="I526" s="267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">
      <c r="A527" s="2" t="s">
        <v>543</v>
      </c>
      <c r="B527" s="333">
        <f>'[1]Prior Year'!AH72</f>
        <v>3923.54</v>
      </c>
      <c r="C527" s="333">
        <f>AH71</f>
        <v>547.38</v>
      </c>
      <c r="D527" s="333">
        <f>'[1]Prior Year'!AH59</f>
        <v>0</v>
      </c>
      <c r="E527" s="2">
        <f>AH59</f>
        <v>0</v>
      </c>
      <c r="F527" s="334" t="str">
        <f t="shared" si="17"/>
        <v/>
      </c>
      <c r="G527" s="334" t="str">
        <f t="shared" si="17"/>
        <v/>
      </c>
      <c r="H527" s="335" t="str">
        <f t="shared" si="16"/>
        <v/>
      </c>
      <c r="I527" s="267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">
      <c r="A528" s="2" t="s">
        <v>544</v>
      </c>
      <c r="B528" s="333">
        <f>'[1]Prior Year'!AI72</f>
        <v>3142745.5</v>
      </c>
      <c r="C528" s="333">
        <f>AI71</f>
        <v>2631239.8899999997</v>
      </c>
      <c r="D528" s="333">
        <f>'[1]Prior Year'!AI59</f>
        <v>13134</v>
      </c>
      <c r="E528" s="2">
        <f>AI59</f>
        <v>7840</v>
      </c>
      <c r="F528" s="334">
        <f t="shared" ref="F528:G540" si="18">IF(B528=0,"",IF(D528=0,"",B528/D528))</f>
        <v>239.28319628445257</v>
      </c>
      <c r="G528" s="334">
        <f t="shared" si="18"/>
        <v>335.61733290816323</v>
      </c>
      <c r="H528" s="335">
        <f t="shared" si="16"/>
        <v>0.40259465821073182</v>
      </c>
      <c r="I528" s="267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">
      <c r="A529" s="2" t="s">
        <v>545</v>
      </c>
      <c r="B529" s="333">
        <f>'[1]Prior Year'!AJ72</f>
        <v>40987044.889999993</v>
      </c>
      <c r="C529" s="333">
        <f>AJ71</f>
        <v>43375457.990000002</v>
      </c>
      <c r="D529" s="333">
        <f>'[1]Prior Year'!AJ59</f>
        <v>157644</v>
      </c>
      <c r="E529" s="2">
        <f>AJ59</f>
        <v>150693</v>
      </c>
      <c r="F529" s="334">
        <f t="shared" si="18"/>
        <v>259.99749365659329</v>
      </c>
      <c r="G529" s="334">
        <f t="shared" si="18"/>
        <v>287.83989959719429</v>
      </c>
      <c r="H529" s="335" t="str">
        <f t="shared" si="16"/>
        <v/>
      </c>
      <c r="I529" s="267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">
      <c r="A530" s="2" t="s">
        <v>546</v>
      </c>
      <c r="B530" s="333">
        <f>'[1]Prior Year'!AK72</f>
        <v>0</v>
      </c>
      <c r="C530" s="333">
        <f>AK71</f>
        <v>0</v>
      </c>
      <c r="D530" s="333">
        <f>'[1]Prior Year'!AK59</f>
        <v>0</v>
      </c>
      <c r="E530" s="2">
        <f>AK59</f>
        <v>0</v>
      </c>
      <c r="F530" s="334" t="str">
        <f t="shared" si="18"/>
        <v/>
      </c>
      <c r="G530" s="334" t="str">
        <f t="shared" si="18"/>
        <v/>
      </c>
      <c r="H530" s="335" t="str">
        <f t="shared" si="16"/>
        <v/>
      </c>
      <c r="I530" s="267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">
      <c r="A531" s="2" t="s">
        <v>547</v>
      </c>
      <c r="B531" s="333">
        <f>'[1]Prior Year'!AL72</f>
        <v>0</v>
      </c>
      <c r="C531" s="333">
        <f>AL71</f>
        <v>23.53</v>
      </c>
      <c r="D531" s="333">
        <f>'[1]Prior Year'!AL59</f>
        <v>0</v>
      </c>
      <c r="E531" s="2">
        <f>AL59</f>
        <v>0</v>
      </c>
      <c r="F531" s="334" t="str">
        <f t="shared" si="18"/>
        <v/>
      </c>
      <c r="G531" s="334" t="str">
        <f t="shared" si="18"/>
        <v/>
      </c>
      <c r="H531" s="335" t="str">
        <f t="shared" si="16"/>
        <v/>
      </c>
      <c r="I531" s="267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">
      <c r="A532" s="2" t="s">
        <v>548</v>
      </c>
      <c r="B532" s="333">
        <f>'[1]Prior Year'!AM72</f>
        <v>0</v>
      </c>
      <c r="C532" s="333">
        <f>AM71</f>
        <v>0</v>
      </c>
      <c r="D532" s="333">
        <f>'[1]Prior Year'!AM59</f>
        <v>0</v>
      </c>
      <c r="E532" s="2">
        <f>AM59</f>
        <v>0</v>
      </c>
      <c r="F532" s="334" t="str">
        <f t="shared" si="18"/>
        <v/>
      </c>
      <c r="G532" s="334" t="str">
        <f t="shared" si="18"/>
        <v/>
      </c>
      <c r="H532" s="335" t="str">
        <f t="shared" si="16"/>
        <v/>
      </c>
      <c r="I532" s="267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">
      <c r="A533" s="2" t="s">
        <v>1246</v>
      </c>
      <c r="B533" s="333">
        <f>'[1]Prior Year'!AN72</f>
        <v>0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str">
        <f t="shared" si="18"/>
        <v/>
      </c>
      <c r="G533" s="334" t="str">
        <f t="shared" si="18"/>
        <v/>
      </c>
      <c r="H533" s="335" t="str">
        <f t="shared" si="16"/>
        <v/>
      </c>
      <c r="I533" s="267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">
      <c r="A534" s="2" t="s">
        <v>549</v>
      </c>
      <c r="B534" s="333">
        <f>'[1]Prior Year'!AO72</f>
        <v>0</v>
      </c>
      <c r="C534" s="333">
        <f>AO71</f>
        <v>0</v>
      </c>
      <c r="D534" s="333">
        <f>'[1]Prior Year'!AO59</f>
        <v>0</v>
      </c>
      <c r="E534" s="2">
        <f>AO59</f>
        <v>0</v>
      </c>
      <c r="F534" s="334" t="str">
        <f t="shared" si="18"/>
        <v/>
      </c>
      <c r="G534" s="334" t="str">
        <f t="shared" si="18"/>
        <v/>
      </c>
      <c r="H534" s="335" t="str">
        <f t="shared" si="16"/>
        <v/>
      </c>
      <c r="I534" s="267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">
      <c r="A535" s="2" t="s">
        <v>550</v>
      </c>
      <c r="B535" s="333">
        <f>'[1]Prior Year'!AP72</f>
        <v>1652275.4200000002</v>
      </c>
      <c r="C535" s="333">
        <f>AP71</f>
        <v>350</v>
      </c>
      <c r="D535" s="333">
        <f>'[1]Prior Year'!AP59</f>
        <v>7123</v>
      </c>
      <c r="E535" s="2">
        <f>AP59</f>
        <v>0</v>
      </c>
      <c r="F535" s="334">
        <f t="shared" si="18"/>
        <v>231.96341709953674</v>
      </c>
      <c r="G535" s="334" t="str">
        <f t="shared" si="18"/>
        <v/>
      </c>
      <c r="H535" s="335" t="str">
        <f t="shared" si="16"/>
        <v/>
      </c>
      <c r="I535" s="267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">
      <c r="A536" s="2" t="s">
        <v>551</v>
      </c>
      <c r="B536" s="333">
        <f>'[1]Prior Year'!AQ72</f>
        <v>0</v>
      </c>
      <c r="C536" s="333">
        <f>AQ71</f>
        <v>0</v>
      </c>
      <c r="D536" s="333">
        <f>'[1]Prior Year'!AQ59</f>
        <v>0</v>
      </c>
      <c r="E536" s="2">
        <f>AQ59</f>
        <v>0</v>
      </c>
      <c r="F536" s="334" t="str">
        <f t="shared" si="18"/>
        <v/>
      </c>
      <c r="G536" s="334" t="str">
        <f t="shared" si="18"/>
        <v/>
      </c>
      <c r="H536" s="335" t="str">
        <f t="shared" si="16"/>
        <v/>
      </c>
      <c r="I536" s="267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">
      <c r="A537" s="2" t="s">
        <v>552</v>
      </c>
      <c r="B537" s="333">
        <f>'[1]Prior Year'!AR72</f>
        <v>7707244.79</v>
      </c>
      <c r="C537" s="333">
        <f>AR71</f>
        <v>7996671.5499999998</v>
      </c>
      <c r="D537" s="333">
        <f>'[1]Prior Year'!AR59</f>
        <v>51477</v>
      </c>
      <c r="E537" s="2">
        <f>AR59</f>
        <v>49402</v>
      </c>
      <c r="F537" s="334">
        <f t="shared" si="18"/>
        <v>149.7221048235134</v>
      </c>
      <c r="G537" s="334">
        <f t="shared" si="18"/>
        <v>161.86938889113802</v>
      </c>
      <c r="H537" s="335" t="str">
        <f t="shared" si="16"/>
        <v/>
      </c>
      <c r="I537" s="267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">
      <c r="A538" s="2" t="s">
        <v>553</v>
      </c>
      <c r="B538" s="333">
        <f>'[1]Prior Year'!AS72</f>
        <v>0</v>
      </c>
      <c r="C538" s="333">
        <f>AS71</f>
        <v>0</v>
      </c>
      <c r="D538" s="333">
        <f>'[1]Prior Year'!AS59</f>
        <v>0</v>
      </c>
      <c r="E538" s="2">
        <f>AS59</f>
        <v>0</v>
      </c>
      <c r="F538" s="334" t="str">
        <f t="shared" si="18"/>
        <v/>
      </c>
      <c r="G538" s="334" t="str">
        <f t="shared" si="18"/>
        <v/>
      </c>
      <c r="H538" s="335" t="str">
        <f t="shared" si="16"/>
        <v/>
      </c>
      <c r="I538" s="267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">
      <c r="A539" s="2" t="s">
        <v>554</v>
      </c>
      <c r="B539" s="333">
        <f>'[1]Prior Year'!AT72</f>
        <v>0</v>
      </c>
      <c r="C539" s="333">
        <f>AT71</f>
        <v>0</v>
      </c>
      <c r="D539" s="333">
        <f>'[1]Prior Year'!AT59</f>
        <v>0</v>
      </c>
      <c r="E539" s="2">
        <f>AT59</f>
        <v>0</v>
      </c>
      <c r="F539" s="334" t="str">
        <f t="shared" si="18"/>
        <v/>
      </c>
      <c r="G539" s="334" t="str">
        <f t="shared" si="18"/>
        <v/>
      </c>
      <c r="H539" s="335" t="str">
        <f t="shared" si="16"/>
        <v/>
      </c>
      <c r="I539" s="267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">
      <c r="A540" s="2" t="s">
        <v>555</v>
      </c>
      <c r="B540" s="333">
        <f>'[1]Prior Year'!AU72</f>
        <v>0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str">
        <f t="shared" si="18"/>
        <v/>
      </c>
      <c r="G540" s="334" t="str">
        <f t="shared" si="18"/>
        <v/>
      </c>
      <c r="H540" s="335" t="str">
        <f t="shared" si="16"/>
        <v/>
      </c>
      <c r="I540" s="267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">
      <c r="A541" s="2" t="s">
        <v>556</v>
      </c>
      <c r="B541" s="333">
        <f>'[1]Prior Year'!AV72</f>
        <v>4452012.7899999991</v>
      </c>
      <c r="C541" s="333">
        <f>AV71</f>
        <v>4858378.4700000007</v>
      </c>
      <c r="D541" s="327" t="s">
        <v>529</v>
      </c>
      <c r="E541" s="327" t="s">
        <v>529</v>
      </c>
      <c r="F541" s="334"/>
      <c r="G541" s="334"/>
      <c r="H541" s="335"/>
      <c r="I541" s="267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">
      <c r="A542" s="2" t="s">
        <v>1247</v>
      </c>
      <c r="B542" s="333">
        <f>'[1]Prior Year'!AW72</f>
        <v>0</v>
      </c>
      <c r="C542" s="333">
        <f>AW71</f>
        <v>0</v>
      </c>
      <c r="D542" s="327" t="s">
        <v>529</v>
      </c>
      <c r="E542" s="327" t="s">
        <v>529</v>
      </c>
      <c r="F542" s="334"/>
      <c r="G542" s="334"/>
      <c r="H542" s="335"/>
      <c r="I542" s="267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">
      <c r="A543" s="2" t="s">
        <v>557</v>
      </c>
      <c r="B543" s="333">
        <f>'[1]Prior Year'!AX72</f>
        <v>118306.70999999999</v>
      </c>
      <c r="C543" s="333">
        <f>AX71</f>
        <v>129241.5</v>
      </c>
      <c r="D543" s="327" t="s">
        <v>529</v>
      </c>
      <c r="E543" s="327" t="s">
        <v>529</v>
      </c>
      <c r="F543" s="334"/>
      <c r="G543" s="334"/>
      <c r="H543" s="335"/>
      <c r="I543" s="267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">
      <c r="A544" s="2" t="s">
        <v>558</v>
      </c>
      <c r="B544" s="333">
        <f>'[1]Prior Year'!AY72</f>
        <v>2719085.88</v>
      </c>
      <c r="C544" s="333">
        <f>AY71</f>
        <v>2700137.4</v>
      </c>
      <c r="D544" s="333">
        <f>'[1]Prior Year'!AY59</f>
        <v>46374</v>
      </c>
      <c r="E544" s="2">
        <f>AY59</f>
        <v>46107</v>
      </c>
      <c r="F544" s="334">
        <f t="shared" ref="F544:G550" si="19">IF(B544=0,"",IF(D544=0,"",B544/D544))</f>
        <v>58.633843964290335</v>
      </c>
      <c r="G544" s="334">
        <f t="shared" si="19"/>
        <v>58.562417854121932</v>
      </c>
      <c r="H544" s="335" t="str">
        <f t="shared" si="16"/>
        <v/>
      </c>
      <c r="I544" s="267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">
      <c r="A545" s="2" t="s">
        <v>559</v>
      </c>
      <c r="B545" s="333">
        <f>'[1]Prior Year'!AZ72</f>
        <v>-781121.66999999993</v>
      </c>
      <c r="C545" s="333">
        <f>AZ71</f>
        <v>319414.67000000004</v>
      </c>
      <c r="D545" s="333">
        <f>'[1]Prior Year'!AZ59</f>
        <v>0</v>
      </c>
      <c r="E545" s="2">
        <f>AZ59</f>
        <v>0</v>
      </c>
      <c r="F545" s="334" t="str">
        <f t="shared" si="19"/>
        <v/>
      </c>
      <c r="G545" s="334" t="str">
        <f t="shared" si="19"/>
        <v/>
      </c>
      <c r="H545" s="335" t="str">
        <f t="shared" si="16"/>
        <v/>
      </c>
      <c r="I545" s="267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">
      <c r="A546" s="2" t="s">
        <v>560</v>
      </c>
      <c r="B546" s="333">
        <f>'[1]Prior Year'!BA72</f>
        <v>698614.30999999994</v>
      </c>
      <c r="C546" s="333">
        <f>BA71</f>
        <v>643051.01</v>
      </c>
      <c r="D546" s="333">
        <f>'[1]Prior Year'!BA59</f>
        <v>0</v>
      </c>
      <c r="E546" s="2">
        <f>BA59</f>
        <v>0</v>
      </c>
      <c r="F546" s="334" t="str">
        <f t="shared" si="19"/>
        <v/>
      </c>
      <c r="G546" s="334" t="str">
        <f t="shared" si="19"/>
        <v/>
      </c>
      <c r="H546" s="335" t="str">
        <f t="shared" si="16"/>
        <v/>
      </c>
      <c r="I546" s="267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">
      <c r="A547" s="2" t="s">
        <v>561</v>
      </c>
      <c r="B547" s="333">
        <f>'[1]Prior Year'!BB72</f>
        <v>1729861.7000000002</v>
      </c>
      <c r="C547" s="333">
        <f>BB71</f>
        <v>1861503.21</v>
      </c>
      <c r="D547" s="327" t="s">
        <v>529</v>
      </c>
      <c r="E547" s="327" t="s">
        <v>529</v>
      </c>
      <c r="F547" s="334"/>
      <c r="G547" s="334"/>
      <c r="H547" s="335"/>
      <c r="I547" s="267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">
      <c r="A548" s="2" t="s">
        <v>562</v>
      </c>
      <c r="B548" s="333">
        <f>'[1]Prior Year'!BC72</f>
        <v>0</v>
      </c>
      <c r="C548" s="333">
        <f>BC71</f>
        <v>0</v>
      </c>
      <c r="D548" s="327" t="s">
        <v>529</v>
      </c>
      <c r="E548" s="327" t="s">
        <v>529</v>
      </c>
      <c r="F548" s="334"/>
      <c r="G548" s="334"/>
      <c r="H548" s="335"/>
      <c r="I548" s="267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">
      <c r="A549" s="2" t="s">
        <v>563</v>
      </c>
      <c r="B549" s="333">
        <f>'[1]Prior Year'!BD72</f>
        <v>1546572.01</v>
      </c>
      <c r="C549" s="333">
        <f>BD71</f>
        <v>1622869.94</v>
      </c>
      <c r="D549" s="327" t="s">
        <v>529</v>
      </c>
      <c r="E549" s="327" t="s">
        <v>529</v>
      </c>
      <c r="F549" s="334"/>
      <c r="G549" s="334"/>
      <c r="H549" s="335"/>
      <c r="I549" s="267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">
      <c r="A550" s="2" t="s">
        <v>564</v>
      </c>
      <c r="B550" s="333">
        <f>'[1]Prior Year'!BE72</f>
        <v>5735255.9699999988</v>
      </c>
      <c r="C550" s="333">
        <f>BE71</f>
        <v>4066256.66</v>
      </c>
      <c r="D550" s="333">
        <f>'[1]Prior Year'!BE59</f>
        <v>393982</v>
      </c>
      <c r="E550" s="2">
        <f>BE59</f>
        <v>423858.90000000014</v>
      </c>
      <c r="F550" s="334">
        <f t="shared" si="19"/>
        <v>14.557152281068674</v>
      </c>
      <c r="G550" s="334">
        <f t="shared" si="19"/>
        <v>9.5934204991330816</v>
      </c>
      <c r="H550" s="335">
        <f t="shared" si="16"/>
        <v>-0.34098233542496081</v>
      </c>
      <c r="I550" s="267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">
      <c r="A551" s="2" t="s">
        <v>565</v>
      </c>
      <c r="B551" s="333">
        <f>'[1]Prior Year'!BF72</f>
        <v>2055819.8</v>
      </c>
      <c r="C551" s="333">
        <f>BF71</f>
        <v>2420737.1500000004</v>
      </c>
      <c r="D551" s="327" t="s">
        <v>529</v>
      </c>
      <c r="E551" s="327" t="s">
        <v>529</v>
      </c>
      <c r="F551" s="334"/>
      <c r="G551" s="334"/>
      <c r="H551" s="335"/>
      <c r="I551" s="267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">
      <c r="A552" s="2" t="s">
        <v>566</v>
      </c>
      <c r="B552" s="333">
        <f>'[1]Prior Year'!BG72</f>
        <v>0</v>
      </c>
      <c r="C552" s="333">
        <f>BG71</f>
        <v>0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">
      <c r="A553" s="2" t="s">
        <v>567</v>
      </c>
      <c r="B553" s="333">
        <f>'[1]Prior Year'!BH72</f>
        <v>6366452.1100000003</v>
      </c>
      <c r="C553" s="333">
        <f>BH71</f>
        <v>9466334.8399999999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">
      <c r="A554" s="2" t="s">
        <v>568</v>
      </c>
      <c r="B554" s="333">
        <f>'[1]Prior Year'!BI72</f>
        <v>1123345.8500000001</v>
      </c>
      <c r="C554" s="333">
        <f>BI71</f>
        <v>1248764.55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">
      <c r="A555" s="2" t="s">
        <v>569</v>
      </c>
      <c r="B555" s="333">
        <f>'[1]Prior Year'!BJ72</f>
        <v>1538083.4100000001</v>
      </c>
      <c r="C555" s="333">
        <f>BJ71</f>
        <v>1791110.32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">
      <c r="A556" s="2" t="s">
        <v>570</v>
      </c>
      <c r="B556" s="333">
        <f>'[1]Prior Year'!BK72</f>
        <v>2761863.08</v>
      </c>
      <c r="C556" s="333">
        <f>BK71</f>
        <v>2721300.33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">
      <c r="A557" s="2" t="s">
        <v>571</v>
      </c>
      <c r="B557" s="333">
        <f>'[1]Prior Year'!BL72</f>
        <v>3750806.65</v>
      </c>
      <c r="C557" s="333">
        <f>BL71</f>
        <v>5723479.3999999994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">
      <c r="A558" s="2" t="s">
        <v>572</v>
      </c>
      <c r="B558" s="333">
        <f>'[1]Prior Year'!BM72</f>
        <v>0</v>
      </c>
      <c r="C558" s="333">
        <f>BM71</f>
        <v>0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">
      <c r="A559" s="2" t="s">
        <v>573</v>
      </c>
      <c r="B559" s="333">
        <f>'[1]Prior Year'!BN72</f>
        <v>2208871.38</v>
      </c>
      <c r="C559" s="333">
        <f>BN71</f>
        <v>1763262.49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">
      <c r="A560" s="2" t="s">
        <v>574</v>
      </c>
      <c r="B560" s="333">
        <f>'[1]Prior Year'!BO72</f>
        <v>300589.62</v>
      </c>
      <c r="C560" s="333">
        <f>BO71</f>
        <v>413808.5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">
      <c r="A561" s="2" t="s">
        <v>575</v>
      </c>
      <c r="B561" s="333">
        <f>'[1]Prior Year'!BP72</f>
        <v>606444.48</v>
      </c>
      <c r="C561" s="333">
        <f>BP71</f>
        <v>609185.4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">
      <c r="A562" s="2" t="s">
        <v>576</v>
      </c>
      <c r="B562" s="333">
        <f>'[1]Prior Year'!BQ72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">
      <c r="A563" s="2" t="s">
        <v>577</v>
      </c>
      <c r="B563" s="333">
        <f>'[1]Prior Year'!BR72</f>
        <v>2630654.83</v>
      </c>
      <c r="C563" s="333">
        <f>BR71</f>
        <v>2822626.58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">
      <c r="A564" s="2" t="s">
        <v>1248</v>
      </c>
      <c r="B564" s="333">
        <f>'[1]Prior Year'!BS72</f>
        <v>0</v>
      </c>
      <c r="C564" s="333">
        <f>BS71</f>
        <v>0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">
      <c r="A565" s="2" t="s">
        <v>578</v>
      </c>
      <c r="B565" s="333">
        <f>'[1]Prior Year'!BT72</f>
        <v>0</v>
      </c>
      <c r="C565" s="333">
        <f>BT71</f>
        <v>0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">
      <c r="A566" s="2" t="s">
        <v>579</v>
      </c>
      <c r="B566" s="333">
        <f>'[1]Prior Year'!BU72</f>
        <v>0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">
      <c r="A567" s="2" t="s">
        <v>580</v>
      </c>
      <c r="B567" s="333">
        <f>'[1]Prior Year'!BV72</f>
        <v>1407393.32</v>
      </c>
      <c r="C567" s="333">
        <f>BV71</f>
        <v>1131813.06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">
      <c r="A568" s="2" t="s">
        <v>581</v>
      </c>
      <c r="B568" s="333">
        <f>'[1]Prior Year'!BW72</f>
        <v>263953.03999999998</v>
      </c>
      <c r="C568" s="333">
        <f>BW71</f>
        <v>287667.64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">
      <c r="A569" s="2" t="s">
        <v>582</v>
      </c>
      <c r="B569" s="333">
        <f>'[1]Prior Year'!BX72</f>
        <v>0</v>
      </c>
      <c r="C569" s="333">
        <f>BX71</f>
        <v>0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">
      <c r="A570" s="2" t="s">
        <v>583</v>
      </c>
      <c r="B570" s="333">
        <f>'[1]Prior Year'!BY72</f>
        <v>1122357.8499999999</v>
      </c>
      <c r="C570" s="333">
        <f>BY71</f>
        <v>1376966.8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">
      <c r="A571" s="2" t="s">
        <v>584</v>
      </c>
      <c r="B571" s="333">
        <f>'[1]Prior Year'!BZ72</f>
        <v>0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">
      <c r="A572" s="2" t="s">
        <v>585</v>
      </c>
      <c r="B572" s="333">
        <f>'[1]Prior Year'!CA72</f>
        <v>450965.19000000006</v>
      </c>
      <c r="C572" s="333">
        <f>CA71</f>
        <v>660117.22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">
      <c r="A573" s="2" t="s">
        <v>586</v>
      </c>
      <c r="B573" s="333">
        <f>'[1]Prior Year'!CB72</f>
        <v>0</v>
      </c>
      <c r="C573" s="333">
        <f>CB71</f>
        <v>0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">
      <c r="A574" s="2" t="s">
        <v>587</v>
      </c>
      <c r="B574" s="333">
        <f>'[1]Prior Year'!CC72</f>
        <v>2509421.4299999997</v>
      </c>
      <c r="C574" s="333">
        <f>CC71</f>
        <v>13492672.16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">
      <c r="A575" s="2" t="s">
        <v>588</v>
      </c>
      <c r="B575" s="333">
        <f>'[1]Prior Year'!CD72</f>
        <v>0</v>
      </c>
      <c r="C575" s="333">
        <f>CD71</f>
        <v>0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">
      <c r="A612" s="336"/>
      <c r="B612" s="2"/>
      <c r="C612" s="327" t="s">
        <v>589</v>
      </c>
      <c r="D612" s="2">
        <f>CE76-(BE76+CD76)</f>
        <v>397896.72</v>
      </c>
      <c r="E612" s="2">
        <f>SUM(C624:D647)+SUM(C668:D713)</f>
        <v>200334179.34530705</v>
      </c>
      <c r="F612" s="2">
        <f>CE64-(AX64+BD64+BE64+BG64+BJ64+BN64+BP64+BQ64+CB64+CC64+CD64)</f>
        <v>33860355.680000007</v>
      </c>
      <c r="G612" s="2">
        <f>CE77-(AX77+AY77+BD77+BE77+BG77+BJ77+BN77+BP77+BQ77+CB77+CC77+CD77)</f>
        <v>46107</v>
      </c>
      <c r="H612" s="326">
        <f>CE60-(AX60+AY60+AZ60+BD60+BE60+BG60+BJ60+BN60+BO60+BP60+BQ60+BR60+CB60+CC60+CD60)</f>
        <v>1208.4649999999999</v>
      </c>
      <c r="I612" s="2">
        <f>CE78-(AX78+AY78+AZ78+BD78+BE78+BF78+BG78+BJ78+BN78+BO78+BP78+BQ78+BR78+CB78+CC78+CD78)</f>
        <v>88754.399725410214</v>
      </c>
      <c r="J612" s="2">
        <f>CE79-(AX79+AY79+AZ79+BA79+BD79+BE79+BF79+BG79+BJ79+BN79+BO79+BP79+BQ79+BR79+CB79+CC79+CD79)</f>
        <v>1216226.79</v>
      </c>
      <c r="K612" s="2">
        <f>CE75-(AW75+AX75+AY75+AZ75+BA75+BB75+BC75+BD75+BE75+BF75+BG75+BH75+BI75+BJ75+BK75+BL75+BM75+BN75+BO75+BP75+BQ75+BR75+BS75+BT75+BU75+BV75+BW75+BX75+CB75+CC75+CD75)</f>
        <v>436677476.90000004</v>
      </c>
      <c r="L612" s="326">
        <f>CE80-(AW80+AX80+AY80+AZ80+BA80+BB80+BC80+BD80+BE80+BF80+BG80+BH80+BI80+BJ80+BK80+BL80+BM80+BN80+BO80+BP80+BQ80+BR80+BS80+BT80+BU80+BV80+BW80+BX80+BY80+BZ80+CA80+CB80+CC80+CD80)</f>
        <v>257.60999999999996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">
      <c r="A614" s="336">
        <v>8430</v>
      </c>
      <c r="B614" s="330" t="s">
        <v>140</v>
      </c>
      <c r="C614" s="2">
        <f>BE71</f>
        <v>4066256.66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">
      <c r="A615" s="336"/>
      <c r="B615" s="330" t="s">
        <v>601</v>
      </c>
      <c r="C615" s="337">
        <f>CD69-CD70</f>
        <v>0</v>
      </c>
      <c r="D615" s="338">
        <f>SUM(C614:C615)</f>
        <v>4066256.66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">
      <c r="A616" s="336">
        <v>8310</v>
      </c>
      <c r="B616" s="339" t="s">
        <v>603</v>
      </c>
      <c r="C616" s="2">
        <f>AX71</f>
        <v>129241.5</v>
      </c>
      <c r="D616" s="2">
        <f>(D615/D612)*AX76</f>
        <v>10431.224868005447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">
      <c r="A617" s="336">
        <v>8510</v>
      </c>
      <c r="B617" s="339" t="s">
        <v>145</v>
      </c>
      <c r="C617" s="2">
        <f>BJ71</f>
        <v>1791110.32</v>
      </c>
      <c r="D617" s="2">
        <f>(D615/D612)*BJ76</f>
        <v>15994.142835439308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">
      <c r="A618" s="336">
        <v>8470</v>
      </c>
      <c r="B618" s="339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">
      <c r="A619" s="336">
        <v>8610</v>
      </c>
      <c r="B619" s="339" t="s">
        <v>608</v>
      </c>
      <c r="C619" s="2">
        <f>BN71</f>
        <v>1763262.49</v>
      </c>
      <c r="D619" s="2">
        <f>(D615/D612)*BN76</f>
        <v>19589.319727040729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">
      <c r="A620" s="336">
        <v>8790</v>
      </c>
      <c r="B620" s="339" t="s">
        <v>610</v>
      </c>
      <c r="C620" s="2">
        <f>CC71</f>
        <v>13492672.16</v>
      </c>
      <c r="D620" s="2">
        <f>(D615/D612)*CC76</f>
        <v>1614666.1930148534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">
      <c r="A621" s="336">
        <v>8630</v>
      </c>
      <c r="B621" s="339" t="s">
        <v>612</v>
      </c>
      <c r="C621" s="2">
        <f>BP71</f>
        <v>609185.4</v>
      </c>
      <c r="D621" s="2">
        <f>(D615/D612)*BP76</f>
        <v>16256.474247626371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">
      <c r="A622" s="336">
        <v>8770</v>
      </c>
      <c r="B622" s="330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19462409.224692963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">
      <c r="A624" s="336">
        <v>8420</v>
      </c>
      <c r="B624" s="339" t="s">
        <v>139</v>
      </c>
      <c r="C624" s="2">
        <f>BD71</f>
        <v>1622869.94</v>
      </c>
      <c r="D624" s="2">
        <f>(D615/D612)*BD76</f>
        <v>111619.20555687064</v>
      </c>
      <c r="E624" s="2">
        <f>(E623/E612)*SUM(C624:D624)</f>
        <v>168505.13305784852</v>
      </c>
      <c r="F624" s="2">
        <f>SUM(C624:E624)</f>
        <v>1902994.2786147192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">
      <c r="A625" s="336">
        <v>8320</v>
      </c>
      <c r="B625" s="339" t="s">
        <v>135</v>
      </c>
      <c r="C625" s="2">
        <f>AY71</f>
        <v>2700137.4</v>
      </c>
      <c r="D625" s="2">
        <f>(D615/D612)*AY76</f>
        <v>68877.886830617266</v>
      </c>
      <c r="E625" s="2">
        <f>(E623/E612)*SUM(C625:D625)</f>
        <v>269009.05695596413</v>
      </c>
      <c r="F625" s="2">
        <f>(F624/F612)*AY64</f>
        <v>42568.797483526068</v>
      </c>
      <c r="G625" s="2">
        <f>SUM(C625:F625)</f>
        <v>3080593.1412701076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">
      <c r="A626" s="336">
        <v>8650</v>
      </c>
      <c r="B626" s="339" t="s">
        <v>152</v>
      </c>
      <c r="C626" s="2">
        <f>BR71</f>
        <v>2822626.58</v>
      </c>
      <c r="D626" s="2">
        <f>(D615/D612)*BR76</f>
        <v>33995.371348850531</v>
      </c>
      <c r="E626" s="2">
        <f>(E623/E612)*SUM(C626:D626)</f>
        <v>277520.01979433902</v>
      </c>
      <c r="F626" s="2">
        <f>(F624/F612)*BR64</f>
        <v>2616.8341227453029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">
      <c r="A627" s="336">
        <v>8620</v>
      </c>
      <c r="B627" s="330" t="s">
        <v>621</v>
      </c>
      <c r="C627" s="2">
        <f>BO71</f>
        <v>413808.5</v>
      </c>
      <c r="D627" s="2">
        <f>(D615/D612)*BO76</f>
        <v>1254.5307425042361</v>
      </c>
      <c r="E627" s="2">
        <f>(E623/E612)*SUM(C627:D627)</f>
        <v>40323.256793979366</v>
      </c>
      <c r="F627" s="2">
        <f>(F624/F612)*BO64</f>
        <v>2900.2064400027593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">
      <c r="A628" s="336">
        <v>8330</v>
      </c>
      <c r="B628" s="339" t="s">
        <v>136</v>
      </c>
      <c r="C628" s="2">
        <f>AZ71</f>
        <v>319414.67000000004</v>
      </c>
      <c r="D628" s="2">
        <f>(D615/D612)*AZ76</f>
        <v>11537.983416500141</v>
      </c>
      <c r="E628" s="2">
        <f>(E623/E612)*SUM(C628:D628)</f>
        <v>32151.957273789056</v>
      </c>
      <c r="F628" s="2">
        <f>(F624/F612)*AZ64</f>
        <v>122.13374412408346</v>
      </c>
      <c r="G628" s="2">
        <f>(G625/G612)*AZ77</f>
        <v>0</v>
      </c>
      <c r="H628" s="2">
        <f>SUM(C626:G628)</f>
        <v>3958272.0436768341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">
      <c r="A629" s="336">
        <v>8460</v>
      </c>
      <c r="B629" s="339" t="s">
        <v>141</v>
      </c>
      <c r="C629" s="2">
        <f>BF71</f>
        <v>2420737.1500000004</v>
      </c>
      <c r="D629" s="2">
        <f>(D615/D612)*BF76</f>
        <v>20701.903320527501</v>
      </c>
      <c r="E629" s="2">
        <f>(E623/E612)*SUM(C629:D629)</f>
        <v>237185.11792722801</v>
      </c>
      <c r="F629" s="2">
        <f>(F624/F612)*BF64</f>
        <v>20557.153456513275</v>
      </c>
      <c r="G629" s="2">
        <f>(G625/G612)*BF77</f>
        <v>0</v>
      </c>
      <c r="H629" s="2">
        <f>(H628/H612)*BF60</f>
        <v>134228.12274238531</v>
      </c>
      <c r="I629" s="2">
        <f>SUM(C629:H629)</f>
        <v>2833409.4474466546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">
      <c r="A630" s="336">
        <v>8350</v>
      </c>
      <c r="B630" s="339" t="s">
        <v>625</v>
      </c>
      <c r="C630" s="2">
        <f>BA71</f>
        <v>643051.01</v>
      </c>
      <c r="D630" s="2">
        <f>(D615/D612)*BA76</f>
        <v>32395.119076377912</v>
      </c>
      <c r="E630" s="2">
        <f>(E623/E612)*SUM(C630:D630)</f>
        <v>65619.401623226804</v>
      </c>
      <c r="F630" s="2">
        <f>(F624/F612)*BA64</f>
        <v>11421.28075406192</v>
      </c>
      <c r="G630" s="2">
        <f>(G625/G612)*BA77</f>
        <v>0</v>
      </c>
      <c r="H630" s="2">
        <f>(H628/H612)*BA60</f>
        <v>27644.83543059375</v>
      </c>
      <c r="I630" s="2">
        <f>(I629/I612)*BA78</f>
        <v>24816.132577650089</v>
      </c>
      <c r="J630" s="2">
        <f>SUM(C630:I630)</f>
        <v>804947.77946191048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">
      <c r="A631" s="336">
        <v>8200</v>
      </c>
      <c r="B631" s="339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">
      <c r="A632" s="336">
        <v>8360</v>
      </c>
      <c r="B632" s="339" t="s">
        <v>629</v>
      </c>
      <c r="C632" s="2">
        <f>BB71</f>
        <v>1861503.21</v>
      </c>
      <c r="D632" s="2">
        <f>(D615/D612)*BB76</f>
        <v>7682.7233756910591</v>
      </c>
      <c r="E632" s="2">
        <f>(E623/E612)*SUM(C632:D632)</f>
        <v>181590.88814142274</v>
      </c>
      <c r="F632" s="2">
        <f>(F624/F612)*BB64</f>
        <v>188.95197099593494</v>
      </c>
      <c r="G632" s="2">
        <f>(G625/G612)*BB77</f>
        <v>0</v>
      </c>
      <c r="H632" s="2">
        <f>(H628/H612)*BB60</f>
        <v>46871.752963483013</v>
      </c>
      <c r="I632" s="2">
        <f>(I629/I612)*BB78</f>
        <v>5885.3150500559268</v>
      </c>
      <c r="J632" s="2">
        <f>(J630/J612)*BB79</f>
        <v>0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">
      <c r="A633" s="336">
        <v>8370</v>
      </c>
      <c r="B633" s="339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">
      <c r="A634" s="336">
        <v>8490</v>
      </c>
      <c r="B634" s="339" t="s">
        <v>633</v>
      </c>
      <c r="C634" s="2">
        <f>BI71</f>
        <v>1248764.55</v>
      </c>
      <c r="D634" s="2">
        <f>(D615/D612)*BI76</f>
        <v>38713.964373748546</v>
      </c>
      <c r="E634" s="2">
        <f>(E623/E612)*SUM(C634:D634)</f>
        <v>125078.1758591042</v>
      </c>
      <c r="F634" s="2">
        <f>(F624/F612)*BI64</f>
        <v>1470.9266257506999</v>
      </c>
      <c r="G634" s="2">
        <f>(G625/G612)*BI77</f>
        <v>0</v>
      </c>
      <c r="H634" s="2">
        <f>(H628/H612)*BI60</f>
        <v>56599.852635149298</v>
      </c>
      <c r="I634" s="2">
        <f>(I629/I612)*BI78</f>
        <v>1477638.6870218276</v>
      </c>
      <c r="J634" s="2">
        <f>(J630/J612)*BI79</f>
        <v>46007.821361421171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">
      <c r="A635" s="336">
        <v>8530</v>
      </c>
      <c r="B635" s="339" t="s">
        <v>635</v>
      </c>
      <c r="C635" s="2">
        <f>BK71</f>
        <v>2721300.33</v>
      </c>
      <c r="D635" s="2">
        <f>(D615/D612)*BK76</f>
        <v>47183.375404685416</v>
      </c>
      <c r="E635" s="2">
        <f>(E623/E612)*SUM(C635:D635)</f>
        <v>268957.41396982194</v>
      </c>
      <c r="F635" s="2">
        <f>(F624/F612)*BK64</f>
        <v>946.26829650110233</v>
      </c>
      <c r="G635" s="2">
        <f>(G625/G612)*BK77</f>
        <v>0</v>
      </c>
      <c r="H635" s="2">
        <f>(H628/H612)*BK60</f>
        <v>98558.423946275594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">
      <c r="A636" s="336">
        <v>8480</v>
      </c>
      <c r="B636" s="339" t="s">
        <v>637</v>
      </c>
      <c r="C636" s="2">
        <f>BH71</f>
        <v>9466334.8399999999</v>
      </c>
      <c r="D636" s="2">
        <f>(D615/D612)*BH76</f>
        <v>146228.4548928687</v>
      </c>
      <c r="E636" s="2">
        <f>(E623/E612)*SUM(C636:D636)</f>
        <v>933857.82273827691</v>
      </c>
      <c r="F636" s="2">
        <f>(F624/F612)*BH64</f>
        <v>40775.727546927308</v>
      </c>
      <c r="G636" s="2">
        <f>(G625/G612)*BH77</f>
        <v>0</v>
      </c>
      <c r="H636" s="2">
        <f>(H628/H612)*BH60</f>
        <v>94300.333180899775</v>
      </c>
      <c r="I636" s="2">
        <f>(I629/I612)*BH78</f>
        <v>107325.30919217621</v>
      </c>
      <c r="J636" s="2">
        <f>(J630/J612)*BH79</f>
        <v>0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">
      <c r="A637" s="336">
        <v>8560</v>
      </c>
      <c r="B637" s="339" t="s">
        <v>147</v>
      </c>
      <c r="C637" s="2">
        <f>BL71</f>
        <v>5723479.3999999994</v>
      </c>
      <c r="D637" s="2">
        <f>(D615/D612)*BL76</f>
        <v>56009.136117856928</v>
      </c>
      <c r="E637" s="2">
        <f>(E623/E612)*SUM(C637:D637)</f>
        <v>561475.68710911728</v>
      </c>
      <c r="F637" s="2">
        <f>(F624/F612)*BL64</f>
        <v>2983.6737248592499</v>
      </c>
      <c r="G637" s="2">
        <f>(G625/G612)*BL77</f>
        <v>0</v>
      </c>
      <c r="H637" s="2">
        <f>(H628/H612)*BL60</f>
        <v>368586.88755980035</v>
      </c>
      <c r="I637" s="2">
        <f>(I629/I612)*BL78</f>
        <v>38743.672947510291</v>
      </c>
      <c r="J637" s="2">
        <f>(J630/J612)*BL79</f>
        <v>0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">
      <c r="A638" s="336">
        <v>8590</v>
      </c>
      <c r="B638" s="339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">
      <c r="A639" s="336">
        <v>8660</v>
      </c>
      <c r="B639" s="339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">
      <c r="A640" s="336">
        <v>8670</v>
      </c>
      <c r="B640" s="339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">
      <c r="A642" s="336">
        <v>8690</v>
      </c>
      <c r="B642" s="339" t="s">
        <v>648</v>
      </c>
      <c r="C642" s="2">
        <f>BV71</f>
        <v>1131813.06</v>
      </c>
      <c r="D642" s="2">
        <f>(D615/D612)*BV76</f>
        <v>30545.820582051045</v>
      </c>
      <c r="E642" s="2">
        <f>(E623/E612)*SUM(C642:D642)</f>
        <v>112922.83859785527</v>
      </c>
      <c r="F642" s="2">
        <f>(F624/F612)*BV64</f>
        <v>309.63403686001561</v>
      </c>
      <c r="G642" s="2">
        <f>(G625/G612)*BV77</f>
        <v>0</v>
      </c>
      <c r="H642" s="2">
        <f>(H628/H612)*BV60</f>
        <v>49983.43467664226</v>
      </c>
      <c r="I642" s="2">
        <f>(I629/I612)*BV78</f>
        <v>13504.252992227748</v>
      </c>
      <c r="J642" s="2">
        <f>(J630/J612)*BV79</f>
        <v>0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">
      <c r="A643" s="336">
        <v>8700</v>
      </c>
      <c r="B643" s="339" t="s">
        <v>650</v>
      </c>
      <c r="C643" s="2">
        <f>BW71</f>
        <v>287667.64</v>
      </c>
      <c r="D643" s="2">
        <f>(D615/D612)*BW76</f>
        <v>3382.9204275918637</v>
      </c>
      <c r="E643" s="2">
        <f>(E623/E612)*SUM(C643:D643)</f>
        <v>28275.480153360644</v>
      </c>
      <c r="F643" s="2">
        <f>(F624/F612)*BW64</f>
        <v>1186.3375514537909</v>
      </c>
      <c r="G643" s="2">
        <f>(G625/G612)*BW77</f>
        <v>0</v>
      </c>
      <c r="H643" s="2">
        <f>(H628/H612)*BW60</f>
        <v>6714.6815915541692</v>
      </c>
      <c r="I643" s="2">
        <f>(I629/I612)*BW78</f>
        <v>2591.4706975711156</v>
      </c>
      <c r="J643" s="2">
        <f>(J630/J612)*BW79</f>
        <v>0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">
      <c r="A644" s="336">
        <v>8710</v>
      </c>
      <c r="B644" s="339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27443941.147313397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">
      <c r="A645" s="336">
        <v>8720</v>
      </c>
      <c r="B645" s="339" t="s">
        <v>654</v>
      </c>
      <c r="C645" s="2">
        <f>BY71</f>
        <v>1376966.8</v>
      </c>
      <c r="D645" s="2">
        <f>(D615/D612)*BY76</f>
        <v>8248.5702900968881</v>
      </c>
      <c r="E645" s="2">
        <f>(E623/E612)*SUM(C645:D645)</f>
        <v>134573.28394497954</v>
      </c>
      <c r="F645" s="2">
        <f>(F624/F612)*BY64</f>
        <v>209.87288591215798</v>
      </c>
      <c r="G645" s="2">
        <f>(G625/G612)*BY77</f>
        <v>0</v>
      </c>
      <c r="H645" s="2">
        <f>(H628/H612)*BY60</f>
        <v>39076.171408410366</v>
      </c>
      <c r="I645" s="2">
        <f>(I629/I612)*BY78</f>
        <v>6318.7794868879737</v>
      </c>
      <c r="J645" s="2">
        <f>(J630/J612)*BY79</f>
        <v>0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">
      <c r="A647" s="336">
        <v>8740</v>
      </c>
      <c r="B647" s="339" t="s">
        <v>658</v>
      </c>
      <c r="C647" s="2">
        <f>CA71</f>
        <v>660117.22</v>
      </c>
      <c r="D647" s="2">
        <f>(D615/D612)*CA76</f>
        <v>54514.245624100651</v>
      </c>
      <c r="E647" s="2">
        <f>(E623/E612)*SUM(C647:D647)</f>
        <v>69426.246056819771</v>
      </c>
      <c r="F647" s="2">
        <f>(F624/F612)*CA64</f>
        <v>987.39131235966386</v>
      </c>
      <c r="G647" s="2">
        <f>(G625/G612)*CA77</f>
        <v>0</v>
      </c>
      <c r="H647" s="2">
        <f>(H628/H612)*CA60</f>
        <v>13462.117727457386</v>
      </c>
      <c r="I647" s="2">
        <f>(I629/I612)*CA78</f>
        <v>41760.388149483006</v>
      </c>
      <c r="J647" s="2">
        <f>(J630/J612)*CA79</f>
        <v>0</v>
      </c>
      <c r="K647" s="2">
        <v>0</v>
      </c>
      <c r="L647" s="2">
        <f>SUM(C645:K647)</f>
        <v>2405661.0868865079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">
      <c r="A648" s="336"/>
      <c r="B648" s="336"/>
      <c r="C648" s="2">
        <f>SUM(C614:C647)</f>
        <v>57272320.829999991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">
      <c r="A668" s="336">
        <v>6010</v>
      </c>
      <c r="B668" s="330" t="s">
        <v>283</v>
      </c>
      <c r="C668" s="2">
        <f>C71</f>
        <v>6123885.330000001</v>
      </c>
      <c r="D668" s="2">
        <f>(D615/D612)*C76</f>
        <v>64388.412242074279</v>
      </c>
      <c r="E668" s="2">
        <f>(E623/E612)*SUM(C668:D668)</f>
        <v>601189.05500564934</v>
      </c>
      <c r="F668" s="2">
        <f>(F624/F612)*C64</f>
        <v>21981.766319053735</v>
      </c>
      <c r="G668" s="2">
        <f>(G625/G612)*C77</f>
        <v>635401.14892486448</v>
      </c>
      <c r="H668" s="2">
        <f>(H628/H612)*C60</f>
        <v>171502.7942115982</v>
      </c>
      <c r="I668" s="2">
        <f>(I629/I612)*C78</f>
        <v>49324.44825704777</v>
      </c>
      <c r="J668" s="2">
        <f>(J630/J612)*C79</f>
        <v>89294.155828817122</v>
      </c>
      <c r="K668" s="2">
        <f>(K644/K612)*C75</f>
        <v>1140167.8226566825</v>
      </c>
      <c r="L668" s="2">
        <f>(L647/L612)*C80</f>
        <v>342531.92293388117</v>
      </c>
      <c r="M668" s="2">
        <f t="shared" ref="M668:M713" si="20">ROUND(SUM(D668:L668),0)</f>
        <v>3115782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">
      <c r="A670" s="336">
        <v>6070</v>
      </c>
      <c r="B670" s="330" t="s">
        <v>665</v>
      </c>
      <c r="C670" s="2">
        <f>E71</f>
        <v>9132418.8000000007</v>
      </c>
      <c r="D670" s="2">
        <f>(D615/D612)*E76</f>
        <v>126858.85177517825</v>
      </c>
      <c r="E670" s="2">
        <f>(E623/E612)*SUM(C670:D670)</f>
        <v>899536.22179112257</v>
      </c>
      <c r="F670" s="2">
        <f>(F624/F612)*E64</f>
        <v>25963.26961423743</v>
      </c>
      <c r="G670" s="2">
        <f>(G625/G612)*E77</f>
        <v>2445191.9923452432</v>
      </c>
      <c r="H670" s="2">
        <f>(H628/H612)*E60</f>
        <v>265999.65465859225</v>
      </c>
      <c r="I670" s="2">
        <f>(I629/I612)*E78</f>
        <v>97179.642305956862</v>
      </c>
      <c r="J670" s="2">
        <f>(J630/J612)*E79</f>
        <v>155335.21814239045</v>
      </c>
      <c r="K670" s="2">
        <f>(K644/K612)*E75</f>
        <v>1357839.8781495804</v>
      </c>
      <c r="L670" s="2">
        <f>(L647/L612)*E80</f>
        <v>565625.91527004319</v>
      </c>
      <c r="M670" s="2">
        <f t="shared" si="20"/>
        <v>5939531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">
      <c r="A672" s="336">
        <v>6120</v>
      </c>
      <c r="B672" s="330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">
      <c r="A673" s="336">
        <v>6140</v>
      </c>
      <c r="B673" s="330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">
      <c r="A675" s="336">
        <v>6170</v>
      </c>
      <c r="B675" s="330" t="s">
        <v>99</v>
      </c>
      <c r="C675" s="2">
        <f>J71</f>
        <v>788565.69</v>
      </c>
      <c r="D675" s="2">
        <f>(D615/D612)*J76</f>
        <v>2587.9550768309932</v>
      </c>
      <c r="E675" s="2">
        <f>(E623/E612)*SUM(C675:D675)</f>
        <v>76860.35428608692</v>
      </c>
      <c r="F675" s="2">
        <f>(F624/F612)*J64</f>
        <v>2218.0694011735714</v>
      </c>
      <c r="G675" s="2">
        <f>(G625/G612)*J77</f>
        <v>0</v>
      </c>
      <c r="H675" s="2">
        <f>(H628/H612)*J60</f>
        <v>17883.981214578424</v>
      </c>
      <c r="I675" s="2">
        <f>(I629/I612)*J78</f>
        <v>1982.491132081411</v>
      </c>
      <c r="J675" s="2">
        <f>(J630/J612)*J79</f>
        <v>8685.3289178728337</v>
      </c>
      <c r="K675" s="2">
        <f>(K644/K612)*J75</f>
        <v>123692.11163486433</v>
      </c>
      <c r="L675" s="2">
        <f>(L647/L612)*J80</f>
        <v>0</v>
      </c>
      <c r="M675" s="2">
        <f t="shared" si="20"/>
        <v>233910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">
      <c r="A680" s="336">
        <v>7010</v>
      </c>
      <c r="B680" s="330" t="s">
        <v>682</v>
      </c>
      <c r="C680" s="2">
        <f>O71</f>
        <v>478771.85000000003</v>
      </c>
      <c r="D680" s="2">
        <f>(D615/D612)*O76</f>
        <v>64503.073654023596</v>
      </c>
      <c r="E680" s="2">
        <f>(E623/E612)*SUM(C680:D680)</f>
        <v>52779.00615972012</v>
      </c>
      <c r="F680" s="2">
        <f>(F624/F612)*O64</f>
        <v>1346.6847727790475</v>
      </c>
      <c r="G680" s="2">
        <f>(G625/G612)*O77</f>
        <v>0</v>
      </c>
      <c r="H680" s="2">
        <f>(H628/H612)*O60</f>
        <v>10841.754179533806</v>
      </c>
      <c r="I680" s="2">
        <f>(I629/I612)*O78</f>
        <v>49412.284106447361</v>
      </c>
      <c r="J680" s="2">
        <f>(J630/J612)*O79</f>
        <v>32869.631591651028</v>
      </c>
      <c r="K680" s="2">
        <f>(K644/K612)*O75</f>
        <v>75098.782221142683</v>
      </c>
      <c r="L680" s="2">
        <f>(L647/L612)*O80</f>
        <v>0</v>
      </c>
      <c r="M680" s="2">
        <f t="shared" si="20"/>
        <v>286851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">
      <c r="A681" s="336">
        <v>7020</v>
      </c>
      <c r="B681" s="330" t="s">
        <v>684</v>
      </c>
      <c r="C681" s="2">
        <f>P71</f>
        <v>10715633.819999998</v>
      </c>
      <c r="D681" s="2">
        <f>(D615/D612)*P76</f>
        <v>120733.97025666661</v>
      </c>
      <c r="E681" s="2">
        <f>(E623/E612)*SUM(C681:D681)</f>
        <v>1052750.0855444891</v>
      </c>
      <c r="F681" s="2">
        <f>(F624/F612)*P64</f>
        <v>340850.55073877284</v>
      </c>
      <c r="G681" s="2">
        <f>(G625/G612)*P77</f>
        <v>0</v>
      </c>
      <c r="H681" s="2">
        <f>(H628/H612)*P60</f>
        <v>119914.38686185276</v>
      </c>
      <c r="I681" s="2">
        <f>(I629/I612)*P78</f>
        <v>61390.917639584819</v>
      </c>
      <c r="J681" s="2">
        <f>(J630/J612)*P79</f>
        <v>72471.501676985092</v>
      </c>
      <c r="K681" s="2">
        <f>(K644/K612)*P75</f>
        <v>2399038.4600932538</v>
      </c>
      <c r="L681" s="2">
        <f>(L647/L612)*P80</f>
        <v>149227.37536759599</v>
      </c>
      <c r="M681" s="2">
        <f t="shared" si="20"/>
        <v>4316377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">
      <c r="A682" s="336">
        <v>7030</v>
      </c>
      <c r="B682" s="330" t="s">
        <v>686</v>
      </c>
      <c r="C682" s="2">
        <f>Q71</f>
        <v>828303.78</v>
      </c>
      <c r="D682" s="2">
        <f>(D615/D612)*Q76</f>
        <v>17582.131855297026</v>
      </c>
      <c r="E682" s="2">
        <f>(E623/E612)*SUM(C682:D682)</f>
        <v>82177.578622536763</v>
      </c>
      <c r="F682" s="2">
        <f>(F624/F612)*Q64</f>
        <v>1627.3178411633896</v>
      </c>
      <c r="G682" s="2">
        <f>(G625/G612)*Q77</f>
        <v>0</v>
      </c>
      <c r="H682" s="2">
        <f>(H628/H612)*Q60</f>
        <v>21421.472004275256</v>
      </c>
      <c r="I682" s="2">
        <f>(I629/I612)*Q78</f>
        <v>13468.711570099924</v>
      </c>
      <c r="J682" s="2">
        <f>(J630/J612)*Q79</f>
        <v>19687.098528617338</v>
      </c>
      <c r="K682" s="2">
        <f>(K644/K612)*Q75</f>
        <v>96111.22569319114</v>
      </c>
      <c r="L682" s="2">
        <f>(L647/L612)*Q80</f>
        <v>61166.414809621638</v>
      </c>
      <c r="M682" s="2">
        <f t="shared" si="20"/>
        <v>313242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">
      <c r="A683" s="336">
        <v>7040</v>
      </c>
      <c r="B683" s="330" t="s">
        <v>107</v>
      </c>
      <c r="C683" s="2">
        <f>R71</f>
        <v>1315325.43</v>
      </c>
      <c r="D683" s="2">
        <f>(D615/D612)*R76</f>
        <v>5115.4114407618144</v>
      </c>
      <c r="E683" s="2">
        <f>(E623/E612)*SUM(C683:D683)</f>
        <v>128280.45667046098</v>
      </c>
      <c r="F683" s="2">
        <f>(F624/F612)*R64</f>
        <v>11662.690408801718</v>
      </c>
      <c r="G683" s="2">
        <f>(G625/G612)*R77</f>
        <v>0</v>
      </c>
      <c r="H683" s="2">
        <f>(H628/H612)*R60</f>
        <v>9171.2724177325235</v>
      </c>
      <c r="I683" s="2">
        <f>(I629/I612)*R78</f>
        <v>3918.6375022692741</v>
      </c>
      <c r="J683" s="2">
        <f>(J630/J612)*R79</f>
        <v>0</v>
      </c>
      <c r="K683" s="2">
        <f>(K644/K612)*R75</f>
        <v>232401.41341646289</v>
      </c>
      <c r="L683" s="2">
        <f>(L647/L612)*R80</f>
        <v>11392.828407288305</v>
      </c>
      <c r="M683" s="2">
        <f t="shared" si="20"/>
        <v>401943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">
      <c r="A684" s="336">
        <v>7050</v>
      </c>
      <c r="B684" s="330" t="s">
        <v>689</v>
      </c>
      <c r="C684" s="2">
        <f>S71</f>
        <v>1476215.75</v>
      </c>
      <c r="D684" s="2">
        <f>(D615/D612)*S76</f>
        <v>31609.146777534635</v>
      </c>
      <c r="E684" s="2">
        <f>(E623/E612)*SUM(C684:D684)</f>
        <v>146484.76498701991</v>
      </c>
      <c r="F684" s="2">
        <f>(F624/F612)*S64</f>
        <v>13471.765337072326</v>
      </c>
      <c r="G684" s="2">
        <f>(G625/G612)*S77</f>
        <v>0</v>
      </c>
      <c r="H684" s="2">
        <f>(H628/H612)*S60</f>
        <v>60923.452489223208</v>
      </c>
      <c r="I684" s="2">
        <f>(I629/I612)*S78</f>
        <v>24214.042098387807</v>
      </c>
      <c r="J684" s="2">
        <f>(J630/J612)*S79</f>
        <v>12749.689573565669</v>
      </c>
      <c r="K684" s="2">
        <f>(K644/K612)*S75</f>
        <v>68598.858243950526</v>
      </c>
      <c r="L684" s="2">
        <f>(L647/L612)*S80</f>
        <v>0</v>
      </c>
      <c r="M684" s="2">
        <f t="shared" si="20"/>
        <v>358052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">
      <c r="A685" s="336">
        <v>7060</v>
      </c>
      <c r="B685" s="330" t="s">
        <v>691</v>
      </c>
      <c r="C685" s="2">
        <f>T71</f>
        <v>172466.67</v>
      </c>
      <c r="D685" s="2">
        <f>(D615/D612)*T76</f>
        <v>0</v>
      </c>
      <c r="E685" s="2">
        <f>(E623/E612)*SUM(C685:D685)</f>
        <v>16755.088523234106</v>
      </c>
      <c r="F685" s="2">
        <f>(F624/F612)*T64</f>
        <v>5424.7485577837269</v>
      </c>
      <c r="G685" s="2">
        <f>(G625/G612)*T77</f>
        <v>0</v>
      </c>
      <c r="H685" s="2">
        <f>(H628/H612)*T60</f>
        <v>1899.7635722445943</v>
      </c>
      <c r="I685" s="2">
        <f>(I629/I612)*T78</f>
        <v>0</v>
      </c>
      <c r="J685" s="2">
        <f>(J630/J612)*T79</f>
        <v>0</v>
      </c>
      <c r="K685" s="2">
        <f>(K644/K612)*T75</f>
        <v>42948.385173180934</v>
      </c>
      <c r="L685" s="2">
        <f>(L647/L612)*T80</f>
        <v>5509.6465248361474</v>
      </c>
      <c r="M685" s="2">
        <f t="shared" si="20"/>
        <v>72538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">
      <c r="A686" s="336">
        <v>7070</v>
      </c>
      <c r="B686" s="330" t="s">
        <v>109</v>
      </c>
      <c r="C686" s="2">
        <f>U71</f>
        <v>10593250.83</v>
      </c>
      <c r="D686" s="2">
        <f>(D615/D612)*U76</f>
        <v>89115.626039670809</v>
      </c>
      <c r="E686" s="2">
        <f>(E623/E612)*SUM(C686:D686)</f>
        <v>1037788.8992033723</v>
      </c>
      <c r="F686" s="2">
        <f>(F624/F612)*U64</f>
        <v>94357.537993761071</v>
      </c>
      <c r="G686" s="2">
        <f>(G625/G612)*U77</f>
        <v>0</v>
      </c>
      <c r="H686" s="2">
        <f>(H628/H612)*U60</f>
        <v>236389.54656705583</v>
      </c>
      <c r="I686" s="2">
        <f>(I629/I612)*U78</f>
        <v>65523.586525328683</v>
      </c>
      <c r="J686" s="2">
        <f>(J630/J612)*U79</f>
        <v>1440.8261109661785</v>
      </c>
      <c r="K686" s="2">
        <f>(K644/K612)*U75</f>
        <v>2663626.2109655403</v>
      </c>
      <c r="L686" s="2">
        <f>(L647/L612)*U80</f>
        <v>0</v>
      </c>
      <c r="M686" s="2">
        <f t="shared" si="20"/>
        <v>4188242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">
      <c r="A687" s="336">
        <v>7110</v>
      </c>
      <c r="B687" s="330" t="s">
        <v>694</v>
      </c>
      <c r="C687" s="2">
        <f>V71</f>
        <v>3879140.01</v>
      </c>
      <c r="D687" s="2">
        <f>(D615/D612)*V76</f>
        <v>96188.865760401342</v>
      </c>
      <c r="E687" s="2">
        <f>(E623/E612)*SUM(C687:D687)</f>
        <v>386202.08311747562</v>
      </c>
      <c r="F687" s="2">
        <f>(F624/F612)*V64</f>
        <v>25715.441214856713</v>
      </c>
      <c r="G687" s="2">
        <f>(G625/G612)*V77</f>
        <v>0</v>
      </c>
      <c r="H687" s="2">
        <f>(H628/H612)*V60</f>
        <v>96134.587664446299</v>
      </c>
      <c r="I687" s="2">
        <f>(I629/I612)*V78</f>
        <v>70942.009413335429</v>
      </c>
      <c r="J687" s="2">
        <f>(J630/J612)*V79</f>
        <v>0</v>
      </c>
      <c r="K687" s="2">
        <f>(K644/K612)*V75</f>
        <v>1049852.6414988581</v>
      </c>
      <c r="L687" s="2">
        <f>(L647/L612)*V80</f>
        <v>26614.394230140715</v>
      </c>
      <c r="M687" s="2">
        <f t="shared" si="20"/>
        <v>1751650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">
      <c r="A688" s="336">
        <v>7120</v>
      </c>
      <c r="B688" s="330" t="s">
        <v>696</v>
      </c>
      <c r="C688" s="2">
        <f>W71</f>
        <v>1559383.0999999999</v>
      </c>
      <c r="D688" s="2">
        <f>(D615/D612)*W76</f>
        <v>12239.339272300613</v>
      </c>
      <c r="E688" s="2">
        <f>(E623/E612)*SUM(C688:D688)</f>
        <v>152682.67831174866</v>
      </c>
      <c r="F688" s="2">
        <f>(F624/F612)*W64</f>
        <v>2466.965624284062</v>
      </c>
      <c r="G688" s="2">
        <f>(G625/G612)*W77</f>
        <v>0</v>
      </c>
      <c r="H688" s="2">
        <f>(H628/H612)*W60</f>
        <v>25581.299136603935</v>
      </c>
      <c r="I688" s="2">
        <f>(I629/I612)*W78</f>
        <v>9375.8897853760172</v>
      </c>
      <c r="J688" s="2">
        <f>(J630/J612)*W79</f>
        <v>0</v>
      </c>
      <c r="K688" s="2">
        <f>(K644/K612)*W75</f>
        <v>1059848.198286932</v>
      </c>
      <c r="L688" s="2">
        <f>(L647/L612)*W80</f>
        <v>0</v>
      </c>
      <c r="M688" s="2">
        <f t="shared" si="20"/>
        <v>1262194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">
      <c r="A689" s="336">
        <v>7130</v>
      </c>
      <c r="B689" s="330" t="s">
        <v>698</v>
      </c>
      <c r="C689" s="2">
        <f>X71</f>
        <v>1768423.9500000002</v>
      </c>
      <c r="D689" s="2">
        <f>(D615/D612)*X76</f>
        <v>12896.240837372072</v>
      </c>
      <c r="E689" s="2">
        <f>(E623/E612)*SUM(C689:D689)</f>
        <v>173054.75594620366</v>
      </c>
      <c r="F689" s="2">
        <f>(F624/F612)*X64</f>
        <v>9222.7311706686105</v>
      </c>
      <c r="G689" s="2">
        <f>(G625/G612)*X77</f>
        <v>0</v>
      </c>
      <c r="H689" s="2">
        <f>(H628/H612)*X60</f>
        <v>35997.244239600157</v>
      </c>
      <c r="I689" s="2">
        <f>(I629/I612)*X78</f>
        <v>9879.1062202606845</v>
      </c>
      <c r="J689" s="2">
        <f>(J630/J612)*X79</f>
        <v>0</v>
      </c>
      <c r="K689" s="2">
        <f>(K644/K612)*X75</f>
        <v>2257440.725645001</v>
      </c>
      <c r="L689" s="2">
        <f>(L647/L612)*X80</f>
        <v>0</v>
      </c>
      <c r="M689" s="2">
        <f t="shared" si="20"/>
        <v>2498491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">
      <c r="A690" s="336">
        <v>7140</v>
      </c>
      <c r="B690" s="330" t="s">
        <v>1249</v>
      </c>
      <c r="C690" s="2">
        <f>Y71</f>
        <v>8389324.1099999994</v>
      </c>
      <c r="D690" s="2">
        <f>(D615/D612)*Y76</f>
        <v>198681.96310880725</v>
      </c>
      <c r="E690" s="2">
        <f>(E623/E612)*SUM(C690:D690)</f>
        <v>834322.3765670791</v>
      </c>
      <c r="F690" s="2">
        <f>(F624/F612)*Y64</f>
        <v>17325.049416897207</v>
      </c>
      <c r="G690" s="2">
        <f>(G625/G612)*Y77</f>
        <v>0</v>
      </c>
      <c r="H690" s="2">
        <f>(H628/H612)*Y60</f>
        <v>215492.14727236531</v>
      </c>
      <c r="I690" s="2">
        <f>(I629/I612)*Y78</f>
        <v>136418.39004099215</v>
      </c>
      <c r="J690" s="2">
        <f>(J630/J612)*Y79</f>
        <v>70743.436920102831</v>
      </c>
      <c r="K690" s="2">
        <f>(K644/K612)*Y75</f>
        <v>1931602.7166720259</v>
      </c>
      <c r="L690" s="2">
        <f>(L647/L612)*Y80</f>
        <v>28855.606375836771</v>
      </c>
      <c r="M690" s="2">
        <f t="shared" si="20"/>
        <v>3433442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">
      <c r="A691" s="336">
        <v>7150</v>
      </c>
      <c r="B691" s="330" t="s">
        <v>701</v>
      </c>
      <c r="C691" s="2">
        <f>Z71</f>
        <v>5024260.2200000007</v>
      </c>
      <c r="D691" s="2">
        <f>(D615/D612)*Z76</f>
        <v>61796.267220599868</v>
      </c>
      <c r="E691" s="2">
        <f>(E623/E612)*SUM(C691:D691)</f>
        <v>494108.95842976641</v>
      </c>
      <c r="F691" s="2">
        <f>(F624/F612)*Z64</f>
        <v>3251.8728289291125</v>
      </c>
      <c r="G691" s="2">
        <f>(G625/G612)*Z77</f>
        <v>0</v>
      </c>
      <c r="H691" s="2">
        <f>(H628/H612)*Z60</f>
        <v>64460.943278920029</v>
      </c>
      <c r="I691" s="2">
        <f>(I629/I612)*Z78</f>
        <v>47338.747437064951</v>
      </c>
      <c r="J691" s="2">
        <f>(J630/J612)*Z79</f>
        <v>11494.661861373737</v>
      </c>
      <c r="K691" s="2">
        <f>(K644/K612)*Z75</f>
        <v>963942.60725846561</v>
      </c>
      <c r="L691" s="2">
        <f>(L647/L612)*Z80</f>
        <v>25400.404317888682</v>
      </c>
      <c r="M691" s="2">
        <f t="shared" si="20"/>
        <v>1671794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">
      <c r="A692" s="336">
        <v>7160</v>
      </c>
      <c r="B692" s="330" t="s">
        <v>703</v>
      </c>
      <c r="C692" s="2">
        <f>AA71</f>
        <v>538073.55000000005</v>
      </c>
      <c r="D692" s="2">
        <f>(D615/D612)*AA76</f>
        <v>6129.3780444704353</v>
      </c>
      <c r="E692" s="2">
        <f>(E623/E612)*SUM(C692:D692)</f>
        <v>52869.161525460557</v>
      </c>
      <c r="F692" s="2">
        <f>(F624/F612)*AA64</f>
        <v>18820.297133124724</v>
      </c>
      <c r="G692" s="2">
        <f>(G625/G612)*AA77</f>
        <v>0</v>
      </c>
      <c r="H692" s="2">
        <f>(H628/H612)*AA60</f>
        <v>3504.7362453477863</v>
      </c>
      <c r="I692" s="2">
        <f>(I629/I612)*AA78</f>
        <v>4695.3819744107905</v>
      </c>
      <c r="J692" s="2">
        <f>(J630/J612)*AA79</f>
        <v>0</v>
      </c>
      <c r="K692" s="2">
        <f>(K644/K612)*AA75</f>
        <v>90686.937218120263</v>
      </c>
      <c r="L692" s="2">
        <f>(L647/L612)*AA80</f>
        <v>0</v>
      </c>
      <c r="M692" s="2">
        <f t="shared" si="20"/>
        <v>176706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">
      <c r="A693" s="336">
        <v>7170</v>
      </c>
      <c r="B693" s="330" t="s">
        <v>115</v>
      </c>
      <c r="C693" s="2">
        <f>AB71</f>
        <v>22662950.039999999</v>
      </c>
      <c r="D693" s="2">
        <f>(D615/D612)*AB76</f>
        <v>23890.451194173205</v>
      </c>
      <c r="E693" s="2">
        <f>(E623/E612)*SUM(C693:D693)</f>
        <v>2204020.1781738484</v>
      </c>
      <c r="F693" s="2">
        <f>(F624/F612)*AB64</f>
        <v>983715.03074128646</v>
      </c>
      <c r="G693" s="2">
        <f>(G625/G612)*AB77</f>
        <v>0</v>
      </c>
      <c r="H693" s="2">
        <f>(H628/H612)*AB60</f>
        <v>73795.988418397785</v>
      </c>
      <c r="I693" s="2">
        <f>(I629/I612)*AB78</f>
        <v>18301.170703422202</v>
      </c>
      <c r="J693" s="2">
        <f>(J630/J612)*AB79</f>
        <v>335.55298036741044</v>
      </c>
      <c r="K693" s="2">
        <f>(K644/K612)*AB75</f>
        <v>4240630.6026150286</v>
      </c>
      <c r="L693" s="2">
        <f>(L647/L612)*AB80</f>
        <v>0</v>
      </c>
      <c r="M693" s="2">
        <f t="shared" si="20"/>
        <v>7544689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">
      <c r="A694" s="336">
        <v>7180</v>
      </c>
      <c r="B694" s="330" t="s">
        <v>706</v>
      </c>
      <c r="C694" s="2">
        <f>AC71</f>
        <v>1543504.7800000003</v>
      </c>
      <c r="D694" s="2">
        <f>(D615/D612)*AC76</f>
        <v>29072.901749229804</v>
      </c>
      <c r="E694" s="2">
        <f>(E623/E612)*SUM(C694:D694)</f>
        <v>152775.47984993632</v>
      </c>
      <c r="F694" s="2">
        <f>(F624/F612)*AC64</f>
        <v>7805.509896388141</v>
      </c>
      <c r="G694" s="2">
        <f>(G625/G612)*AC77</f>
        <v>0</v>
      </c>
      <c r="H694" s="2">
        <f>(H628/H612)*AC60</f>
        <v>41958.571311126303</v>
      </c>
      <c r="I694" s="2">
        <f>(I629/I612)*AC78</f>
        <v>22271.163212114057</v>
      </c>
      <c r="J694" s="2">
        <f>(J630/J612)*AC79</f>
        <v>39.710411877800048</v>
      </c>
      <c r="K694" s="2">
        <f>(K644/K612)*AC75</f>
        <v>308198.59732058865</v>
      </c>
      <c r="L694" s="2">
        <f>(L647/L612)*AC80</f>
        <v>0</v>
      </c>
      <c r="M694" s="2">
        <f t="shared" si="20"/>
        <v>562122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">
      <c r="A695" s="336">
        <v>7190</v>
      </c>
      <c r="B695" s="33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">
      <c r="A696" s="336">
        <v>7200</v>
      </c>
      <c r="B696" s="330" t="s">
        <v>709</v>
      </c>
      <c r="C696" s="2">
        <f>AE71</f>
        <v>4383847.7</v>
      </c>
      <c r="D696" s="2">
        <f>(D615/D612)*AE76</f>
        <v>97625.301416693255</v>
      </c>
      <c r="E696" s="2">
        <f>(E623/E612)*SUM(C696:D696)</f>
        <v>435373.84268635983</v>
      </c>
      <c r="F696" s="2">
        <f>(F624/F612)*AE64</f>
        <v>3924.7625142584611</v>
      </c>
      <c r="G696" s="2">
        <f>(G625/G612)*AE77</f>
        <v>0</v>
      </c>
      <c r="H696" s="2">
        <f>(H628/H612)*AE60</f>
        <v>135898.6045041866</v>
      </c>
      <c r="I696" s="2">
        <f>(I629/I612)*AE78</f>
        <v>74785.414962598457</v>
      </c>
      <c r="J696" s="2">
        <f>(J630/J612)*AE79</f>
        <v>14359.284935012498</v>
      </c>
      <c r="K696" s="2">
        <f>(K644/K612)*AE75</f>
        <v>441013.26206861896</v>
      </c>
      <c r="L696" s="2">
        <f>(L647/L612)*AE80</f>
        <v>0</v>
      </c>
      <c r="M696" s="2">
        <f t="shared" si="20"/>
        <v>1202980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">
      <c r="A698" s="336">
        <v>7230</v>
      </c>
      <c r="B698" s="330" t="s">
        <v>713</v>
      </c>
      <c r="C698" s="2">
        <f>AG71</f>
        <v>12287853.52</v>
      </c>
      <c r="D698" s="2">
        <f>(D615/D612)*AG76</f>
        <v>61545.994673484114</v>
      </c>
      <c r="E698" s="2">
        <f>(E623/E612)*SUM(C698:D698)</f>
        <v>1199740.6923734222</v>
      </c>
      <c r="F698" s="2">
        <f>(F624/F612)*AG64</f>
        <v>34872.212351724716</v>
      </c>
      <c r="G698" s="2">
        <f>(G625/G612)*AG77</f>
        <v>0</v>
      </c>
      <c r="H698" s="2">
        <f>(H628/H612)*AG60</f>
        <v>190729.71174448746</v>
      </c>
      <c r="I698" s="2">
        <f>(I629/I612)*AG78</f>
        <v>47147.027298758701</v>
      </c>
      <c r="J698" s="2">
        <f>(J630/J612)*AG79</f>
        <v>190586.81260651152</v>
      </c>
      <c r="K698" s="2">
        <f>(K644/K612)*AG75</f>
        <v>1988805.4778695456</v>
      </c>
      <c r="L698" s="2">
        <f>(L647/L612)*AG80</f>
        <v>385581.87289912632</v>
      </c>
      <c r="M698" s="2">
        <f t="shared" si="20"/>
        <v>4099010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">
      <c r="A699" s="336">
        <v>7240</v>
      </c>
      <c r="B699" s="330" t="s">
        <v>119</v>
      </c>
      <c r="C699" s="2">
        <f>AH71</f>
        <v>547.38</v>
      </c>
      <c r="D699" s="2">
        <f>(D615/D612)*AH76</f>
        <v>999.14850679895028</v>
      </c>
      <c r="E699" s="2">
        <f>(E623/E612)*SUM(C699:D699)</f>
        <v>150.24480982395886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765.39313688042762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1915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">
      <c r="A700" s="336">
        <v>7250</v>
      </c>
      <c r="B700" s="330" t="s">
        <v>716</v>
      </c>
      <c r="C700" s="2">
        <f>AI71</f>
        <v>2631239.8899999997</v>
      </c>
      <c r="D700" s="2">
        <f>(D615/D612)*AI76</f>
        <v>53075.152929742173</v>
      </c>
      <c r="E700" s="2">
        <f>(E623/E612)*SUM(C700:D700)</f>
        <v>260780.45206379172</v>
      </c>
      <c r="F700" s="2">
        <f>(F624/F612)*AI64</f>
        <v>13162.467945693434</v>
      </c>
      <c r="G700" s="2">
        <f>(G625/G612)*AI77</f>
        <v>0</v>
      </c>
      <c r="H700" s="2">
        <f>(H628/H612)*AI60</f>
        <v>70324.006717399039</v>
      </c>
      <c r="I700" s="2">
        <f>(I629/I612)*AI78</f>
        <v>40657.977782954404</v>
      </c>
      <c r="J700" s="2">
        <f>(J630/J612)*AI79</f>
        <v>40566.210964178514</v>
      </c>
      <c r="K700" s="2">
        <f>(K644/K612)*AI75</f>
        <v>172412.06865762413</v>
      </c>
      <c r="L700" s="2">
        <f>(L647/L612)*AI80</f>
        <v>152028.89054971607</v>
      </c>
      <c r="M700" s="2">
        <f t="shared" si="20"/>
        <v>803007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">
      <c r="A701" s="336">
        <v>7260</v>
      </c>
      <c r="B701" s="330" t="s">
        <v>121</v>
      </c>
      <c r="C701" s="2">
        <f>AJ71</f>
        <v>43375457.990000002</v>
      </c>
      <c r="D701" s="2">
        <f>(D615/D612)*AJ76</f>
        <v>466729.0729521304</v>
      </c>
      <c r="E701" s="2">
        <f>(E623/E612)*SUM(C701:D701)</f>
        <v>4259256.1524609476</v>
      </c>
      <c r="F701" s="2">
        <f>(F624/F612)*AJ64</f>
        <v>122968.34053894982</v>
      </c>
      <c r="G701" s="2">
        <f>(G625/G612)*AJ77</f>
        <v>0</v>
      </c>
      <c r="H701" s="2">
        <f>(H628/H612)*AJ60</f>
        <v>869796.92518888286</v>
      </c>
      <c r="I701" s="2">
        <f>(I629/I612)*AJ78</f>
        <v>234959.40972757197</v>
      </c>
      <c r="J701" s="2">
        <f>(J630/J612)*AJ79</f>
        <v>34761.170877430239</v>
      </c>
      <c r="K701" s="2">
        <f>(K644/K612)*AJ75</f>
        <v>3866984.2806162429</v>
      </c>
      <c r="L701" s="2">
        <f>(L647/L612)*AJ80</f>
        <v>403418.18622529082</v>
      </c>
      <c r="M701" s="2">
        <f t="shared" si="20"/>
        <v>10258874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">
      <c r="A702" s="336">
        <v>7310</v>
      </c>
      <c r="B702" s="330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51393.237202348944</v>
      </c>
      <c r="L702" s="2">
        <f>(L647/L612)*AK80</f>
        <v>0</v>
      </c>
      <c r="M702" s="2">
        <f t="shared" si="20"/>
        <v>51393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">
      <c r="A703" s="336">
        <v>7320</v>
      </c>
      <c r="B703" s="330" t="s">
        <v>721</v>
      </c>
      <c r="C703" s="2">
        <f>AL71</f>
        <v>23.53</v>
      </c>
      <c r="D703" s="2">
        <f>(D615/D612)*AL76</f>
        <v>0</v>
      </c>
      <c r="E703" s="2">
        <f>(E623/E612)*SUM(C703:D703)</f>
        <v>2.2859328875063136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37866.280653704802</v>
      </c>
      <c r="L703" s="2">
        <f>(L647/L612)*AL80</f>
        <v>0</v>
      </c>
      <c r="M703" s="2">
        <f t="shared" si="20"/>
        <v>37869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">
      <c r="A707" s="336">
        <v>7380</v>
      </c>
      <c r="B707" s="330" t="s">
        <v>729</v>
      </c>
      <c r="C707" s="2">
        <f>AP71</f>
        <v>350</v>
      </c>
      <c r="D707" s="2">
        <f>(D615/D612)*AP76</f>
        <v>0</v>
      </c>
      <c r="E707" s="2">
        <f>(E623/E612)*SUM(C707:D707)</f>
        <v>34.002401641615371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34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">
      <c r="A709" s="336">
        <v>7400</v>
      </c>
      <c r="B709" s="330" t="s">
        <v>733</v>
      </c>
      <c r="C709" s="2">
        <f>AR71</f>
        <v>7996671.5499999998</v>
      </c>
      <c r="D709" s="2">
        <f>(D615/D612)*AR76</f>
        <v>48356.559904844158</v>
      </c>
      <c r="E709" s="2">
        <f>(E623/E612)*SUM(C709:D709)</f>
        <v>781572.22003162943</v>
      </c>
      <c r="F709" s="2">
        <f>(F624/F612)*AR64</f>
        <v>10962.113178184318</v>
      </c>
      <c r="G709" s="2">
        <f>(G625/G612)*AR77</f>
        <v>0</v>
      </c>
      <c r="H709" s="2">
        <f>(H628/H612)*AR60</f>
        <v>223566.14245440479</v>
      </c>
      <c r="I709" s="2">
        <f>(I629/I612)*AR78</f>
        <v>22126.727256550552</v>
      </c>
      <c r="J709" s="2">
        <f>(J630/J612)*AR79</f>
        <v>0</v>
      </c>
      <c r="K709" s="2">
        <f>(K644/K612)*AR75</f>
        <v>556124.2024040668</v>
      </c>
      <c r="L709" s="2">
        <f>(L647/L612)*AR80</f>
        <v>226549.19439411009</v>
      </c>
      <c r="M709" s="2">
        <f t="shared" si="20"/>
        <v>1869257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">
      <c r="A713" s="336">
        <v>7490</v>
      </c>
      <c r="B713" s="330" t="s">
        <v>740</v>
      </c>
      <c r="C713" s="2">
        <f>AV71</f>
        <v>4858378.4700000007</v>
      </c>
      <c r="D713" s="2">
        <f>(D615/D612)*AV76</f>
        <v>24706.877237010151</v>
      </c>
      <c r="E713" s="2">
        <f>(E623/E612)*SUM(C713:D713)</f>
        <v>474390.36922011344</v>
      </c>
      <c r="F713" s="2">
        <f>(F624/F612)*AV64</f>
        <v>631.89312228089182</v>
      </c>
      <c r="G713" s="2">
        <f>(G625/G612)*AV77</f>
        <v>0</v>
      </c>
      <c r="H713" s="2">
        <f>(H628/H612)*AV60</f>
        <v>59056.443461327653</v>
      </c>
      <c r="I713" s="2">
        <f>(I629/I612)*AV78</f>
        <v>8746.8692417701823</v>
      </c>
      <c r="J713" s="2">
        <f>(J630/J612)*AV79</f>
        <v>3519.6661727690112</v>
      </c>
      <c r="K713" s="2">
        <f>(K644/K612)*AV75</f>
        <v>227616.16307836957</v>
      </c>
      <c r="L713" s="2">
        <f>(L647/L612)*AV80</f>
        <v>21758.434581132584</v>
      </c>
      <c r="M713" s="2">
        <f t="shared" si="20"/>
        <v>820427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">
      <c r="A715" s="2"/>
      <c r="B715" s="2"/>
      <c r="C715" s="2">
        <f>SUM(C614:C647)+SUM(C668:C713)</f>
        <v>219796588.56999999</v>
      </c>
      <c r="D715" s="2">
        <f>SUM(D616:D647)+SUM(D668:D713)</f>
        <v>4066256.6599999997</v>
      </c>
      <c r="E715" s="2">
        <f>SUM(E624:E647)+SUM(E668:E713)</f>
        <v>19462409.224692963</v>
      </c>
      <c r="F715" s="2">
        <f>SUM(F625:F648)+SUM(F668:F713)</f>
        <v>1902994.2786147189</v>
      </c>
      <c r="G715" s="2">
        <f>SUM(G626:G647)+SUM(G668:G713)</f>
        <v>3080593.1412701076</v>
      </c>
      <c r="H715" s="2">
        <f>SUM(H629:H647)+SUM(H668:H713)</f>
        <v>3958272.043676835</v>
      </c>
      <c r="I715" s="2">
        <f>SUM(I630:I647)+SUM(I668:I713)</f>
        <v>2833409.4474466546</v>
      </c>
      <c r="J715" s="2">
        <f>SUM(J631:J647)+SUM(J668:J713)</f>
        <v>804947.77946191048</v>
      </c>
      <c r="K715" s="2">
        <f>SUM(K668:K713)</f>
        <v>27443941.147313394</v>
      </c>
      <c r="L715" s="2">
        <f>SUM(L668:L713)</f>
        <v>2405661.0868865084</v>
      </c>
      <c r="M715" s="2">
        <f>SUM(M668:M713)</f>
        <v>57272322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">
      <c r="A716" s="2"/>
      <c r="B716" s="2"/>
      <c r="C716" s="2">
        <f>CE71</f>
        <v>219796588.57000002</v>
      </c>
      <c r="D716" s="2">
        <f>D615</f>
        <v>4066256.66</v>
      </c>
      <c r="E716" s="2">
        <f>E623</f>
        <v>19462409.224692963</v>
      </c>
      <c r="F716" s="2">
        <f>F624</f>
        <v>1902994.2786147192</v>
      </c>
      <c r="G716" s="2">
        <f>G625</f>
        <v>3080593.1412701076</v>
      </c>
      <c r="H716" s="2">
        <f>H628</f>
        <v>3958272.0436768341</v>
      </c>
      <c r="I716" s="2">
        <f>I629</f>
        <v>2833409.4474466546</v>
      </c>
      <c r="J716" s="2">
        <f>J630</f>
        <v>804947.77946191048</v>
      </c>
      <c r="K716" s="2">
        <f>K644</f>
        <v>27443941.147313397</v>
      </c>
      <c r="L716" s="2">
        <f>L647</f>
        <v>2405661.0868865079</v>
      </c>
      <c r="M716" s="2">
        <f>C648</f>
        <v>57272320.829999991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">
      <c r="O717" s="198"/>
    </row>
    <row r="718" spans="1:84" ht="12.65" customHeight="1" x14ac:dyDescent="0.3">
      <c r="O718" s="198"/>
    </row>
    <row r="719" spans="1:84" ht="12.65" customHeight="1" x14ac:dyDescent="0.3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">
      <c r="A721" s="284" t="str">
        <f>RIGHT(C84,3)&amp;"*"&amp;RIGHT(C83,4)&amp;"*"&amp;"A"</f>
        <v>ter*38*A</v>
      </c>
      <c r="B721" s="282">
        <f>ROUND(C166,0)</f>
        <v>81354</v>
      </c>
      <c r="C721" s="282">
        <f>ROUND(C167,0)</f>
        <v>1024086</v>
      </c>
      <c r="D721" s="282">
        <f>ROUND(C168,0)</f>
        <v>14966884</v>
      </c>
      <c r="E721" s="282">
        <f>ROUND(C169,0)</f>
        <v>87942</v>
      </c>
      <c r="F721" s="282">
        <f>ROUND(C170,0)</f>
        <v>4697895</v>
      </c>
      <c r="G721" s="282">
        <f>ROUND(C171,0)</f>
        <v>89614</v>
      </c>
      <c r="H721" s="282">
        <f>ROUND(C172+C173,0)</f>
        <v>574797</v>
      </c>
      <c r="I721" s="282">
        <f>ROUND(C176,0)</f>
        <v>37676</v>
      </c>
      <c r="J721" s="282">
        <f>ROUND(C177,0)</f>
        <v>0</v>
      </c>
      <c r="K721" s="282">
        <f>ROUND(C180,0)</f>
        <v>30190</v>
      </c>
      <c r="L721" s="282">
        <f>ROUND(C181,0)</f>
        <v>0</v>
      </c>
      <c r="M721" s="282">
        <f>ROUND(C184,0)</f>
        <v>1490599</v>
      </c>
      <c r="N721" s="282">
        <f>ROUND(C185,0)</f>
        <v>0</v>
      </c>
      <c r="O721" s="282">
        <f>ROUND(C186,0)</f>
        <v>0</v>
      </c>
      <c r="P721" s="282">
        <f>ROUND(C189,0)</f>
        <v>1972773</v>
      </c>
      <c r="Q721" s="282">
        <f>ROUND(C190,0)</f>
        <v>0</v>
      </c>
      <c r="R721" s="282">
        <f>ROUND(B196,0)</f>
        <v>9220213</v>
      </c>
      <c r="S721" s="282">
        <f>ROUND(C196,0)</f>
        <v>90287</v>
      </c>
      <c r="T721" s="282">
        <f>ROUND(D196,0)</f>
        <v>0</v>
      </c>
      <c r="U721" s="282">
        <f>ROUND(B197,0)</f>
        <v>109394217</v>
      </c>
      <c r="V721" s="282">
        <f>ROUND(C197,0)</f>
        <v>14833502</v>
      </c>
      <c r="W721" s="282">
        <f>ROUND(D197,0)</f>
        <v>40844</v>
      </c>
      <c r="X721" s="282">
        <f>ROUND(B198,0)</f>
        <v>0</v>
      </c>
      <c r="Y721" s="282">
        <f>ROUND(C198,0)</f>
        <v>0</v>
      </c>
      <c r="Z721" s="282">
        <f>ROUND(D198,0)</f>
        <v>0</v>
      </c>
      <c r="AA721" s="282">
        <f>ROUND(B199,0)</f>
        <v>34357150</v>
      </c>
      <c r="AB721" s="282">
        <f>ROUND(C199,0)</f>
        <v>1067242</v>
      </c>
      <c r="AC721" s="282">
        <f>ROUND(D199,0)</f>
        <v>424188</v>
      </c>
      <c r="AD721" s="282">
        <f>ROUND(B200,0)</f>
        <v>68353016</v>
      </c>
      <c r="AE721" s="282">
        <f>ROUND(C200,0)</f>
        <v>5518923</v>
      </c>
      <c r="AF721" s="282">
        <f>ROUND(D200,0)</f>
        <v>6532239</v>
      </c>
      <c r="AG721" s="282">
        <f>ROUND(B201,0)</f>
        <v>2510952</v>
      </c>
      <c r="AH721" s="282">
        <f>ROUND(C201,0)</f>
        <v>667496</v>
      </c>
      <c r="AI721" s="282">
        <f>ROUND(D201,0)</f>
        <v>139192</v>
      </c>
      <c r="AJ721" s="282">
        <f>ROUND(B202,0)</f>
        <v>362736</v>
      </c>
      <c r="AK721" s="282">
        <f>ROUND(C202,0)</f>
        <v>0</v>
      </c>
      <c r="AL721" s="282">
        <f>ROUND(D202,0)</f>
        <v>0</v>
      </c>
      <c r="AM721" s="282">
        <f>ROUND(B203,0)</f>
        <v>14459546</v>
      </c>
      <c r="AN721" s="282">
        <f>ROUND(C203,0)</f>
        <v>-12380920</v>
      </c>
      <c r="AO721" s="282">
        <f>ROUND(D203,0)</f>
        <v>0</v>
      </c>
      <c r="AP721" s="282">
        <f>ROUND(B204,0)</f>
        <v>248567960</v>
      </c>
      <c r="AQ721" s="282">
        <f>ROUND(C204,0)</f>
        <v>10703382</v>
      </c>
      <c r="AR721" s="282">
        <f>ROUND(D204,0)</f>
        <v>7136463</v>
      </c>
      <c r="AS721" s="282"/>
      <c r="AT721" s="282"/>
      <c r="AU721" s="282"/>
      <c r="AV721" s="282">
        <f>ROUND(B210,0)</f>
        <v>54844549</v>
      </c>
      <c r="AW721" s="282">
        <f>ROUND(C210,0)</f>
        <v>3716301</v>
      </c>
      <c r="AX721" s="282">
        <f>ROUND(D210,0)</f>
        <v>0</v>
      </c>
      <c r="AY721" s="282">
        <f>ROUND(B211,0)</f>
        <v>0</v>
      </c>
      <c r="AZ721" s="282">
        <f>ROUND(C211,0)</f>
        <v>0</v>
      </c>
      <c r="BA721" s="282">
        <f>ROUND(D211,0)</f>
        <v>0</v>
      </c>
      <c r="BB721" s="282">
        <f>ROUND(B212,0)</f>
        <v>20607167</v>
      </c>
      <c r="BC721" s="282">
        <f>ROUND(C212,0)</f>
        <v>868561</v>
      </c>
      <c r="BD721" s="282">
        <f>ROUND(D212,0)</f>
        <v>0</v>
      </c>
      <c r="BE721" s="282">
        <f>ROUND(B213,0)</f>
        <v>46120327</v>
      </c>
      <c r="BF721" s="282">
        <f>ROUND(C213,0)</f>
        <v>5553515</v>
      </c>
      <c r="BG721" s="282">
        <f>ROUND(D213,0)</f>
        <v>6843198</v>
      </c>
      <c r="BH721" s="282">
        <f>ROUND(B214,0)</f>
        <v>2217597</v>
      </c>
      <c r="BI721" s="282">
        <f>ROUND(C214,0)</f>
        <v>154120</v>
      </c>
      <c r="BJ721" s="282">
        <f>ROUND(D214,0)</f>
        <v>115785</v>
      </c>
      <c r="BK721" s="282">
        <f>ROUND(B215,0)</f>
        <v>132831</v>
      </c>
      <c r="BL721" s="282">
        <f>ROUND(C215,0)</f>
        <v>43634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127736885</v>
      </c>
      <c r="BR721" s="282">
        <f>ROUND(C217,0)</f>
        <v>10827550</v>
      </c>
      <c r="BS721" s="282">
        <f>ROUND(D217,0)</f>
        <v>6958983</v>
      </c>
      <c r="BT721" s="282">
        <f>ROUND(C222,0)</f>
        <v>0</v>
      </c>
      <c r="BU721" s="282">
        <f>ROUND(C223,0)</f>
        <v>158121811</v>
      </c>
      <c r="BV721" s="282">
        <f>ROUND(C224,0)</f>
        <v>41090812</v>
      </c>
      <c r="BW721" s="282">
        <f>ROUND(C225,0)</f>
        <v>1876291</v>
      </c>
      <c r="BX721" s="282">
        <f>ROUND(C226,0)</f>
        <v>15147609</v>
      </c>
      <c r="BY721" s="282">
        <f>ROUND(C227,0)</f>
        <v>9634041</v>
      </c>
      <c r="BZ721" s="282">
        <f>ROUND(C230,0)</f>
        <v>0</v>
      </c>
      <c r="CA721" s="282">
        <f>ROUND(C232,0)</f>
        <v>0</v>
      </c>
      <c r="CB721" s="282">
        <f>ROUND(C233,0)</f>
        <v>431751</v>
      </c>
      <c r="CC721" s="282">
        <f>ROUND(C237+C238,0)</f>
        <v>803553</v>
      </c>
    </row>
    <row r="723" spans="1:84" ht="12.65" customHeight="1" x14ac:dyDescent="0.3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">
      <c r="A725" s="284" t="str">
        <f>RIGHT(C84,3)&amp;"*"&amp;RIGHT(C83,4)&amp;"*"&amp;"A"</f>
        <v>ter*38*A</v>
      </c>
      <c r="B725" s="282">
        <f>ROUND(C112,0)</f>
        <v>0</v>
      </c>
      <c r="C725" s="282">
        <f>ROUND(C113,0)</f>
        <v>0</v>
      </c>
      <c r="D725" s="282">
        <f>ROUND(C114,0)</f>
        <v>427</v>
      </c>
      <c r="E725" s="282">
        <f>ROUND(C115,0)</f>
        <v>0</v>
      </c>
      <c r="F725" s="282">
        <f>ROUND(D112,0)</f>
        <v>0</v>
      </c>
      <c r="G725" s="282">
        <f>ROUND(D113,0)</f>
        <v>0</v>
      </c>
      <c r="H725" s="282">
        <f>ROUND(D114,0)</f>
        <v>791</v>
      </c>
      <c r="I725" s="282">
        <f>ROUND(D115,0)</f>
        <v>0</v>
      </c>
      <c r="J725" s="282">
        <f>ROUND(C117,0)</f>
        <v>9</v>
      </c>
      <c r="K725" s="282">
        <f>ROUND(C118,0)</f>
        <v>39</v>
      </c>
      <c r="L725" s="282">
        <f>ROUND(C119,0)</f>
        <v>0</v>
      </c>
      <c r="M725" s="282">
        <f>ROUND(C120,0)</f>
        <v>9</v>
      </c>
      <c r="N725" s="282">
        <f>ROUND(C121,0)</f>
        <v>0</v>
      </c>
      <c r="O725" s="282">
        <f>ROUND(C122,0)</f>
        <v>0</v>
      </c>
      <c r="P725" s="282">
        <f>ROUND(C123,0)</f>
        <v>0</v>
      </c>
      <c r="Q725" s="282">
        <f>ROUND(C124,0)</f>
        <v>0</v>
      </c>
      <c r="R725" s="282">
        <f>ROUND(C125,0)</f>
        <v>0</v>
      </c>
      <c r="S725" s="282">
        <f>ROUND(C126,0)</f>
        <v>15</v>
      </c>
      <c r="T725" s="282"/>
      <c r="U725" s="282">
        <f>ROUND(C127,0)</f>
        <v>0</v>
      </c>
      <c r="V725" s="282">
        <f>ROUND(C129,0)</f>
        <v>11</v>
      </c>
      <c r="W725" s="282">
        <f>ROUND(C130,0)</f>
        <v>0</v>
      </c>
      <c r="X725" s="282">
        <f>ROUND(B139,0)</f>
        <v>8535</v>
      </c>
      <c r="Y725" s="282">
        <f>ROUND(B140,0)</f>
        <v>275314</v>
      </c>
      <c r="Z725" s="282">
        <f>ROUND(B141,0)</f>
        <v>61368104</v>
      </c>
      <c r="AA725" s="282">
        <f>ROUND(B142,0)</f>
        <v>196648639</v>
      </c>
      <c r="AB725" s="282">
        <f>ROUND(B143,0)</f>
        <v>0</v>
      </c>
      <c r="AC725" s="282">
        <f>ROUND(C139,0)</f>
        <v>2404</v>
      </c>
      <c r="AD725" s="282">
        <f>ROUND(C140,0)</f>
        <v>67728</v>
      </c>
      <c r="AE725" s="282">
        <f>ROUND(C141,0)</f>
        <v>18122123</v>
      </c>
      <c r="AF725" s="282">
        <f>ROUND(C142,0)</f>
        <v>48375901</v>
      </c>
      <c r="AG725" s="282">
        <f>ROUND(C143,0)</f>
        <v>0</v>
      </c>
      <c r="AH725" s="282">
        <f>ROUND(D139,0)</f>
        <v>2193</v>
      </c>
      <c r="AI725" s="282">
        <f>ROUND(D140,0)</f>
        <v>132409</v>
      </c>
      <c r="AJ725" s="282">
        <f>ROUND(D141,0)</f>
        <v>17586301</v>
      </c>
      <c r="AK725" s="282">
        <f>ROUND(D142,0)</f>
        <v>94576408</v>
      </c>
      <c r="AL725" s="282">
        <f>ROUND(D143,0)</f>
        <v>0</v>
      </c>
      <c r="AM725" s="282">
        <f>ROUND(B145,0)</f>
        <v>0</v>
      </c>
      <c r="AN725" s="282">
        <f>ROUND(B146,0)</f>
        <v>0</v>
      </c>
      <c r="AO725" s="282">
        <f>ROUND(B147,0)</f>
        <v>0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0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">
      <c r="A729" s="284" t="str">
        <f>RIGHT(C84,3)&amp;"*"&amp;RIGHT(C83,4)&amp;"*"&amp;"A"</f>
        <v>ter*38*A</v>
      </c>
      <c r="B729" s="282">
        <f>ROUND(C249,0)</f>
        <v>0</v>
      </c>
      <c r="C729" s="282">
        <f>ROUND(C250,0)</f>
        <v>17312467</v>
      </c>
      <c r="D729" s="282">
        <f>ROUND(C251,0)</f>
        <v>49985279</v>
      </c>
      <c r="E729" s="282">
        <f>ROUND(C252,0)</f>
        <v>40816537</v>
      </c>
      <c r="F729" s="282">
        <f>ROUND(C253,0)</f>
        <v>21749994</v>
      </c>
      <c r="G729" s="282">
        <f>ROUND(C254,0)</f>
        <v>0</v>
      </c>
      <c r="H729" s="282">
        <f>ROUND(C255,0)</f>
        <v>1228787</v>
      </c>
      <c r="I729" s="282">
        <f>ROUND(C256,0)</f>
        <v>0</v>
      </c>
      <c r="J729" s="282">
        <f>ROUND(C257,0)</f>
        <v>3077339</v>
      </c>
      <c r="K729" s="282">
        <f>ROUND(C258,0)</f>
        <v>2983047</v>
      </c>
      <c r="L729" s="282">
        <f>ROUND(C261,0)</f>
        <v>0</v>
      </c>
      <c r="M729" s="282">
        <f>ROUND(C262,0)</f>
        <v>8118419</v>
      </c>
      <c r="N729" s="282">
        <f>ROUND(C263,0)</f>
        <v>35562919</v>
      </c>
      <c r="O729" s="282">
        <f>ROUND(C266,0)</f>
        <v>0</v>
      </c>
      <c r="P729" s="282">
        <f>ROUND(C267,0)</f>
        <v>10816982</v>
      </c>
      <c r="Q729" s="282">
        <f>ROUND(C268,0)</f>
        <v>9310500</v>
      </c>
      <c r="R729" s="282">
        <f>ROUND(C269,0)</f>
        <v>124186875</v>
      </c>
      <c r="S729" s="282">
        <f>ROUND(C270,0)</f>
        <v>0</v>
      </c>
      <c r="T729" s="282">
        <f>ROUND(C271,0)</f>
        <v>35000204</v>
      </c>
      <c r="U729" s="282">
        <f>ROUND(C272,0)</f>
        <v>70378957</v>
      </c>
      <c r="V729" s="282">
        <f>ROUND(C273,0)</f>
        <v>362736</v>
      </c>
      <c r="W729" s="282">
        <f>ROUND(C274,0)</f>
        <v>2078626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0</v>
      </c>
      <c r="AC729" s="282">
        <f>ROUND(C285,0)</f>
        <v>0</v>
      </c>
      <c r="AD729" s="282">
        <f>ROUND(C286,0)</f>
        <v>2235448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6871132</v>
      </c>
      <c r="AJ729" s="282">
        <f>ROUND(C306,0)</f>
        <v>10627014</v>
      </c>
      <c r="AK729" s="282">
        <f>ROUND(C307,0)</f>
        <v>16238</v>
      </c>
      <c r="AL729" s="282">
        <f>ROUND(C308,0)</f>
        <v>0</v>
      </c>
      <c r="AM729" s="282">
        <f>ROUND(C309,0)</f>
        <v>1004867</v>
      </c>
      <c r="AN729" s="282">
        <f>ROUND(C310,0)</f>
        <v>0</v>
      </c>
      <c r="AO729" s="282">
        <f>ROUND(C311,0)</f>
        <v>0</v>
      </c>
      <c r="AP729" s="282">
        <f>ROUND(C312,0)</f>
        <v>42438098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0</v>
      </c>
      <c r="AY729" s="282">
        <f>ROUND(C325,0)</f>
        <v>52973927</v>
      </c>
      <c r="AZ729" s="282">
        <f>ROUND(C326,0)</f>
        <v>0</v>
      </c>
      <c r="BA729" s="282">
        <f>ROUND(C327,0)</f>
        <v>1064513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1365.79</v>
      </c>
      <c r="BJ729" s="282">
        <f>ROUND(C358,0)</f>
        <v>0</v>
      </c>
      <c r="BK729" s="282">
        <f>ROUND(C359,0)</f>
        <v>97076529</v>
      </c>
      <c r="BL729" s="282">
        <f>ROUND(C362,0)</f>
        <v>0</v>
      </c>
      <c r="BM729" s="282">
        <f>ROUND(C363,0)</f>
        <v>2704456</v>
      </c>
      <c r="BN729" s="282">
        <f>ROUND(C364,0)</f>
        <v>226677768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106482780</v>
      </c>
      <c r="BT729" s="282">
        <f>ROUND(C379,0)</f>
        <v>28910246</v>
      </c>
      <c r="BU729" s="282">
        <f>ROUND(C380,0)</f>
        <v>11048503</v>
      </c>
      <c r="BV729" s="282">
        <f>ROUND(C381,0)</f>
        <v>35105034</v>
      </c>
      <c r="BW729" s="282">
        <f>ROUND(C382,0)</f>
        <v>0</v>
      </c>
      <c r="BX729" s="282">
        <f>ROUND(C383,0)</f>
        <v>10092922</v>
      </c>
      <c r="BY729" s="282">
        <f>ROUND(C384,0)</f>
        <v>10999082</v>
      </c>
      <c r="BZ729" s="282">
        <f>ROUND(C385,0)</f>
        <v>376109</v>
      </c>
      <c r="CA729" s="282">
        <f>ROUND(C386,0)</f>
        <v>1270497</v>
      </c>
      <c r="CB729" s="282">
        <f>ROUND(C387,0)</f>
        <v>1490599</v>
      </c>
      <c r="CC729" s="282">
        <f>ROUND(C388,0)</f>
        <v>0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">
      <c r="A733" s="209" t="str">
        <f>RIGHT($C$84,3)&amp;"*"&amp;RIGHT($C$83,4)&amp;"*"&amp;C$55&amp;"*"&amp;"A"</f>
        <v>ter*38*6010*A</v>
      </c>
      <c r="B733" s="282">
        <f>ROUND(C59,0)</f>
        <v>3934</v>
      </c>
      <c r="C733" s="285">
        <f>ROUND(C60,2)</f>
        <v>52.36</v>
      </c>
      <c r="D733" s="282">
        <f>ROUND(C61,0)</f>
        <v>4336743</v>
      </c>
      <c r="E733" s="282">
        <f>ROUND(C62,0)</f>
        <v>1177433</v>
      </c>
      <c r="F733" s="282">
        <f>ROUND(C63,0)</f>
        <v>0</v>
      </c>
      <c r="G733" s="282">
        <f>ROUND(C64,0)</f>
        <v>391126</v>
      </c>
      <c r="H733" s="282">
        <f>ROUND(C65,0)</f>
        <v>0</v>
      </c>
      <c r="I733" s="282">
        <f>ROUND(C66,0)</f>
        <v>133720</v>
      </c>
      <c r="J733" s="282">
        <f>ROUND(C67,0)</f>
        <v>65171</v>
      </c>
      <c r="K733" s="282">
        <f>ROUND(C68,0)</f>
        <v>1129</v>
      </c>
      <c r="L733" s="282">
        <f>ROUND(C70,0)</f>
        <v>0</v>
      </c>
      <c r="M733" s="282">
        <f>ROUND(C71,0)</f>
        <v>6123885</v>
      </c>
      <c r="N733" s="282">
        <f>ROUND(C76,0)</f>
        <v>6301</v>
      </c>
      <c r="O733" s="282">
        <f>ROUND(C74,0)</f>
        <v>446336</v>
      </c>
      <c r="P733" s="282">
        <f>IF(C77&gt;0,ROUND(C77,0),0)</f>
        <v>9510</v>
      </c>
      <c r="Q733" s="282">
        <f>IF(C78&gt;0,ROUND(C78,0),0)</f>
        <v>1545</v>
      </c>
      <c r="R733" s="282">
        <f>IF(C79&gt;0,ROUND(C79,0),0)</f>
        <v>134918</v>
      </c>
      <c r="S733" s="282">
        <f>IF(C80&gt;0,ROUND(C80,0),0)</f>
        <v>37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">
      <c r="A734" s="209" t="str">
        <f>RIGHT($C$84,3)&amp;"*"&amp;RIGHT($C$83,4)&amp;"*"&amp;D$55&amp;"*"&amp;"A"</f>
        <v>ter*38*6030*A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>
        <f t="shared" ref="Z734:Z778" si="21">IF(M668&lt;&gt;0,ROUND(M668,0),0)</f>
        <v>3115782</v>
      </c>
    </row>
    <row r="735" spans="1:84" ht="12.65" customHeight="1" x14ac:dyDescent="0.3">
      <c r="A735" s="209" t="str">
        <f>RIGHT($C$84,3)&amp;"*"&amp;RIGHT($C$83,4)&amp;"*"&amp;E$55&amp;"*"&amp;"A"</f>
        <v>ter*38*6070*A</v>
      </c>
      <c r="B735" s="282">
        <f>ROUND(E59,0)</f>
        <v>9198</v>
      </c>
      <c r="C735" s="285">
        <f>ROUND(E60,2)</f>
        <v>81.209999999999994</v>
      </c>
      <c r="D735" s="282">
        <f>ROUND(E61,0)</f>
        <v>6400246</v>
      </c>
      <c r="E735" s="282">
        <f>ROUND(E62,0)</f>
        <v>1737677</v>
      </c>
      <c r="F735" s="282">
        <f>ROUND(E63,0)</f>
        <v>61360</v>
      </c>
      <c r="G735" s="282">
        <f>ROUND(E64,0)</f>
        <v>461970</v>
      </c>
      <c r="H735" s="282">
        <f>ROUND(E65,0)</f>
        <v>0</v>
      </c>
      <c r="I735" s="282">
        <f>ROUND(E66,0)</f>
        <v>372554</v>
      </c>
      <c r="J735" s="282">
        <f>ROUND(E67,0)</f>
        <v>57241</v>
      </c>
      <c r="K735" s="282">
        <f>ROUND(E68,0)</f>
        <v>14314</v>
      </c>
      <c r="L735" s="282">
        <f>ROUND(E70,0)</f>
        <v>0</v>
      </c>
      <c r="M735" s="282">
        <f>ROUND(E71,0)</f>
        <v>9132419</v>
      </c>
      <c r="N735" s="282">
        <f>ROUND(E76,0)</f>
        <v>12414</v>
      </c>
      <c r="O735" s="282">
        <f>ROUND(E74,0)</f>
        <v>3086940</v>
      </c>
      <c r="P735" s="282">
        <f>IF(E77&gt;0,ROUND(E77,0),0)</f>
        <v>36597</v>
      </c>
      <c r="Q735" s="282">
        <f>IF(E78&gt;0,ROUND(E78,0),0)</f>
        <v>3044</v>
      </c>
      <c r="R735" s="282">
        <f>IF(E79&gt;0,ROUND(E79,0),0)</f>
        <v>234702</v>
      </c>
      <c r="S735" s="282">
        <f>IF(E80&gt;0,ROUND(E80,0),0)</f>
        <v>61</v>
      </c>
      <c r="T735" s="285">
        <f>IF(E81&gt;0,ROUND(E81,2),0)</f>
        <v>0</v>
      </c>
      <c r="U735" s="282"/>
      <c r="X735" s="282"/>
      <c r="Y735" s="282"/>
      <c r="Z735" s="282">
        <f t="shared" si="21"/>
        <v>0</v>
      </c>
    </row>
    <row r="736" spans="1:84" ht="12.65" customHeight="1" x14ac:dyDescent="0.3">
      <c r="A736" s="209" t="str">
        <f>RIGHT($C$84,3)&amp;"*"&amp;RIGHT($C$83,4)&amp;"*"&amp;F$55&amp;"*"&amp;"A"</f>
        <v>ter*38*6100*A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>
        <f t="shared" si="21"/>
        <v>5939531</v>
      </c>
    </row>
    <row r="737" spans="1:26" ht="12.65" customHeight="1" x14ac:dyDescent="0.3">
      <c r="A737" s="209" t="str">
        <f>RIGHT($C$84,3)&amp;"*"&amp;RIGHT($C$83,4)&amp;"*"&amp;G$55&amp;"*"&amp;"A"</f>
        <v>ter*38*6120*A</v>
      </c>
      <c r="B737" s="282">
        <f>ROUND(G59,0)</f>
        <v>0</v>
      </c>
      <c r="C737" s="285">
        <f>ROUND(G60,2)</f>
        <v>0</v>
      </c>
      <c r="D737" s="282">
        <f>ROUND(G61,0)</f>
        <v>0</v>
      </c>
      <c r="E737" s="282">
        <f>ROUND(G62,0)</f>
        <v>0</v>
      </c>
      <c r="F737" s="282">
        <f>ROUND(G63,0)</f>
        <v>0</v>
      </c>
      <c r="G737" s="282">
        <f>ROUND(G64,0)</f>
        <v>0</v>
      </c>
      <c r="H737" s="282">
        <f>ROUND(G65,0)</f>
        <v>0</v>
      </c>
      <c r="I737" s="282">
        <f>ROUND(G66,0)</f>
        <v>0</v>
      </c>
      <c r="J737" s="282">
        <f>ROUND(G67,0)</f>
        <v>0</v>
      </c>
      <c r="K737" s="282">
        <f>ROUND(G68,0)</f>
        <v>0</v>
      </c>
      <c r="L737" s="282">
        <f>ROUND(G70,0)</f>
        <v>0</v>
      </c>
      <c r="M737" s="282">
        <f>ROUND(G71,0)</f>
        <v>0</v>
      </c>
      <c r="N737" s="282">
        <f>ROUND(G76,0)</f>
        <v>0</v>
      </c>
      <c r="O737" s="282">
        <f>ROUND(G74,0)</f>
        <v>0</v>
      </c>
      <c r="P737" s="282">
        <f>IF(G77&gt;0,ROUND(G77,0),0)</f>
        <v>0</v>
      </c>
      <c r="Q737" s="282">
        <f>IF(G78&gt;0,ROUND(G78,0),0)</f>
        <v>0</v>
      </c>
      <c r="R737" s="282">
        <f>IF(G79&gt;0,ROUND(G79,0),0)</f>
        <v>0</v>
      </c>
      <c r="S737" s="282">
        <f>IF(G80&gt;0,ROUND(G80,0),0)</f>
        <v>0</v>
      </c>
      <c r="T737" s="285">
        <f>IF(G81&gt;0,ROUND(G81,2),0)</f>
        <v>0</v>
      </c>
      <c r="U737" s="282"/>
      <c r="X737" s="282"/>
      <c r="Y737" s="282"/>
      <c r="Z737" s="282">
        <f t="shared" si="21"/>
        <v>0</v>
      </c>
    </row>
    <row r="738" spans="1:26" ht="12.65" customHeight="1" x14ac:dyDescent="0.3">
      <c r="A738" s="209" t="str">
        <f>RIGHT($C$84,3)&amp;"*"&amp;RIGHT($C$83,4)&amp;"*"&amp;H$55&amp;"*"&amp;"A"</f>
        <v>ter*38*6140*A</v>
      </c>
      <c r="B738" s="282">
        <f>ROUND(H59,0)</f>
        <v>0</v>
      </c>
      <c r="C738" s="285">
        <f>ROUND(H60,2)</f>
        <v>0</v>
      </c>
      <c r="D738" s="282">
        <f>ROUND(H61,0)</f>
        <v>0</v>
      </c>
      <c r="E738" s="282">
        <f>ROUND(H62,0)</f>
        <v>0</v>
      </c>
      <c r="F738" s="282">
        <f>ROUND(H63,0)</f>
        <v>0</v>
      </c>
      <c r="G738" s="282">
        <f>ROUND(H64,0)</f>
        <v>0</v>
      </c>
      <c r="H738" s="282">
        <f>ROUND(H65,0)</f>
        <v>0</v>
      </c>
      <c r="I738" s="282">
        <f>ROUND(H66,0)</f>
        <v>0</v>
      </c>
      <c r="J738" s="282">
        <f>ROUND(H67,0)</f>
        <v>0</v>
      </c>
      <c r="K738" s="282">
        <f>ROUND(H68,0)</f>
        <v>0</v>
      </c>
      <c r="L738" s="282">
        <f>ROUND(H70,0)</f>
        <v>0</v>
      </c>
      <c r="M738" s="282">
        <f>ROUND(H71,0)</f>
        <v>0</v>
      </c>
      <c r="N738" s="282">
        <f>ROUND(H76,0)</f>
        <v>0</v>
      </c>
      <c r="O738" s="282">
        <f>ROUND(H74,0)</f>
        <v>0</v>
      </c>
      <c r="P738" s="282">
        <f>IF(H77&gt;0,ROUND(H77,0),0)</f>
        <v>0</v>
      </c>
      <c r="Q738" s="282">
        <f>IF(H78&gt;0,ROUND(H78,0),0)</f>
        <v>0</v>
      </c>
      <c r="R738" s="282">
        <f>IF(H79&gt;0,ROUND(H79,0),0)</f>
        <v>0</v>
      </c>
      <c r="S738" s="282">
        <f>IF(H80&gt;0,ROUND(H80,0),0)</f>
        <v>0</v>
      </c>
      <c r="T738" s="285">
        <f>IF(H81&gt;0,ROUND(H81,2),0)</f>
        <v>0</v>
      </c>
      <c r="U738" s="282"/>
      <c r="X738" s="282"/>
      <c r="Y738" s="282"/>
      <c r="Z738" s="282">
        <f t="shared" si="21"/>
        <v>0</v>
      </c>
    </row>
    <row r="739" spans="1:26" ht="12.65" customHeight="1" x14ac:dyDescent="0.3">
      <c r="A739" s="209" t="str">
        <f>RIGHT($C$84,3)&amp;"*"&amp;RIGHT($C$83,4)&amp;"*"&amp;I$55&amp;"*"&amp;"A"</f>
        <v>ter*38*6150*A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>
        <f t="shared" si="21"/>
        <v>0</v>
      </c>
    </row>
    <row r="740" spans="1:26" ht="12.65" customHeight="1" x14ac:dyDescent="0.3">
      <c r="A740" s="209" t="str">
        <f>RIGHT($C$84,3)&amp;"*"&amp;RIGHT($C$83,4)&amp;"*"&amp;J$55&amp;"*"&amp;"A"</f>
        <v>ter*38*6170*A</v>
      </c>
      <c r="B740" s="282">
        <f>ROUND(J59,0)</f>
        <v>791</v>
      </c>
      <c r="C740" s="285">
        <f>ROUND(J60,2)</f>
        <v>5.46</v>
      </c>
      <c r="D740" s="282">
        <f>ROUND(J61,0)</f>
        <v>540998</v>
      </c>
      <c r="E740" s="282">
        <f>ROUND(J62,0)</f>
        <v>146882</v>
      </c>
      <c r="F740" s="282">
        <f>ROUND(J63,0)</f>
        <v>0</v>
      </c>
      <c r="G740" s="282">
        <f>ROUND(J64,0)</f>
        <v>39467</v>
      </c>
      <c r="H740" s="282">
        <f>ROUND(J65,0)</f>
        <v>0</v>
      </c>
      <c r="I740" s="282">
        <f>ROUND(J66,0)</f>
        <v>42143</v>
      </c>
      <c r="J740" s="282">
        <f>ROUND(J67,0)</f>
        <v>10307</v>
      </c>
      <c r="K740" s="282">
        <f>ROUND(J68,0)</f>
        <v>0</v>
      </c>
      <c r="L740" s="282">
        <f>ROUND(J70,0)</f>
        <v>0</v>
      </c>
      <c r="M740" s="282">
        <f>ROUND(J71,0)</f>
        <v>788566</v>
      </c>
      <c r="N740" s="282">
        <f>ROUND(J76,0)</f>
        <v>253</v>
      </c>
      <c r="O740" s="282">
        <f>ROUND(J74,0)</f>
        <v>236150</v>
      </c>
      <c r="P740" s="282">
        <f>IF(J77&gt;0,ROUND(J77,0),0)</f>
        <v>0</v>
      </c>
      <c r="Q740" s="282">
        <f>IF(J78&gt;0,ROUND(J78,0),0)</f>
        <v>62</v>
      </c>
      <c r="R740" s="282">
        <f>IF(J79&gt;0,ROUND(J79,0),0)</f>
        <v>13123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>
        <f t="shared" si="21"/>
        <v>0</v>
      </c>
    </row>
    <row r="741" spans="1:26" ht="12.65" customHeight="1" x14ac:dyDescent="0.3">
      <c r="A741" s="209" t="str">
        <f>RIGHT($C$84,3)&amp;"*"&amp;RIGHT($C$83,4)&amp;"*"&amp;K$55&amp;"*"&amp;"A"</f>
        <v>ter*38*6200*A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>
        <f t="shared" si="21"/>
        <v>233910</v>
      </c>
    </row>
    <row r="742" spans="1:26" ht="12.65" customHeight="1" x14ac:dyDescent="0.3">
      <c r="A742" s="209" t="str">
        <f>RIGHT($C$84,3)&amp;"*"&amp;RIGHT($C$83,4)&amp;"*"&amp;L$55&amp;"*"&amp;"A"</f>
        <v>ter*38*6210*A</v>
      </c>
      <c r="B742" s="282">
        <f>ROUND(L59,0)</f>
        <v>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>
        <f t="shared" si="21"/>
        <v>0</v>
      </c>
    </row>
    <row r="743" spans="1:26" ht="12.65" customHeight="1" x14ac:dyDescent="0.3">
      <c r="A743" s="209" t="str">
        <f>RIGHT($C$84,3)&amp;"*"&amp;RIGHT($C$83,4)&amp;"*"&amp;M$55&amp;"*"&amp;"A"</f>
        <v>ter*38*6330*A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>
        <f t="shared" si="21"/>
        <v>0</v>
      </c>
    </row>
    <row r="744" spans="1:26" ht="12.65" customHeight="1" x14ac:dyDescent="0.3">
      <c r="A744" s="209" t="str">
        <f>RIGHT($C$84,3)&amp;"*"&amp;RIGHT($C$83,4)&amp;"*"&amp;N$55&amp;"*"&amp;"A"</f>
        <v>ter*38*6400*A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>
        <f t="shared" si="21"/>
        <v>0</v>
      </c>
    </row>
    <row r="745" spans="1:26" ht="12.65" customHeight="1" x14ac:dyDescent="0.3">
      <c r="A745" s="209" t="str">
        <f>RIGHT($C$84,3)&amp;"*"&amp;RIGHT($C$83,4)&amp;"*"&amp;O$55&amp;"*"&amp;"A"</f>
        <v>ter*38*7010*A</v>
      </c>
      <c r="B745" s="282">
        <f>ROUND(O59,0)</f>
        <v>341</v>
      </c>
      <c r="C745" s="285">
        <f>ROUND(O60,2)</f>
        <v>3.31</v>
      </c>
      <c r="D745" s="282">
        <f>ROUND(O61,0)</f>
        <v>328463</v>
      </c>
      <c r="E745" s="282">
        <f>ROUND(O62,0)</f>
        <v>89178</v>
      </c>
      <c r="F745" s="282">
        <f>ROUND(O63,0)</f>
        <v>0</v>
      </c>
      <c r="G745" s="282">
        <f>ROUND(O64,0)</f>
        <v>23962</v>
      </c>
      <c r="H745" s="282">
        <f>ROUND(O65,0)</f>
        <v>0</v>
      </c>
      <c r="I745" s="282">
        <f>ROUND(O66,0)</f>
        <v>25587</v>
      </c>
      <c r="J745" s="282">
        <f>ROUND(O67,0)</f>
        <v>6258</v>
      </c>
      <c r="K745" s="282">
        <f>ROUND(O68,0)</f>
        <v>0</v>
      </c>
      <c r="L745" s="282">
        <f>ROUND(O70,0)</f>
        <v>0</v>
      </c>
      <c r="M745" s="282">
        <f>ROUND(O71,0)</f>
        <v>478772</v>
      </c>
      <c r="N745" s="282">
        <f>ROUND(O76,0)</f>
        <v>6312</v>
      </c>
      <c r="O745" s="282">
        <f>ROUND(O74,0)</f>
        <v>143377</v>
      </c>
      <c r="P745" s="282">
        <f>IF(O77&gt;0,ROUND(O77,0),0)</f>
        <v>0</v>
      </c>
      <c r="Q745" s="282">
        <f>IF(O78&gt;0,ROUND(O78,0),0)</f>
        <v>1548</v>
      </c>
      <c r="R745" s="282">
        <f>IF(O79&gt;0,ROUND(O79,0),0)</f>
        <v>49664</v>
      </c>
      <c r="S745" s="282">
        <f>IF(O80&gt;0,ROUND(O80,0),0)</f>
        <v>0</v>
      </c>
      <c r="T745" s="285">
        <f>IF(O81&gt;0,ROUND(O81,2),0)</f>
        <v>0</v>
      </c>
      <c r="U745" s="282"/>
      <c r="X745" s="282"/>
      <c r="Y745" s="282"/>
      <c r="Z745" s="282">
        <f t="shared" si="21"/>
        <v>0</v>
      </c>
    </row>
    <row r="746" spans="1:26" ht="12.65" customHeight="1" x14ac:dyDescent="0.3">
      <c r="A746" s="209" t="str">
        <f>RIGHT($C$84,3)&amp;"*"&amp;RIGHT($C$83,4)&amp;"*"&amp;P$55&amp;"*"&amp;"A"</f>
        <v>ter*38*7020*A</v>
      </c>
      <c r="B746" s="282">
        <f>ROUND(P59,0)</f>
        <v>290498</v>
      </c>
      <c r="C746" s="285">
        <f>ROUND(P60,2)</f>
        <v>36.61</v>
      </c>
      <c r="D746" s="282">
        <f>ROUND(P61,0)</f>
        <v>2707726</v>
      </c>
      <c r="E746" s="282">
        <f>ROUND(P62,0)</f>
        <v>735152</v>
      </c>
      <c r="F746" s="282">
        <f>ROUND(P63,0)</f>
        <v>0</v>
      </c>
      <c r="G746" s="282">
        <f>ROUND(P64,0)</f>
        <v>6064822</v>
      </c>
      <c r="H746" s="282">
        <f>ROUND(P65,0)</f>
        <v>0</v>
      </c>
      <c r="I746" s="282">
        <f>ROUND(P66,0)</f>
        <v>190397</v>
      </c>
      <c r="J746" s="282">
        <f>ROUND(P67,0)</f>
        <v>476744</v>
      </c>
      <c r="K746" s="282">
        <f>ROUND(P68,0)</f>
        <v>141</v>
      </c>
      <c r="L746" s="282">
        <f>ROUND(P70,0)</f>
        <v>0</v>
      </c>
      <c r="M746" s="282">
        <f>ROUND(P71,0)</f>
        <v>10715634</v>
      </c>
      <c r="N746" s="282">
        <f>ROUND(P76,0)</f>
        <v>11814</v>
      </c>
      <c r="O746" s="282">
        <f>ROUND(P74,0)</f>
        <v>27715705</v>
      </c>
      <c r="P746" s="282">
        <f>IF(P77&gt;0,ROUND(P77,0),0)</f>
        <v>0</v>
      </c>
      <c r="Q746" s="282">
        <f>IF(P78&gt;0,ROUND(P78,0),0)</f>
        <v>1923</v>
      </c>
      <c r="R746" s="282">
        <f>IF(P79&gt;0,ROUND(P79,0),0)</f>
        <v>109500</v>
      </c>
      <c r="S746" s="282">
        <f>IF(P80&gt;0,ROUND(P80,0),0)</f>
        <v>16</v>
      </c>
      <c r="T746" s="285">
        <f>IF(P81&gt;0,ROUND(P81,2),0)</f>
        <v>0</v>
      </c>
      <c r="U746" s="282"/>
      <c r="X746" s="282"/>
      <c r="Y746" s="282"/>
      <c r="Z746" s="282">
        <f t="shared" si="21"/>
        <v>286851</v>
      </c>
    </row>
    <row r="747" spans="1:26" ht="12.65" customHeight="1" x14ac:dyDescent="0.3">
      <c r="A747" s="209" t="str">
        <f>RIGHT($C$84,3)&amp;"*"&amp;RIGHT($C$83,4)&amp;"*"&amp;Q$55&amp;"*"&amp;"A"</f>
        <v>ter*38*7030*A</v>
      </c>
      <c r="B747" s="282">
        <f>ROUND(Q59,0)</f>
        <v>160352</v>
      </c>
      <c r="C747" s="285">
        <f>ROUND(Q60,2)</f>
        <v>6.54</v>
      </c>
      <c r="D747" s="282">
        <f>ROUND(Q61,0)</f>
        <v>611597</v>
      </c>
      <c r="E747" s="282">
        <f>ROUND(Q62,0)</f>
        <v>166049</v>
      </c>
      <c r="F747" s="282">
        <f>ROUND(Q63,0)</f>
        <v>0</v>
      </c>
      <c r="G747" s="282">
        <f>ROUND(Q64,0)</f>
        <v>28955</v>
      </c>
      <c r="H747" s="282">
        <f>ROUND(Q65,0)</f>
        <v>0</v>
      </c>
      <c r="I747" s="282">
        <f>ROUND(Q66,0)</f>
        <v>13679</v>
      </c>
      <c r="J747" s="282">
        <f>ROUND(Q67,0)</f>
        <v>449</v>
      </c>
      <c r="K747" s="282">
        <f>ROUND(Q68,0)</f>
        <v>0</v>
      </c>
      <c r="L747" s="282">
        <f>ROUND(Q70,0)</f>
        <v>0</v>
      </c>
      <c r="M747" s="282">
        <f>ROUND(Q71,0)</f>
        <v>828304</v>
      </c>
      <c r="N747" s="282">
        <f>ROUND(Q76,0)</f>
        <v>1720</v>
      </c>
      <c r="O747" s="282">
        <f>ROUND(Q74,0)</f>
        <v>1529285</v>
      </c>
      <c r="P747" s="282">
        <f>IF(Q77&gt;0,ROUND(Q77,0),0)</f>
        <v>0</v>
      </c>
      <c r="Q747" s="282">
        <f>IF(Q78&gt;0,ROUND(Q78,0),0)</f>
        <v>422</v>
      </c>
      <c r="R747" s="282">
        <f>IF(Q79&gt;0,ROUND(Q79,0),0)</f>
        <v>29746</v>
      </c>
      <c r="S747" s="282">
        <f>IF(Q80&gt;0,ROUND(Q80,0),0)</f>
        <v>7</v>
      </c>
      <c r="T747" s="285">
        <f>IF(Q81&gt;0,ROUND(Q81,2),0)</f>
        <v>0</v>
      </c>
      <c r="U747" s="282"/>
      <c r="X747" s="282"/>
      <c r="Y747" s="282"/>
      <c r="Z747" s="282">
        <f t="shared" si="21"/>
        <v>4316377</v>
      </c>
    </row>
    <row r="748" spans="1:26" ht="12.65" customHeight="1" x14ac:dyDescent="0.3">
      <c r="A748" s="209" t="str">
        <f>RIGHT($C$84,3)&amp;"*"&amp;RIGHT($C$83,4)&amp;"*"&amp;R$55&amp;"*"&amp;"A"</f>
        <v>ter*38*7040*A</v>
      </c>
      <c r="B748" s="282">
        <f>ROUND(R59,0)</f>
        <v>372757</v>
      </c>
      <c r="C748" s="285">
        <f>ROUND(R60,2)</f>
        <v>2.8</v>
      </c>
      <c r="D748" s="282">
        <f>ROUND(R61,0)</f>
        <v>203452</v>
      </c>
      <c r="E748" s="282">
        <f>ROUND(R62,0)</f>
        <v>55238</v>
      </c>
      <c r="F748" s="282">
        <f>ROUND(R63,0)</f>
        <v>769601</v>
      </c>
      <c r="G748" s="282">
        <f>ROUND(R64,0)</f>
        <v>207517</v>
      </c>
      <c r="H748" s="282">
        <f>ROUND(R65,0)</f>
        <v>0</v>
      </c>
      <c r="I748" s="282">
        <f>ROUND(R66,0)</f>
        <v>113</v>
      </c>
      <c r="J748" s="282">
        <f>ROUND(R67,0)</f>
        <v>55048</v>
      </c>
      <c r="K748" s="282">
        <f>ROUND(R68,0)</f>
        <v>0</v>
      </c>
      <c r="L748" s="282">
        <f>ROUND(R70,0)</f>
        <v>0</v>
      </c>
      <c r="M748" s="282">
        <f>ROUND(R71,0)</f>
        <v>1315325</v>
      </c>
      <c r="N748" s="282">
        <f>ROUND(R76,0)</f>
        <v>501</v>
      </c>
      <c r="O748" s="282">
        <f>ROUND(R74,0)</f>
        <v>2975629</v>
      </c>
      <c r="P748" s="282">
        <f>IF(R77&gt;0,ROUND(R77,0),0)</f>
        <v>0</v>
      </c>
      <c r="Q748" s="282">
        <f>IF(R78&gt;0,ROUND(R78,0),0)</f>
        <v>123</v>
      </c>
      <c r="R748" s="282">
        <f>IF(R79&gt;0,ROUND(R79,0),0)</f>
        <v>0</v>
      </c>
      <c r="S748" s="282">
        <f>IF(R80&gt;0,ROUND(R80,0),0)</f>
        <v>1</v>
      </c>
      <c r="T748" s="285">
        <f>IF(R81&gt;0,ROUND(R81,2),0)</f>
        <v>0</v>
      </c>
      <c r="U748" s="282"/>
      <c r="X748" s="282"/>
      <c r="Y748" s="282"/>
      <c r="Z748" s="282">
        <f t="shared" si="21"/>
        <v>313242</v>
      </c>
    </row>
    <row r="749" spans="1:26" ht="12.65" customHeight="1" x14ac:dyDescent="0.3">
      <c r="A749" s="209" t="str">
        <f>RIGHT($C$84,3)&amp;"*"&amp;RIGHT($C$83,4)&amp;"*"&amp;S$55&amp;"*"&amp;"A"</f>
        <v>ter*38*7050*A</v>
      </c>
      <c r="B749" s="282"/>
      <c r="C749" s="285">
        <f>ROUND(S60,2)</f>
        <v>18.600000000000001</v>
      </c>
      <c r="D749" s="282">
        <f>ROUND(S61,0)</f>
        <v>814851</v>
      </c>
      <c r="E749" s="282">
        <f>ROUND(S62,0)</f>
        <v>221233</v>
      </c>
      <c r="F749" s="282">
        <f>ROUND(S63,0)</f>
        <v>0</v>
      </c>
      <c r="G749" s="282">
        <f>ROUND(S64,0)</f>
        <v>239706</v>
      </c>
      <c r="H749" s="282">
        <f>ROUND(S65,0)</f>
        <v>0</v>
      </c>
      <c r="I749" s="282">
        <f>ROUND(S66,0)</f>
        <v>0</v>
      </c>
      <c r="J749" s="282">
        <f>ROUND(S67,0)</f>
        <v>54536</v>
      </c>
      <c r="K749" s="282">
        <f>ROUND(S68,0)</f>
        <v>141</v>
      </c>
      <c r="L749" s="282">
        <f>ROUND(S70,0)</f>
        <v>0</v>
      </c>
      <c r="M749" s="282">
        <f>ROUND(S71,0)</f>
        <v>1476216</v>
      </c>
      <c r="N749" s="282">
        <f>ROUND(S76,0)</f>
        <v>3093</v>
      </c>
      <c r="O749" s="282">
        <f>ROUND(S74,0)</f>
        <v>0</v>
      </c>
      <c r="P749" s="282">
        <f>IF(S77&gt;0,ROUND(S77,0),0)</f>
        <v>0</v>
      </c>
      <c r="Q749" s="282">
        <f>IF(S78&gt;0,ROUND(S78,0),0)</f>
        <v>758</v>
      </c>
      <c r="R749" s="282">
        <f>IF(S79&gt;0,ROUND(S79,0),0)</f>
        <v>19264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>
        <f t="shared" si="21"/>
        <v>401943</v>
      </c>
    </row>
    <row r="750" spans="1:26" ht="12.65" customHeight="1" x14ac:dyDescent="0.3">
      <c r="A750" s="209" t="str">
        <f>RIGHT($C$84,3)&amp;"*"&amp;RIGHT($C$83,4)&amp;"*"&amp;T$55&amp;"*"&amp;"A"</f>
        <v>ter*38*7060*A</v>
      </c>
      <c r="B750" s="282"/>
      <c r="C750" s="285">
        <f>ROUND(T60,2)</f>
        <v>0.57999999999999996</v>
      </c>
      <c r="D750" s="282">
        <f>ROUND(T61,0)</f>
        <v>59727</v>
      </c>
      <c r="E750" s="282">
        <f>ROUND(T62,0)</f>
        <v>16216</v>
      </c>
      <c r="F750" s="282">
        <f>ROUND(T63,0)</f>
        <v>0</v>
      </c>
      <c r="G750" s="282">
        <f>ROUND(T64,0)</f>
        <v>96524</v>
      </c>
      <c r="H750" s="282">
        <f>ROUND(T65,0)</f>
        <v>0</v>
      </c>
      <c r="I750" s="282">
        <f>ROUND(T66,0)</f>
        <v>0</v>
      </c>
      <c r="J750" s="282">
        <f>ROUND(T67,0)</f>
        <v>0</v>
      </c>
      <c r="K750" s="282">
        <f>ROUND(T68,0)</f>
        <v>0</v>
      </c>
      <c r="L750" s="282">
        <f>ROUND(T70,0)</f>
        <v>0</v>
      </c>
      <c r="M750" s="282">
        <f>ROUND(T71,0)</f>
        <v>172467</v>
      </c>
      <c r="N750" s="282">
        <f>ROUND(T76,0)</f>
        <v>0</v>
      </c>
      <c r="O750" s="282">
        <f>ROUND(T74,0)</f>
        <v>103923</v>
      </c>
      <c r="P750" s="282">
        <f>IF(T77&gt;0,ROUND(T77,0),0)</f>
        <v>0</v>
      </c>
      <c r="Q750" s="282">
        <f>IF(T78&gt;0,ROUND(T78,0),0)</f>
        <v>0</v>
      </c>
      <c r="R750" s="282">
        <f>IF(T79&gt;0,ROUND(T79,0),0)</f>
        <v>0</v>
      </c>
      <c r="S750" s="282">
        <f>IF(T80&gt;0,ROUND(T80,0),0)</f>
        <v>1</v>
      </c>
      <c r="T750" s="285">
        <f>IF(T81&gt;0,ROUND(T81,2),0)</f>
        <v>0</v>
      </c>
      <c r="U750" s="282"/>
      <c r="X750" s="282"/>
      <c r="Y750" s="282"/>
      <c r="Z750" s="282">
        <f t="shared" si="21"/>
        <v>358052</v>
      </c>
    </row>
    <row r="751" spans="1:26" ht="12.65" customHeight="1" x14ac:dyDescent="0.3">
      <c r="A751" s="209" t="str">
        <f>RIGHT($C$84,3)&amp;"*"&amp;RIGHT($C$83,4)&amp;"*"&amp;U$55&amp;"*"&amp;"A"</f>
        <v>ter*38*7070*A</v>
      </c>
      <c r="B751" s="282">
        <f>ROUND(U59,0)</f>
        <v>621894</v>
      </c>
      <c r="C751" s="285">
        <f>ROUND(U60,2)</f>
        <v>72.17</v>
      </c>
      <c r="D751" s="282">
        <f>ROUND(U61,0)</f>
        <v>4475758</v>
      </c>
      <c r="E751" s="282">
        <f>ROUND(U62,0)</f>
        <v>1215175</v>
      </c>
      <c r="F751" s="282">
        <f>ROUND(U63,0)</f>
        <v>45000</v>
      </c>
      <c r="G751" s="282">
        <f>ROUND(U64,0)</f>
        <v>1678922</v>
      </c>
      <c r="H751" s="282">
        <f>ROUND(U65,0)</f>
        <v>621</v>
      </c>
      <c r="I751" s="282">
        <f>ROUND(U66,0)</f>
        <v>2414328</v>
      </c>
      <c r="J751" s="282">
        <f>ROUND(U67,0)</f>
        <v>280328</v>
      </c>
      <c r="K751" s="282">
        <f>ROUND(U68,0)</f>
        <v>82460</v>
      </c>
      <c r="L751" s="282">
        <f>ROUND(U70,0)</f>
        <v>0</v>
      </c>
      <c r="M751" s="282">
        <f>ROUND(U71,0)</f>
        <v>10593251</v>
      </c>
      <c r="N751" s="282">
        <f>ROUND(U76,0)</f>
        <v>8720</v>
      </c>
      <c r="O751" s="282">
        <f>ROUND(U74,0)</f>
        <v>33839656</v>
      </c>
      <c r="P751" s="282">
        <f>IF(U77&gt;0,ROUND(U77,0),0)</f>
        <v>0</v>
      </c>
      <c r="Q751" s="282">
        <f>IF(U78&gt;0,ROUND(U78,0),0)</f>
        <v>2052</v>
      </c>
      <c r="R751" s="282">
        <f>IF(U79&gt;0,ROUND(U79,0),0)</f>
        <v>2177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>
        <f t="shared" si="21"/>
        <v>72538</v>
      </c>
    </row>
    <row r="752" spans="1:26" ht="12.65" customHeight="1" x14ac:dyDescent="0.3">
      <c r="A752" s="209" t="str">
        <f>RIGHT($C$84,3)&amp;"*"&amp;RIGHT($C$83,4)&amp;"*"&amp;V$55&amp;"*"&amp;"A"</f>
        <v>ter*38*7110*A</v>
      </c>
      <c r="B752" s="282">
        <f>ROUND(V59,0)</f>
        <v>29101</v>
      </c>
      <c r="C752" s="285">
        <f>ROUND(V60,2)</f>
        <v>29.35</v>
      </c>
      <c r="D752" s="282">
        <f>ROUND(V61,0)</f>
        <v>2246155</v>
      </c>
      <c r="E752" s="282">
        <f>ROUND(V62,0)</f>
        <v>609835</v>
      </c>
      <c r="F752" s="282">
        <f>ROUND(V63,0)</f>
        <v>207200</v>
      </c>
      <c r="G752" s="282">
        <f>ROUND(V64,0)</f>
        <v>457560</v>
      </c>
      <c r="H752" s="282">
        <f>ROUND(V65,0)</f>
        <v>2550</v>
      </c>
      <c r="I752" s="282">
        <f>ROUND(V66,0)</f>
        <v>415</v>
      </c>
      <c r="J752" s="282">
        <f>ROUND(V67,0)</f>
        <v>122397</v>
      </c>
      <c r="K752" s="282">
        <f>ROUND(V68,0)</f>
        <v>111486</v>
      </c>
      <c r="L752" s="282">
        <f>ROUND(V70,0)</f>
        <v>0</v>
      </c>
      <c r="M752" s="282">
        <f>ROUND(V71,0)</f>
        <v>3879140</v>
      </c>
      <c r="N752" s="282">
        <f>ROUND(V76,0)</f>
        <v>9412</v>
      </c>
      <c r="O752" s="282">
        <f>ROUND(V74,0)</f>
        <v>15169491</v>
      </c>
      <c r="P752" s="282">
        <f>IF(V77&gt;0,ROUND(V77,0),0)</f>
        <v>0</v>
      </c>
      <c r="Q752" s="282">
        <f>IF(V78&gt;0,ROUND(V78,0),0)</f>
        <v>2222</v>
      </c>
      <c r="R752" s="282">
        <f>IF(V79&gt;0,ROUND(V79,0),0)</f>
        <v>0</v>
      </c>
      <c r="S752" s="282">
        <f>IF(V80&gt;0,ROUND(V80,0),0)</f>
        <v>3</v>
      </c>
      <c r="T752" s="285">
        <f>IF(V81&gt;0,ROUND(V81,2),0)</f>
        <v>0</v>
      </c>
      <c r="U752" s="282"/>
      <c r="X752" s="282"/>
      <c r="Y752" s="282"/>
      <c r="Z752" s="282">
        <f t="shared" si="21"/>
        <v>4188242</v>
      </c>
    </row>
    <row r="753" spans="1:26" ht="12.65" customHeight="1" x14ac:dyDescent="0.3">
      <c r="A753" s="209" t="str">
        <f>RIGHT($C$84,3)&amp;"*"&amp;RIGHT($C$83,4)&amp;"*"&amp;W$55&amp;"*"&amp;"A"</f>
        <v>ter*38*7120*A</v>
      </c>
      <c r="B753" s="282">
        <f>ROUND(W59,0)</f>
        <v>6732</v>
      </c>
      <c r="C753" s="285">
        <f>ROUND(W60,2)</f>
        <v>7.81</v>
      </c>
      <c r="D753" s="282">
        <f>ROUND(W61,0)</f>
        <v>713039</v>
      </c>
      <c r="E753" s="282">
        <f>ROUND(W62,0)</f>
        <v>193591</v>
      </c>
      <c r="F753" s="282">
        <f>ROUND(W63,0)</f>
        <v>0</v>
      </c>
      <c r="G753" s="282">
        <f>ROUND(W64,0)</f>
        <v>43895</v>
      </c>
      <c r="H753" s="282">
        <f>ROUND(W65,0)</f>
        <v>0</v>
      </c>
      <c r="I753" s="282">
        <f>ROUND(W66,0)</f>
        <v>4090</v>
      </c>
      <c r="J753" s="282">
        <f>ROUND(W67,0)</f>
        <v>255834</v>
      </c>
      <c r="K753" s="282">
        <f>ROUND(W68,0)</f>
        <v>0</v>
      </c>
      <c r="L753" s="282">
        <f>ROUND(W70,0)</f>
        <v>0</v>
      </c>
      <c r="M753" s="282">
        <f>ROUND(W71,0)</f>
        <v>1559383</v>
      </c>
      <c r="N753" s="282">
        <f>ROUND(W76,0)</f>
        <v>1198</v>
      </c>
      <c r="O753" s="282">
        <f>ROUND(W74,0)</f>
        <v>15735347</v>
      </c>
      <c r="P753" s="282">
        <f>IF(W77&gt;0,ROUND(W77,0),0)</f>
        <v>0</v>
      </c>
      <c r="Q753" s="282">
        <f>IF(W78&gt;0,ROUND(W78,0),0)</f>
        <v>294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>
        <f t="shared" si="21"/>
        <v>1751650</v>
      </c>
    </row>
    <row r="754" spans="1:26" ht="12.65" customHeight="1" x14ac:dyDescent="0.3">
      <c r="A754" s="209" t="str">
        <f>RIGHT($C$84,3)&amp;"*"&amp;RIGHT($C$83,4)&amp;"*"&amp;X$55&amp;"*"&amp;"A"</f>
        <v>ter*38*7130*A</v>
      </c>
      <c r="B754" s="282">
        <f>ROUND(X59,0)</f>
        <v>20418</v>
      </c>
      <c r="C754" s="285">
        <f>ROUND(X60,2)</f>
        <v>10.99</v>
      </c>
      <c r="D754" s="282">
        <f>ROUND(X61,0)</f>
        <v>859041</v>
      </c>
      <c r="E754" s="282">
        <f>ROUND(X62,0)</f>
        <v>233231</v>
      </c>
      <c r="F754" s="282">
        <f>ROUND(X63,0)</f>
        <v>0</v>
      </c>
      <c r="G754" s="282">
        <f>ROUND(X64,0)</f>
        <v>164102</v>
      </c>
      <c r="H754" s="282">
        <f>ROUND(X65,0)</f>
        <v>0</v>
      </c>
      <c r="I754" s="282">
        <f>ROUND(X66,0)</f>
        <v>2342</v>
      </c>
      <c r="J754" s="282">
        <f>ROUND(X67,0)</f>
        <v>132832</v>
      </c>
      <c r="K754" s="282">
        <f>ROUND(X68,0)</f>
        <v>0</v>
      </c>
      <c r="L754" s="282">
        <f>ROUND(X70,0)</f>
        <v>0</v>
      </c>
      <c r="M754" s="282">
        <f>ROUND(X71,0)</f>
        <v>1768424</v>
      </c>
      <c r="N754" s="282">
        <f>ROUND(X76,0)</f>
        <v>1262</v>
      </c>
      <c r="O754" s="282">
        <f>ROUND(X74,0)</f>
        <v>29346587</v>
      </c>
      <c r="P754" s="282">
        <f>IF(X77&gt;0,ROUND(X77,0),0)</f>
        <v>0</v>
      </c>
      <c r="Q754" s="282">
        <f>IF(X78&gt;0,ROUND(X78,0),0)</f>
        <v>309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>
        <f t="shared" si="21"/>
        <v>1262194</v>
      </c>
    </row>
    <row r="755" spans="1:26" ht="12.65" customHeight="1" x14ac:dyDescent="0.3">
      <c r="A755" s="209" t="str">
        <f>RIGHT($C$84,3)&amp;"*"&amp;RIGHT($C$83,4)&amp;"*"&amp;Y$55&amp;"*"&amp;"A"</f>
        <v>ter*38*7140*A</v>
      </c>
      <c r="B755" s="282">
        <f>ROUND(Y59,0)</f>
        <v>69941</v>
      </c>
      <c r="C755" s="285">
        <f>ROUND(Y60,2)</f>
        <v>65.790000000000006</v>
      </c>
      <c r="D755" s="282">
        <f>ROUND(Y61,0)</f>
        <v>4544391</v>
      </c>
      <c r="E755" s="282">
        <f>ROUND(Y62,0)</f>
        <v>1233810</v>
      </c>
      <c r="F755" s="282">
        <f>ROUND(Y63,0)</f>
        <v>6600</v>
      </c>
      <c r="G755" s="282">
        <f>ROUND(Y64,0)</f>
        <v>308268</v>
      </c>
      <c r="H755" s="282">
        <f>ROUND(Y65,0)</f>
        <v>-3600</v>
      </c>
      <c r="I755" s="282">
        <f>ROUND(Y66,0)</f>
        <v>699292</v>
      </c>
      <c r="J755" s="282">
        <f>ROUND(Y67,0)</f>
        <v>624870</v>
      </c>
      <c r="K755" s="282">
        <f>ROUND(Y68,0)</f>
        <v>206165</v>
      </c>
      <c r="L755" s="282">
        <f>ROUND(Y70,0)</f>
        <v>0</v>
      </c>
      <c r="M755" s="282">
        <f>ROUND(Y71,0)</f>
        <v>8389324</v>
      </c>
      <c r="N755" s="282">
        <f>ROUND(Y76,0)</f>
        <v>19442</v>
      </c>
      <c r="O755" s="282">
        <f>ROUND(Y74,0)</f>
        <v>28092231</v>
      </c>
      <c r="P755" s="282">
        <f>IF(Y77&gt;0,ROUND(Y77,0),0)</f>
        <v>0</v>
      </c>
      <c r="Q755" s="282">
        <f>IF(Y78&gt;0,ROUND(Y78,0),0)</f>
        <v>4273</v>
      </c>
      <c r="R755" s="282">
        <f>IF(Y79&gt;0,ROUND(Y79,0),0)</f>
        <v>106889</v>
      </c>
      <c r="S755" s="282">
        <f>IF(Y80&gt;0,ROUND(Y80,0),0)</f>
        <v>3</v>
      </c>
      <c r="T755" s="285">
        <f>IF(Y81&gt;0,ROUND(Y81,2),0)</f>
        <v>0</v>
      </c>
      <c r="U755" s="282"/>
      <c r="X755" s="282"/>
      <c r="Y755" s="282"/>
      <c r="Z755" s="282">
        <f t="shared" si="21"/>
        <v>2498491</v>
      </c>
    </row>
    <row r="756" spans="1:26" ht="12.65" customHeight="1" x14ac:dyDescent="0.3">
      <c r="A756" s="209" t="str">
        <f>RIGHT($C$84,3)&amp;"*"&amp;RIGHT($C$83,4)&amp;"*"&amp;Z$55&amp;"*"&amp;"A"</f>
        <v>ter*38*7150*A</v>
      </c>
      <c r="B756" s="282">
        <f>ROUND(Z59,0)</f>
        <v>0</v>
      </c>
      <c r="C756" s="285">
        <f>ROUND(Z60,2)</f>
        <v>19.68</v>
      </c>
      <c r="D756" s="282">
        <f>ROUND(Z61,0)</f>
        <v>2527030</v>
      </c>
      <c r="E756" s="282">
        <f>ROUND(Z62,0)</f>
        <v>686093</v>
      </c>
      <c r="F756" s="282">
        <f>ROUND(Z63,0)</f>
        <v>130728</v>
      </c>
      <c r="G756" s="282">
        <f>ROUND(Z64,0)</f>
        <v>57861</v>
      </c>
      <c r="H756" s="282">
        <f>ROUND(Z65,0)</f>
        <v>360</v>
      </c>
      <c r="I756" s="282">
        <f>ROUND(Z66,0)</f>
        <v>522842</v>
      </c>
      <c r="J756" s="282">
        <f>ROUND(Z67,0)</f>
        <v>598582</v>
      </c>
      <c r="K756" s="282">
        <f>ROUND(Z68,0)</f>
        <v>43</v>
      </c>
      <c r="L756" s="282">
        <f>ROUND(Z70,0)</f>
        <v>0</v>
      </c>
      <c r="M756" s="282">
        <f>ROUND(Z71,0)</f>
        <v>5024260</v>
      </c>
      <c r="N756" s="282">
        <f>ROUND(Z76,0)</f>
        <v>6047</v>
      </c>
      <c r="O756" s="282">
        <f>ROUND(Z74,0)</f>
        <v>15279743</v>
      </c>
      <c r="P756" s="282">
        <f>IF(Z77&gt;0,ROUND(Z77,0),0)</f>
        <v>0</v>
      </c>
      <c r="Q756" s="282">
        <f>IF(Z78&gt;0,ROUND(Z78,0),0)</f>
        <v>1483</v>
      </c>
      <c r="R756" s="282">
        <f>IF(Z79&gt;0,ROUND(Z79,0),0)</f>
        <v>17368</v>
      </c>
      <c r="S756" s="282">
        <f>IF(Z80&gt;0,ROUND(Z80,0),0)</f>
        <v>3</v>
      </c>
      <c r="T756" s="285">
        <f>IF(Z81&gt;0,ROUND(Z81,2),0)</f>
        <v>0</v>
      </c>
      <c r="U756" s="282"/>
      <c r="X756" s="282"/>
      <c r="Y756" s="282"/>
      <c r="Z756" s="282">
        <f t="shared" si="21"/>
        <v>3433442</v>
      </c>
    </row>
    <row r="757" spans="1:26" ht="12.65" customHeight="1" x14ac:dyDescent="0.3">
      <c r="A757" s="209" t="str">
        <f>RIGHT($C$84,3)&amp;"*"&amp;RIGHT($C$83,4)&amp;"*"&amp;AA$55&amp;"*"&amp;"A"</f>
        <v>ter*38*7160*A</v>
      </c>
      <c r="B757" s="282">
        <f>ROUND(AA59,0)</f>
        <v>700</v>
      </c>
      <c r="C757" s="285">
        <f>ROUND(AA60,2)</f>
        <v>1.07</v>
      </c>
      <c r="D757" s="282">
        <f>ROUND(AA61,0)</f>
        <v>109654</v>
      </c>
      <c r="E757" s="282">
        <f>ROUND(AA62,0)</f>
        <v>29771</v>
      </c>
      <c r="F757" s="282">
        <f>ROUND(AA63,0)</f>
        <v>0</v>
      </c>
      <c r="G757" s="282">
        <f>ROUND(AA64,0)</f>
        <v>334873</v>
      </c>
      <c r="H757" s="282">
        <f>ROUND(AA65,0)</f>
        <v>0</v>
      </c>
      <c r="I757" s="282">
        <f>ROUND(AA66,0)</f>
        <v>1580</v>
      </c>
      <c r="J757" s="282">
        <f>ROUND(AA67,0)</f>
        <v>547</v>
      </c>
      <c r="K757" s="282">
        <f>ROUND(AA68,0)</f>
        <v>0</v>
      </c>
      <c r="L757" s="282">
        <f>ROUND(AA70,0)</f>
        <v>0</v>
      </c>
      <c r="M757" s="282">
        <f>ROUND(AA71,0)</f>
        <v>538074</v>
      </c>
      <c r="N757" s="282">
        <f>ROUND(AA76,0)</f>
        <v>600</v>
      </c>
      <c r="O757" s="282">
        <f>ROUND(AA74,0)</f>
        <v>1309863</v>
      </c>
      <c r="P757" s="282">
        <f>IF(AA77&gt;0,ROUND(AA77,0),0)</f>
        <v>0</v>
      </c>
      <c r="Q757" s="282">
        <f>IF(AA78&gt;0,ROUND(AA78,0),0)</f>
        <v>147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>
        <f t="shared" si="21"/>
        <v>1671794</v>
      </c>
    </row>
    <row r="758" spans="1:26" ht="12.65" customHeight="1" x14ac:dyDescent="0.3">
      <c r="A758" s="209" t="str">
        <f>RIGHT($C$84,3)&amp;"*"&amp;RIGHT($C$83,4)&amp;"*"&amp;AB$55&amp;"*"&amp;"A"</f>
        <v>ter*38*7170*A</v>
      </c>
      <c r="B758" s="282"/>
      <c r="C758" s="285">
        <f>ROUND(AB60,2)</f>
        <v>22.53</v>
      </c>
      <c r="D758" s="282">
        <f>ROUND(AB61,0)</f>
        <v>2393846</v>
      </c>
      <c r="E758" s="282">
        <f>ROUND(AB62,0)</f>
        <v>649933</v>
      </c>
      <c r="F758" s="282">
        <f>ROUND(AB63,0)</f>
        <v>20283</v>
      </c>
      <c r="G758" s="282">
        <f>ROUND(AB64,0)</f>
        <v>17503437</v>
      </c>
      <c r="H758" s="282">
        <f>ROUND(AB65,0)</f>
        <v>0</v>
      </c>
      <c r="I758" s="282">
        <f>ROUND(AB66,0)</f>
        <v>4000</v>
      </c>
      <c r="J758" s="282">
        <f>ROUND(AB67,0)</f>
        <v>200229</v>
      </c>
      <c r="K758" s="282">
        <f>ROUND(AB68,0)</f>
        <v>141</v>
      </c>
      <c r="L758" s="282">
        <f>ROUND(AB70,0)</f>
        <v>0</v>
      </c>
      <c r="M758" s="282">
        <f>ROUND(AB71,0)</f>
        <v>22662950</v>
      </c>
      <c r="N758" s="282">
        <f>ROUND(AB76,0)</f>
        <v>2338</v>
      </c>
      <c r="O758" s="282">
        <f>ROUND(AB74,0)</f>
        <v>56093017</v>
      </c>
      <c r="P758" s="282">
        <f>IF(AB77&gt;0,ROUND(AB77,0),0)</f>
        <v>0</v>
      </c>
      <c r="Q758" s="282">
        <f>IF(AB78&gt;0,ROUND(AB78,0),0)</f>
        <v>573</v>
      </c>
      <c r="R758" s="282">
        <f>IF(AB79&gt;0,ROUND(AB79,0),0)</f>
        <v>507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>
        <f t="shared" si="21"/>
        <v>176706</v>
      </c>
    </row>
    <row r="759" spans="1:26" ht="12.65" customHeight="1" x14ac:dyDescent="0.3">
      <c r="A759" s="209" t="str">
        <f>RIGHT($C$84,3)&amp;"*"&amp;RIGHT($C$83,4)&amp;"*"&amp;AC$55&amp;"*"&amp;"A"</f>
        <v>ter*38*7180*A</v>
      </c>
      <c r="B759" s="282">
        <f>ROUND(AC59,0)</f>
        <v>19835</v>
      </c>
      <c r="C759" s="285">
        <f>ROUND(AC60,2)</f>
        <v>12.81</v>
      </c>
      <c r="D759" s="282">
        <f>ROUND(AC61,0)</f>
        <v>879410</v>
      </c>
      <c r="E759" s="282">
        <f>ROUND(AC62,0)</f>
        <v>238761</v>
      </c>
      <c r="F759" s="282">
        <f>ROUND(AC63,0)</f>
        <v>0</v>
      </c>
      <c r="G759" s="282">
        <f>ROUND(AC64,0)</f>
        <v>138885</v>
      </c>
      <c r="H759" s="282">
        <f>ROUND(AC65,0)</f>
        <v>0</v>
      </c>
      <c r="I759" s="282">
        <f>ROUND(AC66,0)</f>
        <v>150972</v>
      </c>
      <c r="J759" s="282">
        <f>ROUND(AC67,0)</f>
        <v>61292</v>
      </c>
      <c r="K759" s="282">
        <f>ROUND(AC68,0)</f>
        <v>44954</v>
      </c>
      <c r="L759" s="282">
        <f>ROUND(AC70,0)</f>
        <v>0</v>
      </c>
      <c r="M759" s="282">
        <f>ROUND(AC71,0)</f>
        <v>1543505</v>
      </c>
      <c r="N759" s="282">
        <f>ROUND(AC76,0)</f>
        <v>2845</v>
      </c>
      <c r="O759" s="282">
        <f>ROUND(AC74,0)</f>
        <v>1502774</v>
      </c>
      <c r="P759" s="282">
        <f>IF(AC77&gt;0,ROUND(AC77,0),0)</f>
        <v>0</v>
      </c>
      <c r="Q759" s="282">
        <f>IF(AC78&gt;0,ROUND(AC78,0),0)</f>
        <v>698</v>
      </c>
      <c r="R759" s="282">
        <f>IF(AC79&gt;0,ROUND(AC79,0),0)</f>
        <v>60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>
        <f t="shared" si="21"/>
        <v>7544689</v>
      </c>
    </row>
    <row r="760" spans="1:26" ht="12.65" customHeight="1" x14ac:dyDescent="0.3">
      <c r="A760" s="209" t="str">
        <f>RIGHT($C$84,3)&amp;"*"&amp;RIGHT($C$83,4)&amp;"*"&amp;AD$55&amp;"*"&amp;"A"</f>
        <v>ter*38*7190*A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0</v>
      </c>
      <c r="H760" s="282">
        <f>ROUND(AD65,0)</f>
        <v>0</v>
      </c>
      <c r="I760" s="282">
        <f>ROUND(AD66,0)</f>
        <v>0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0</v>
      </c>
      <c r="N760" s="282">
        <f>ROUND(AD76,0)</f>
        <v>0</v>
      </c>
      <c r="O760" s="282">
        <f>ROUND(AD74,0)</f>
        <v>0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>
        <f t="shared" si="21"/>
        <v>562122</v>
      </c>
    </row>
    <row r="761" spans="1:26" ht="12.65" customHeight="1" x14ac:dyDescent="0.3">
      <c r="A761" s="209" t="str">
        <f>RIGHT($C$84,3)&amp;"*"&amp;RIGHT($C$83,4)&amp;"*"&amp;AE$55&amp;"*"&amp;"A"</f>
        <v>ter*38*7200*A</v>
      </c>
      <c r="B761" s="282">
        <f>ROUND(AE59,0)</f>
        <v>82752</v>
      </c>
      <c r="C761" s="285">
        <f>ROUND(AE60,2)</f>
        <v>41.49</v>
      </c>
      <c r="D761" s="282">
        <f>ROUND(AE61,0)</f>
        <v>3343203</v>
      </c>
      <c r="E761" s="282">
        <f>ROUND(AE62,0)</f>
        <v>907685</v>
      </c>
      <c r="F761" s="282">
        <f>ROUND(AE63,0)</f>
        <v>0</v>
      </c>
      <c r="G761" s="282">
        <f>ROUND(AE64,0)</f>
        <v>69834</v>
      </c>
      <c r="H761" s="282">
        <f>ROUND(AE65,0)</f>
        <v>0</v>
      </c>
      <c r="I761" s="282">
        <f>ROUND(AE66,0)</f>
        <v>29771</v>
      </c>
      <c r="J761" s="282">
        <f>ROUND(AE67,0)</f>
        <v>9199</v>
      </c>
      <c r="K761" s="282">
        <f>ROUND(AE68,0)</f>
        <v>3948</v>
      </c>
      <c r="L761" s="282">
        <f>ROUND(AE70,0)</f>
        <v>0</v>
      </c>
      <c r="M761" s="282">
        <f>ROUND(AE71,0)</f>
        <v>4383848</v>
      </c>
      <c r="N761" s="282">
        <f>ROUND(AE76,0)</f>
        <v>9553</v>
      </c>
      <c r="O761" s="282">
        <f>ROUND(AE74,0)</f>
        <v>5843519</v>
      </c>
      <c r="P761" s="282">
        <f>IF(AE77&gt;0,ROUND(AE77,0),0)</f>
        <v>0</v>
      </c>
      <c r="Q761" s="282">
        <f>IF(AE78&gt;0,ROUND(AE78,0),0)</f>
        <v>2343</v>
      </c>
      <c r="R761" s="282">
        <f>IF(AE79&gt;0,ROUND(AE79,0),0)</f>
        <v>21696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>
        <f t="shared" si="21"/>
        <v>0</v>
      </c>
    </row>
    <row r="762" spans="1:26" ht="12.65" customHeight="1" x14ac:dyDescent="0.3">
      <c r="A762" s="209" t="str">
        <f>RIGHT($C$84,3)&amp;"*"&amp;RIGHT($C$83,4)&amp;"*"&amp;AF$55&amp;"*"&amp;"A"</f>
        <v>ter*38*7220*A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>
        <f t="shared" si="21"/>
        <v>1202980</v>
      </c>
    </row>
    <row r="763" spans="1:26" ht="12.65" customHeight="1" x14ac:dyDescent="0.3">
      <c r="A763" s="209" t="str">
        <f>RIGHT($C$84,3)&amp;"*"&amp;RIGHT($C$83,4)&amp;"*"&amp;AG$55&amp;"*"&amp;"A"</f>
        <v>ter*38*7230*A</v>
      </c>
      <c r="B763" s="282">
        <f>ROUND(AG59,0)</f>
        <v>24082</v>
      </c>
      <c r="C763" s="285">
        <f>ROUND(AG60,2)</f>
        <v>58.23</v>
      </c>
      <c r="D763" s="282">
        <f>ROUND(AG61,0)</f>
        <v>4900676</v>
      </c>
      <c r="E763" s="282">
        <f>ROUND(AG62,0)</f>
        <v>1330542</v>
      </c>
      <c r="F763" s="282">
        <f>ROUND(AG63,0)</f>
        <v>5089514</v>
      </c>
      <c r="G763" s="282">
        <f>ROUND(AG64,0)</f>
        <v>620488</v>
      </c>
      <c r="H763" s="282">
        <f>ROUND(AG65,0)</f>
        <v>0</v>
      </c>
      <c r="I763" s="282">
        <f>ROUND(AG66,0)</f>
        <v>211561</v>
      </c>
      <c r="J763" s="282">
        <f>ROUND(AG67,0)</f>
        <v>103730</v>
      </c>
      <c r="K763" s="282">
        <f>ROUND(AG68,0)</f>
        <v>141</v>
      </c>
      <c r="L763" s="282">
        <f>ROUND(AG70,0)</f>
        <v>0</v>
      </c>
      <c r="M763" s="282">
        <f>ROUND(AG71,0)</f>
        <v>12287854</v>
      </c>
      <c r="N763" s="282">
        <f>ROUND(AG76,0)</f>
        <v>6022</v>
      </c>
      <c r="O763" s="282">
        <f>ROUND(AG74,0)</f>
        <v>26315242</v>
      </c>
      <c r="P763" s="282">
        <f>IF(AG77&gt;0,ROUND(AG77,0),0)</f>
        <v>0</v>
      </c>
      <c r="Q763" s="282">
        <f>IF(AG78&gt;0,ROUND(AG78,0),0)</f>
        <v>1477</v>
      </c>
      <c r="R763" s="282">
        <f>IF(AG79&gt;0,ROUND(AG79,0),0)</f>
        <v>287965</v>
      </c>
      <c r="S763" s="282">
        <f>IF(AG80&gt;0,ROUND(AG80,0),0)</f>
        <v>41</v>
      </c>
      <c r="T763" s="285">
        <f>IF(AG81&gt;0,ROUND(AG81,2),0)</f>
        <v>0</v>
      </c>
      <c r="U763" s="282"/>
      <c r="X763" s="282"/>
      <c r="Y763" s="282"/>
      <c r="Z763" s="282">
        <f t="shared" si="21"/>
        <v>0</v>
      </c>
    </row>
    <row r="764" spans="1:26" ht="12.65" customHeight="1" x14ac:dyDescent="0.3">
      <c r="A764" s="209" t="str">
        <f>RIGHT($C$84,3)&amp;"*"&amp;RIGHT($C$83,4)&amp;"*"&amp;AH$55&amp;"*"&amp;"A"</f>
        <v>ter*38*7240*A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547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547</v>
      </c>
      <c r="N764" s="282">
        <f>ROUND(AH76,0)</f>
        <v>98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24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>
        <f t="shared" si="21"/>
        <v>4099010</v>
      </c>
    </row>
    <row r="765" spans="1:26" ht="12.65" customHeight="1" x14ac:dyDescent="0.3">
      <c r="A765" s="209" t="str">
        <f>RIGHT($C$84,3)&amp;"*"&amp;RIGHT($C$83,4)&amp;"*"&amp;AI$55&amp;"*"&amp;"A"</f>
        <v>ter*38*7250*A</v>
      </c>
      <c r="B765" s="282">
        <f>ROUND(AI59,0)</f>
        <v>7840</v>
      </c>
      <c r="C765" s="285">
        <f>ROUND(AI60,2)</f>
        <v>21.47</v>
      </c>
      <c r="D765" s="282">
        <f>ROUND(AI61,0)</f>
        <v>1852066</v>
      </c>
      <c r="E765" s="282">
        <f>ROUND(AI62,0)</f>
        <v>502839</v>
      </c>
      <c r="F765" s="282">
        <f>ROUND(AI63,0)</f>
        <v>0</v>
      </c>
      <c r="G765" s="282">
        <f>ROUND(AI64,0)</f>
        <v>234202</v>
      </c>
      <c r="H765" s="282">
        <f>ROUND(AI65,0)</f>
        <v>0</v>
      </c>
      <c r="I765" s="282">
        <f>ROUND(AI66,0)</f>
        <v>0</v>
      </c>
      <c r="J765" s="282">
        <f>ROUND(AI67,0)</f>
        <v>33473</v>
      </c>
      <c r="K765" s="282">
        <f>ROUND(AI68,0)</f>
        <v>0</v>
      </c>
      <c r="L765" s="282">
        <f>ROUND(AI70,0)</f>
        <v>0</v>
      </c>
      <c r="M765" s="282">
        <f>ROUND(AI71,0)</f>
        <v>2631240</v>
      </c>
      <c r="N765" s="282">
        <f>ROUND(AI76,0)</f>
        <v>5194</v>
      </c>
      <c r="O765" s="282">
        <f>ROUND(AI74,0)</f>
        <v>2717081</v>
      </c>
      <c r="P765" s="282">
        <f>IF(AI77&gt;0,ROUND(AI77,0),0)</f>
        <v>0</v>
      </c>
      <c r="Q765" s="282">
        <f>IF(AI78&gt;0,ROUND(AI78,0),0)</f>
        <v>1274</v>
      </c>
      <c r="R765" s="282">
        <f>IF(AI79&gt;0,ROUND(AI79,0),0)</f>
        <v>61293</v>
      </c>
      <c r="S765" s="282">
        <f>IF(AI80&gt;0,ROUND(AI80,0),0)</f>
        <v>16</v>
      </c>
      <c r="T765" s="285">
        <f>IF(AI81&gt;0,ROUND(AI81,2),0)</f>
        <v>0</v>
      </c>
      <c r="U765" s="282"/>
      <c r="X765" s="282"/>
      <c r="Y765" s="282"/>
      <c r="Z765" s="282">
        <f t="shared" si="21"/>
        <v>1915</v>
      </c>
    </row>
    <row r="766" spans="1:26" ht="12.65" customHeight="1" x14ac:dyDescent="0.3">
      <c r="A766" s="209" t="str">
        <f>RIGHT($C$84,3)&amp;"*"&amp;RIGHT($C$83,4)&amp;"*"&amp;AJ$55&amp;"*"&amp;"A"</f>
        <v>ter*38*7260*A</v>
      </c>
      <c r="B766" s="282">
        <f>ROUND(AJ59,0)</f>
        <v>150693</v>
      </c>
      <c r="C766" s="285">
        <f>ROUND(AJ60,2)</f>
        <v>265.55</v>
      </c>
      <c r="D766" s="282">
        <f>ROUND(AJ61,0)</f>
        <v>28091281</v>
      </c>
      <c r="E766" s="282">
        <f>ROUND(AJ62,0)</f>
        <v>7626828</v>
      </c>
      <c r="F766" s="282">
        <f>ROUND(AJ63,0)</f>
        <v>3392098</v>
      </c>
      <c r="G766" s="282">
        <f>ROUND(AJ64,0)</f>
        <v>2188000</v>
      </c>
      <c r="H766" s="282">
        <f>ROUND(AJ65,0)</f>
        <v>0</v>
      </c>
      <c r="I766" s="282">
        <f>ROUND(AJ66,0)</f>
        <v>191452</v>
      </c>
      <c r="J766" s="282">
        <f>ROUND(AJ67,0)</f>
        <v>465469</v>
      </c>
      <c r="K766" s="282">
        <f>ROUND(AJ68,0)</f>
        <v>1288538</v>
      </c>
      <c r="L766" s="282">
        <f>ROUND(AJ70,0)</f>
        <v>0</v>
      </c>
      <c r="M766" s="282">
        <f>ROUND(AJ71,0)</f>
        <v>43375458</v>
      </c>
      <c r="N766" s="282">
        <f>ROUND(AJ76,0)</f>
        <v>45671</v>
      </c>
      <c r="O766" s="282">
        <f>ROUND(AJ74,0)</f>
        <v>61471037</v>
      </c>
      <c r="P766" s="282">
        <f>IF(AJ77&gt;0,ROUND(AJ77,0),0)</f>
        <v>0</v>
      </c>
      <c r="Q766" s="282">
        <f>IF(AJ78&gt;0,ROUND(AJ78,0),0)</f>
        <v>7360</v>
      </c>
      <c r="R766" s="282">
        <f>IF(AJ79&gt;0,ROUND(AJ79,0),0)</f>
        <v>52522</v>
      </c>
      <c r="S766" s="282">
        <f>IF(AJ80&gt;0,ROUND(AJ80,0),0)</f>
        <v>43</v>
      </c>
      <c r="T766" s="285">
        <f>IF(AJ81&gt;0,ROUND(AJ81,2),0)</f>
        <v>0</v>
      </c>
      <c r="U766" s="282"/>
      <c r="X766" s="282"/>
      <c r="Y766" s="282"/>
      <c r="Z766" s="282">
        <f t="shared" si="21"/>
        <v>803007</v>
      </c>
    </row>
    <row r="767" spans="1:26" ht="12.65" customHeight="1" x14ac:dyDescent="0.3">
      <c r="A767" s="209" t="str">
        <f>RIGHT($C$84,3)&amp;"*"&amp;RIGHT($C$83,4)&amp;"*"&amp;AK$55&amp;"*"&amp;"A"</f>
        <v>ter*38*7310*A</v>
      </c>
      <c r="B767" s="282">
        <f>ROUND(AK59,0)</f>
        <v>0</v>
      </c>
      <c r="C767" s="285">
        <f>ROUND(AK60,2)</f>
        <v>0</v>
      </c>
      <c r="D767" s="282">
        <f>ROUND(AK61,0)</f>
        <v>0</v>
      </c>
      <c r="E767" s="282">
        <f>ROUND(AK62,0)</f>
        <v>0</v>
      </c>
      <c r="F767" s="282">
        <f>ROUND(AK63,0)</f>
        <v>0</v>
      </c>
      <c r="G767" s="282">
        <f>ROUND(AK64,0)</f>
        <v>0</v>
      </c>
      <c r="H767" s="282">
        <f>ROUND(AK65,0)</f>
        <v>0</v>
      </c>
      <c r="I767" s="282">
        <f>ROUND(AK66,0)</f>
        <v>0</v>
      </c>
      <c r="J767" s="282">
        <f>ROUND(AK67,0)</f>
        <v>0</v>
      </c>
      <c r="K767" s="282">
        <f>ROUND(AK68,0)</f>
        <v>0</v>
      </c>
      <c r="L767" s="282">
        <f>ROUND(AK70,0)</f>
        <v>0</v>
      </c>
      <c r="M767" s="282">
        <f>ROUND(AK71,0)</f>
        <v>0</v>
      </c>
      <c r="N767" s="282">
        <f>ROUND(AK76,0)</f>
        <v>0</v>
      </c>
      <c r="O767" s="282">
        <f>ROUND(AK74,0)</f>
        <v>817367</v>
      </c>
      <c r="P767" s="282">
        <f>IF(AK77&gt;0,ROUND(AK77,0),0)</f>
        <v>0</v>
      </c>
      <c r="Q767" s="282">
        <f>IF(AK78&gt;0,ROUND(AK78,0),0)</f>
        <v>0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>
        <f t="shared" si="21"/>
        <v>10258874</v>
      </c>
    </row>
    <row r="768" spans="1:26" ht="12.65" customHeight="1" x14ac:dyDescent="0.3">
      <c r="A768" s="209" t="str">
        <f>RIGHT($C$84,3)&amp;"*"&amp;RIGHT($C$83,4)&amp;"*"&amp;AL$55&amp;"*"&amp;"A"</f>
        <v>ter*38*7320*A</v>
      </c>
      <c r="B768" s="282">
        <f>ROUND(AL59,0)</f>
        <v>0</v>
      </c>
      <c r="C768" s="285">
        <f>ROUND(AL60,2)</f>
        <v>0</v>
      </c>
      <c r="D768" s="282">
        <f>ROUND(AL61,0)</f>
        <v>0</v>
      </c>
      <c r="E768" s="282">
        <f>ROUND(AL62,0)</f>
        <v>0</v>
      </c>
      <c r="F768" s="282">
        <f>ROUND(AL63,0)</f>
        <v>0</v>
      </c>
      <c r="G768" s="282">
        <f>ROUND(AL64,0)</f>
        <v>0</v>
      </c>
      <c r="H768" s="282">
        <f>ROUND(AL65,0)</f>
        <v>0</v>
      </c>
      <c r="I768" s="282">
        <f>ROUND(AL66,0)</f>
        <v>0</v>
      </c>
      <c r="J768" s="282">
        <f>ROUND(AL67,0)</f>
        <v>0</v>
      </c>
      <c r="K768" s="282">
        <f>ROUND(AL68,0)</f>
        <v>0</v>
      </c>
      <c r="L768" s="282">
        <f>ROUND(AL70,0)</f>
        <v>0</v>
      </c>
      <c r="M768" s="282">
        <f>ROUND(AL71,0)</f>
        <v>24</v>
      </c>
      <c r="N768" s="282">
        <f>ROUND(AL76,0)</f>
        <v>0</v>
      </c>
      <c r="O768" s="282">
        <f>ROUND(AL74,0)</f>
        <v>601714</v>
      </c>
      <c r="P768" s="282">
        <f>IF(AL77&gt;0,ROUND(AL77,0),0)</f>
        <v>0</v>
      </c>
      <c r="Q768" s="282">
        <f>IF(AL78&gt;0,ROUND(AL78,0),0)</f>
        <v>0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>
        <f t="shared" si="21"/>
        <v>51393</v>
      </c>
    </row>
    <row r="769" spans="1:26" ht="12.65" customHeight="1" x14ac:dyDescent="0.3">
      <c r="A769" s="209" t="str">
        <f>RIGHT($C$84,3)&amp;"*"&amp;RIGHT($C$83,4)&amp;"*"&amp;AM$55&amp;"*"&amp;"A"</f>
        <v>ter*38*7330*A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>
        <f t="shared" si="21"/>
        <v>37869</v>
      </c>
    </row>
    <row r="770" spans="1:26" ht="12.65" customHeight="1" x14ac:dyDescent="0.3">
      <c r="A770" s="209" t="str">
        <f>RIGHT($C$84,3)&amp;"*"&amp;RIGHT($C$83,4)&amp;"*"&amp;AN$55&amp;"*"&amp;"A"</f>
        <v>ter*38*7340*A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>
        <f t="shared" si="21"/>
        <v>0</v>
      </c>
    </row>
    <row r="771" spans="1:26" ht="12.65" customHeight="1" x14ac:dyDescent="0.3">
      <c r="A771" s="209" t="str">
        <f>RIGHT($C$84,3)&amp;"*"&amp;RIGHT($C$83,4)&amp;"*"&amp;AO$55&amp;"*"&amp;"A"</f>
        <v>ter*38*7350*A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>
        <f t="shared" si="21"/>
        <v>0</v>
      </c>
    </row>
    <row r="772" spans="1:26" ht="12.65" customHeight="1" x14ac:dyDescent="0.3">
      <c r="A772" s="209" t="str">
        <f>RIGHT($C$84,3)&amp;"*"&amp;RIGHT($C$83,4)&amp;"*"&amp;AP$55&amp;"*"&amp;"A"</f>
        <v>ter*38*7380*A</v>
      </c>
      <c r="B772" s="282">
        <f>ROUND(AP59,0)</f>
        <v>0</v>
      </c>
      <c r="C772" s="285">
        <f>ROUND(AP60,2)</f>
        <v>0</v>
      </c>
      <c r="D772" s="282">
        <f>ROUND(AP61,0)</f>
        <v>0</v>
      </c>
      <c r="E772" s="282">
        <f>ROUND(AP62,0)</f>
        <v>0</v>
      </c>
      <c r="F772" s="282">
        <f>ROUND(AP63,0)</f>
        <v>0</v>
      </c>
      <c r="G772" s="282">
        <f>ROUND(AP64,0)</f>
        <v>0</v>
      </c>
      <c r="H772" s="282">
        <f>ROUND(AP65,0)</f>
        <v>0</v>
      </c>
      <c r="I772" s="282">
        <f>ROUND(AP66,0)</f>
        <v>0</v>
      </c>
      <c r="J772" s="282">
        <f>ROUND(AP67,0)</f>
        <v>0</v>
      </c>
      <c r="K772" s="282">
        <f>ROUND(AP68,0)</f>
        <v>0</v>
      </c>
      <c r="L772" s="282">
        <f>ROUND(AP70,0)</f>
        <v>0</v>
      </c>
      <c r="M772" s="282">
        <f>ROUND(AP71,0)</f>
        <v>350</v>
      </c>
      <c r="N772" s="282">
        <f>ROUND(AP76,0)</f>
        <v>0</v>
      </c>
      <c r="O772" s="282">
        <f>ROUND(AP74,0)</f>
        <v>0</v>
      </c>
      <c r="P772" s="282">
        <f>IF(AP77&gt;0,ROUND(AP77,0),0)</f>
        <v>0</v>
      </c>
      <c r="Q772" s="282">
        <f>IF(AP78&gt;0,ROUND(AP78,0),0)</f>
        <v>0</v>
      </c>
      <c r="R772" s="282">
        <f>IF(AP79&gt;0,ROUND(AP79,0),0)</f>
        <v>0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>
        <f t="shared" si="21"/>
        <v>0</v>
      </c>
    </row>
    <row r="773" spans="1:26" ht="12.65" customHeight="1" x14ac:dyDescent="0.3">
      <c r="A773" s="209" t="str">
        <f>RIGHT($C$84,3)&amp;"*"&amp;RIGHT($C$83,4)&amp;"*"&amp;AQ$55&amp;"*"&amp;"A"</f>
        <v>ter*38*7390*A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>
        <f t="shared" si="21"/>
        <v>34</v>
      </c>
    </row>
    <row r="774" spans="1:26" ht="12.65" customHeight="1" x14ac:dyDescent="0.3">
      <c r="A774" s="209" t="str">
        <f>RIGHT($C$84,3)&amp;"*"&amp;RIGHT($C$83,4)&amp;"*"&amp;AR$55&amp;"*"&amp;"A"</f>
        <v>ter*38*7400*A</v>
      </c>
      <c r="B774" s="282">
        <f>ROUND(AR59,0)</f>
        <v>49402</v>
      </c>
      <c r="C774" s="285">
        <f>ROUND(AR60,2)</f>
        <v>68.260000000000005</v>
      </c>
      <c r="D774" s="282">
        <f>ROUND(AR61,0)</f>
        <v>5508224</v>
      </c>
      <c r="E774" s="282">
        <f>ROUND(AR62,0)</f>
        <v>1495492</v>
      </c>
      <c r="F774" s="282">
        <f>ROUND(AR63,0)</f>
        <v>0</v>
      </c>
      <c r="G774" s="282">
        <f>ROUND(AR64,0)</f>
        <v>195051</v>
      </c>
      <c r="H774" s="282">
        <f>ROUND(AR65,0)</f>
        <v>25490</v>
      </c>
      <c r="I774" s="282">
        <f>ROUND(AR66,0)</f>
        <v>445068</v>
      </c>
      <c r="J774" s="282">
        <f>ROUND(AR67,0)</f>
        <v>3809</v>
      </c>
      <c r="K774" s="282">
        <f>ROUND(AR68,0)</f>
        <v>90141</v>
      </c>
      <c r="L774" s="282">
        <f>ROUND(AR70,0)</f>
        <v>0</v>
      </c>
      <c r="M774" s="282">
        <f>ROUND(AR71,0)</f>
        <v>7996672</v>
      </c>
      <c r="N774" s="282">
        <f>ROUND(AR76,0)</f>
        <v>4732</v>
      </c>
      <c r="O774" s="282">
        <f>ROUND(AR74,0)</f>
        <v>8848835</v>
      </c>
      <c r="P774" s="282">
        <f>IF(AR77&gt;0,ROUND(AR77,0),0)</f>
        <v>0</v>
      </c>
      <c r="Q774" s="282">
        <f>IF(AR78&gt;0,ROUND(AR78,0),0)</f>
        <v>693</v>
      </c>
      <c r="R774" s="282">
        <f>IF(AR79&gt;0,ROUND(AR79,0),0)</f>
        <v>0</v>
      </c>
      <c r="S774" s="282">
        <f>IF(AR80&gt;0,ROUND(AR80,0),0)</f>
        <v>24</v>
      </c>
      <c r="T774" s="285">
        <f>IF(AR81&gt;0,ROUND(AR81,2),0)</f>
        <v>0</v>
      </c>
      <c r="U774" s="282"/>
      <c r="X774" s="282"/>
      <c r="Y774" s="282"/>
      <c r="Z774" s="282">
        <f t="shared" si="21"/>
        <v>0</v>
      </c>
    </row>
    <row r="775" spans="1:26" ht="12.65" customHeight="1" x14ac:dyDescent="0.3">
      <c r="A775" s="209" t="str">
        <f>RIGHT($C$84,3)&amp;"*"&amp;RIGHT($C$83,4)&amp;"*"&amp;AS$55&amp;"*"&amp;"A"</f>
        <v>ter*38*7410*A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>
        <f t="shared" si="21"/>
        <v>1869257</v>
      </c>
    </row>
    <row r="776" spans="1:26" ht="12.65" customHeight="1" x14ac:dyDescent="0.3">
      <c r="A776" s="209" t="str">
        <f>RIGHT($C$84,3)&amp;"*"&amp;RIGHT($C$83,4)&amp;"*"&amp;AT$55&amp;"*"&amp;"A"</f>
        <v>ter*38*7420*A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>
        <f t="shared" si="21"/>
        <v>0</v>
      </c>
    </row>
    <row r="777" spans="1:26" ht="12.65" customHeight="1" x14ac:dyDescent="0.3">
      <c r="A777" s="209" t="str">
        <f>RIGHT($C$84,3)&amp;"*"&amp;RIGHT($C$83,4)&amp;"*"&amp;AU$55&amp;"*"&amp;"A"</f>
        <v>ter*38*7430*A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>
        <f t="shared" si="21"/>
        <v>0</v>
      </c>
    </row>
    <row r="778" spans="1:26" ht="12.65" customHeight="1" x14ac:dyDescent="0.3">
      <c r="A778" s="209" t="str">
        <f>RIGHT($C$84,3)&amp;"*"&amp;RIGHT($C$83,4)&amp;"*"&amp;AV$55&amp;"*"&amp;"A"</f>
        <v>ter*38*7490*A</v>
      </c>
      <c r="B778" s="282"/>
      <c r="C778" s="285">
        <f>ROUND(AV60,2)</f>
        <v>18.03</v>
      </c>
      <c r="D778" s="282">
        <f>ROUND(AV61,0)</f>
        <v>3503463</v>
      </c>
      <c r="E778" s="282">
        <f>ROUND(AV62,0)</f>
        <v>951196</v>
      </c>
      <c r="F778" s="282">
        <f>ROUND(AV63,0)</f>
        <v>324207</v>
      </c>
      <c r="G778" s="282">
        <f>ROUND(AV64,0)</f>
        <v>11243</v>
      </c>
      <c r="H778" s="282">
        <f>ROUND(AV65,0)</f>
        <v>1080</v>
      </c>
      <c r="I778" s="282">
        <f>ROUND(AV66,0)</f>
        <v>78</v>
      </c>
      <c r="J778" s="282">
        <f>ROUND(AV67,0)</f>
        <v>1028</v>
      </c>
      <c r="K778" s="282">
        <f>ROUND(AV68,0)</f>
        <v>60281</v>
      </c>
      <c r="L778" s="282">
        <f>ROUND(AV70,0)</f>
        <v>0</v>
      </c>
      <c r="M778" s="282">
        <f>ROUND(AV71,0)</f>
        <v>4858378</v>
      </c>
      <c r="N778" s="282">
        <f>ROUND(AV76,0)</f>
        <v>2418</v>
      </c>
      <c r="O778" s="282">
        <f>ROUND(AV74,0)</f>
        <v>380097</v>
      </c>
      <c r="P778" s="282">
        <f>IF(AV77&gt;0,ROUND(AV77,0),0)</f>
        <v>0</v>
      </c>
      <c r="Q778" s="282">
        <f>IF(AV78&gt;0,ROUND(AV78,0),0)</f>
        <v>274</v>
      </c>
      <c r="R778" s="282">
        <f>IF(AV79&gt;0,ROUND(AV79,0),0)</f>
        <v>5318</v>
      </c>
      <c r="S778" s="282">
        <f>IF(AV80&gt;0,ROUND(AV80,0),0)</f>
        <v>2</v>
      </c>
      <c r="T778" s="285">
        <f>IF(AV81&gt;0,ROUND(AV81,2),0)</f>
        <v>0</v>
      </c>
      <c r="U778" s="282"/>
      <c r="X778" s="282"/>
      <c r="Y778" s="282"/>
      <c r="Z778" s="282">
        <f t="shared" si="21"/>
        <v>0</v>
      </c>
    </row>
    <row r="779" spans="1:26" ht="12.65" customHeight="1" x14ac:dyDescent="0.3">
      <c r="A779" s="209" t="str">
        <f>RIGHT($C$84,3)&amp;"*"&amp;RIGHT($C$83,4)&amp;"*"&amp;AW$55&amp;"*"&amp;"A"</f>
        <v>ter*38*8200*A</v>
      </c>
      <c r="B779" s="282"/>
      <c r="C779" s="285">
        <f>ROUND(AW60,2)</f>
        <v>0</v>
      </c>
      <c r="D779" s="282">
        <f>ROUND(AW61,0)</f>
        <v>0</v>
      </c>
      <c r="E779" s="282">
        <f>ROUND(AW62,0)</f>
        <v>0</v>
      </c>
      <c r="F779" s="282">
        <f>ROUND(AW63,0)</f>
        <v>0</v>
      </c>
      <c r="G779" s="282">
        <f>ROUND(AW64,0)</f>
        <v>0</v>
      </c>
      <c r="H779" s="282">
        <f>ROUND(AW65,0)</f>
        <v>0</v>
      </c>
      <c r="I779" s="282">
        <f>ROUND(AW66,0)</f>
        <v>0</v>
      </c>
      <c r="J779" s="282">
        <f>ROUND(AW67,0)</f>
        <v>0</v>
      </c>
      <c r="K779" s="282">
        <f>ROUND(AW68,0)</f>
        <v>0</v>
      </c>
      <c r="L779" s="282">
        <f>ROUND(AW70,0)</f>
        <v>0</v>
      </c>
      <c r="M779" s="282">
        <f>ROUND(AW71,0)</f>
        <v>0</v>
      </c>
      <c r="N779" s="282"/>
      <c r="O779" s="282"/>
      <c r="P779" s="282">
        <f>IF(AW77&gt;0,ROUND(AW77,0),0)</f>
        <v>0</v>
      </c>
      <c r="Q779" s="282">
        <f>IF(AW78&gt;0,ROUND(AW78,0),0)</f>
        <v>0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">
      <c r="A780" s="209" t="str">
        <f>RIGHT($C$84,3)&amp;"*"&amp;RIGHT($C$83,4)&amp;"*"&amp;AX$55&amp;"*"&amp;"A"</f>
        <v>ter*38*8310*A</v>
      </c>
      <c r="B780" s="282"/>
      <c r="C780" s="285">
        <f>ROUND(AX60,2)</f>
        <v>1</v>
      </c>
      <c r="D780" s="282">
        <f>ROUND(AX61,0)</f>
        <v>52038</v>
      </c>
      <c r="E780" s="282">
        <f>ROUND(AX62,0)</f>
        <v>14128</v>
      </c>
      <c r="F780" s="282">
        <f>ROUND(AX63,0)</f>
        <v>0</v>
      </c>
      <c r="G780" s="282">
        <f>ROUND(AX64,0)</f>
        <v>52375</v>
      </c>
      <c r="H780" s="282">
        <f>ROUND(AX65,0)</f>
        <v>0</v>
      </c>
      <c r="I780" s="282">
        <f>ROUND(AX66,0)</f>
        <v>0</v>
      </c>
      <c r="J780" s="282">
        <f>ROUND(AX67,0)</f>
        <v>10316</v>
      </c>
      <c r="K780" s="282">
        <f>ROUND(AX68,0)</f>
        <v>141</v>
      </c>
      <c r="L780" s="282">
        <f>ROUND(AX70,0)</f>
        <v>0</v>
      </c>
      <c r="M780" s="282">
        <f>ROUND(AX71,0)</f>
        <v>129242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">
      <c r="A781" s="209" t="str">
        <f>RIGHT($C$84,3)&amp;"*"&amp;RIGHT($C$83,4)&amp;"*"&amp;AY$55&amp;"*"&amp;"A"</f>
        <v>ter*38*8320*A</v>
      </c>
      <c r="B781" s="282">
        <f>ROUND(AY59,0)</f>
        <v>46107</v>
      </c>
      <c r="C781" s="285">
        <f>ROUND(AY60,2)</f>
        <v>37.58</v>
      </c>
      <c r="D781" s="282">
        <f>ROUND(AY61,0)</f>
        <v>1472427</v>
      </c>
      <c r="E781" s="282">
        <f>ROUND(AY62,0)</f>
        <v>399766</v>
      </c>
      <c r="F781" s="282">
        <f>ROUND(AY63,0)</f>
        <v>0</v>
      </c>
      <c r="G781" s="282">
        <f>ROUND(AY64,0)</f>
        <v>757435</v>
      </c>
      <c r="H781" s="282">
        <f>ROUND(AY65,0)</f>
        <v>0</v>
      </c>
      <c r="I781" s="282">
        <f>ROUND(AY66,0)</f>
        <v>1628</v>
      </c>
      <c r="J781" s="282">
        <f>ROUND(AY67,0)</f>
        <v>27146</v>
      </c>
      <c r="K781" s="282">
        <f>ROUND(AY68,0)</f>
        <v>0</v>
      </c>
      <c r="L781" s="282">
        <f>ROUND(AY70,0)</f>
        <v>0</v>
      </c>
      <c r="M781" s="282">
        <f>ROUND(AY71,0)</f>
        <v>2700137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">
      <c r="A782" s="209" t="str">
        <f>RIGHT($C$84,3)&amp;"*"&amp;RIGHT($C$83,4)&amp;"*"&amp;AZ$55&amp;"*"&amp;"A"</f>
        <v>ter*38*8330*A</v>
      </c>
      <c r="B782" s="282">
        <f>ROUND(AZ59,0)</f>
        <v>0</v>
      </c>
      <c r="C782" s="285">
        <f>ROUND(AZ60,2)</f>
        <v>3.96</v>
      </c>
      <c r="D782" s="282">
        <f>ROUND(AZ61,0)</f>
        <v>236202</v>
      </c>
      <c r="E782" s="282">
        <f>ROUND(AZ62,0)</f>
        <v>64129</v>
      </c>
      <c r="F782" s="282">
        <f>ROUND(AZ63,0)</f>
        <v>0</v>
      </c>
      <c r="G782" s="282">
        <f>ROUND(AZ64,0)</f>
        <v>2173</v>
      </c>
      <c r="H782" s="282">
        <f>ROUND(AZ65,0)</f>
        <v>0</v>
      </c>
      <c r="I782" s="282">
        <f>ROUND(AZ66,0)</f>
        <v>0</v>
      </c>
      <c r="J782" s="282">
        <f>ROUND(AZ67,0)</f>
        <v>3547</v>
      </c>
      <c r="K782" s="282">
        <f>ROUND(AZ68,0)</f>
        <v>0</v>
      </c>
      <c r="L782" s="282">
        <f>ROUND(AZ70,0)</f>
        <v>0</v>
      </c>
      <c r="M782" s="282">
        <f>ROUND(AZ71,0)</f>
        <v>319415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">
      <c r="A783" s="209" t="str">
        <f>RIGHT($C$84,3)&amp;"*"&amp;RIGHT($C$83,4)&amp;"*"&amp;BA$55&amp;"*"&amp;"A"</f>
        <v>ter*38*8350*A</v>
      </c>
      <c r="B783" s="282">
        <f>ROUND(BA59,0)</f>
        <v>0</v>
      </c>
      <c r="C783" s="285">
        <f>ROUND(BA60,2)</f>
        <v>8.44</v>
      </c>
      <c r="D783" s="282">
        <f>ROUND(BA61,0)</f>
        <v>325542</v>
      </c>
      <c r="E783" s="282">
        <f>ROUND(BA62,0)</f>
        <v>88385</v>
      </c>
      <c r="F783" s="282">
        <f>ROUND(BA63,0)</f>
        <v>0</v>
      </c>
      <c r="G783" s="282">
        <f>ROUND(BA64,0)</f>
        <v>203221</v>
      </c>
      <c r="H783" s="282">
        <f>ROUND(BA65,0)</f>
        <v>0</v>
      </c>
      <c r="I783" s="282">
        <f>ROUND(BA66,0)</f>
        <v>0</v>
      </c>
      <c r="J783" s="282">
        <f>ROUND(BA67,0)</f>
        <v>25145</v>
      </c>
      <c r="K783" s="282">
        <f>ROUND(BA68,0)</f>
        <v>141</v>
      </c>
      <c r="L783" s="282">
        <f>ROUND(BA70,0)</f>
        <v>0</v>
      </c>
      <c r="M783" s="282">
        <f>ROUND(BA71,0)</f>
        <v>643051</v>
      </c>
      <c r="N783" s="282"/>
      <c r="O783" s="282"/>
      <c r="P783" s="282">
        <f>IF(BA77&gt;0,ROUND(BA77,0),0)</f>
        <v>0</v>
      </c>
      <c r="Q783" s="282">
        <f>IF(BA78&gt;0,ROUND(BA78,0),0)</f>
        <v>777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">
      <c r="A784" s="209" t="str">
        <f>RIGHT($C$84,3)&amp;"*"&amp;RIGHT($C$83,4)&amp;"*"&amp;BB$55&amp;"*"&amp;"A"</f>
        <v>ter*38*8360*A</v>
      </c>
      <c r="B784" s="282"/>
      <c r="C784" s="285">
        <f>ROUND(BB60,2)</f>
        <v>14.31</v>
      </c>
      <c r="D784" s="282">
        <f>ROUND(BB61,0)</f>
        <v>1223438</v>
      </c>
      <c r="E784" s="282">
        <f>ROUND(BB62,0)</f>
        <v>332165</v>
      </c>
      <c r="F784" s="282">
        <f>ROUND(BB63,0)</f>
        <v>2250</v>
      </c>
      <c r="G784" s="282">
        <f>ROUND(BB64,0)</f>
        <v>3362</v>
      </c>
      <c r="H784" s="282">
        <f>ROUND(BB65,0)</f>
        <v>0</v>
      </c>
      <c r="I784" s="282">
        <f>ROUND(BB66,0)</f>
        <v>282229</v>
      </c>
      <c r="J784" s="282">
        <f>ROUND(BB67,0)</f>
        <v>675</v>
      </c>
      <c r="K784" s="282">
        <f>ROUND(BB68,0)</f>
        <v>0</v>
      </c>
      <c r="L784" s="282">
        <f>ROUND(BB70,0)</f>
        <v>0</v>
      </c>
      <c r="M784" s="282">
        <f>ROUND(BB71,0)</f>
        <v>1861503</v>
      </c>
      <c r="N784" s="282"/>
      <c r="O784" s="282"/>
      <c r="P784" s="282">
        <f>IF(BB77&gt;0,ROUND(BB77,0),0)</f>
        <v>0</v>
      </c>
      <c r="Q784" s="282">
        <f>IF(BB78&gt;0,ROUND(BB78,0),0)</f>
        <v>184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">
      <c r="A785" s="209" t="str">
        <f>RIGHT($C$84,3)&amp;"*"&amp;RIGHT($C$83,4)&amp;"*"&amp;BC$55&amp;"*"&amp;"A"</f>
        <v>ter*38*8370*A</v>
      </c>
      <c r="B785" s="282"/>
      <c r="C785" s="285">
        <f>ROUND(BC60,2)</f>
        <v>0</v>
      </c>
      <c r="D785" s="282">
        <f>ROUND(BC61,0)</f>
        <v>0</v>
      </c>
      <c r="E785" s="282">
        <f>ROUND(BC62,0)</f>
        <v>0</v>
      </c>
      <c r="F785" s="282">
        <f>ROUND(BC63,0)</f>
        <v>0</v>
      </c>
      <c r="G785" s="282">
        <f>ROUND(BC64,0)</f>
        <v>0</v>
      </c>
      <c r="H785" s="282">
        <f>ROUND(BC65,0)</f>
        <v>0</v>
      </c>
      <c r="I785" s="282">
        <f>ROUND(BC66,0)</f>
        <v>0</v>
      </c>
      <c r="J785" s="282">
        <f>ROUND(BC67,0)</f>
        <v>0</v>
      </c>
      <c r="K785" s="282">
        <f>ROUND(BC68,0)</f>
        <v>0</v>
      </c>
      <c r="L785" s="282">
        <f>ROUND(BC70,0)</f>
        <v>0</v>
      </c>
      <c r="M785" s="282">
        <f>ROUND(BC71,0)</f>
        <v>0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">
      <c r="A786" s="209" t="str">
        <f>RIGHT($C$84,3)&amp;"*"&amp;RIGHT($C$83,4)&amp;"*"&amp;BD$55&amp;"*"&amp;"A"</f>
        <v>ter*38*8420*A</v>
      </c>
      <c r="B786" s="282"/>
      <c r="C786" s="285">
        <f>ROUND(BD60,2)</f>
        <v>16.89</v>
      </c>
      <c r="D786" s="282">
        <f>ROUND(BD61,0)</f>
        <v>871818</v>
      </c>
      <c r="E786" s="282">
        <f>ROUND(BD62,0)</f>
        <v>236700</v>
      </c>
      <c r="F786" s="282">
        <f>ROUND(BD63,0)</f>
        <v>33764</v>
      </c>
      <c r="G786" s="282">
        <f>ROUND(BD64,0)</f>
        <v>123896</v>
      </c>
      <c r="H786" s="282">
        <f>ROUND(BD65,0)</f>
        <v>0</v>
      </c>
      <c r="I786" s="282">
        <f>ROUND(BD66,0)</f>
        <v>40954</v>
      </c>
      <c r="J786" s="282">
        <f>ROUND(BD67,0)</f>
        <v>9967</v>
      </c>
      <c r="K786" s="282">
        <f>ROUND(BD68,0)</f>
        <v>2597</v>
      </c>
      <c r="L786" s="282">
        <f>ROUND(BD70,0)</f>
        <v>0</v>
      </c>
      <c r="M786" s="282">
        <f>ROUND(BD71,0)</f>
        <v>1622870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">
      <c r="A787" s="209" t="str">
        <f>RIGHT($C$84,3)&amp;"*"&amp;RIGHT($C$83,4)&amp;"*"&amp;BE$55&amp;"*"&amp;"A"</f>
        <v>ter*38*8430*A</v>
      </c>
      <c r="B787" s="282">
        <f>ROUND(BE59,0)</f>
        <v>423859</v>
      </c>
      <c r="C787" s="285">
        <f>ROUND(BE60,2)</f>
        <v>20.7</v>
      </c>
      <c r="D787" s="282">
        <f>ROUND(BE61,0)</f>
        <v>1011124</v>
      </c>
      <c r="E787" s="282">
        <f>ROUND(BE62,0)</f>
        <v>274522</v>
      </c>
      <c r="F787" s="282">
        <f>ROUND(BE63,0)</f>
        <v>82554</v>
      </c>
      <c r="G787" s="282">
        <f>ROUND(BE64,0)</f>
        <v>147413</v>
      </c>
      <c r="H787" s="282">
        <f>ROUND(BE65,0)</f>
        <v>1736937</v>
      </c>
      <c r="I787" s="282">
        <f>ROUND(BE66,0)</f>
        <v>206199</v>
      </c>
      <c r="J787" s="282">
        <f>ROUND(BE67,0)</f>
        <v>92404</v>
      </c>
      <c r="K787" s="282">
        <f>ROUND(BE68,0)</f>
        <v>141</v>
      </c>
      <c r="L787" s="282">
        <f>ROUND(BE70,0)</f>
        <v>0</v>
      </c>
      <c r="M787" s="282">
        <f>ROUND(BE71,0)</f>
        <v>4066257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">
      <c r="A788" s="209" t="str">
        <f>RIGHT($C$84,3)&amp;"*"&amp;RIGHT($C$83,4)&amp;"*"&amp;BF$55&amp;"*"&amp;"A"</f>
        <v>ter*38*8460*A</v>
      </c>
      <c r="B788" s="282"/>
      <c r="C788" s="285">
        <f>ROUND(BF60,2)</f>
        <v>40.98</v>
      </c>
      <c r="D788" s="282">
        <f>ROUND(BF61,0)</f>
        <v>1596557</v>
      </c>
      <c r="E788" s="282">
        <f>ROUND(BF62,0)</f>
        <v>433468</v>
      </c>
      <c r="F788" s="282">
        <f>ROUND(BF63,0)</f>
        <v>0</v>
      </c>
      <c r="G788" s="282">
        <f>ROUND(BF64,0)</f>
        <v>365778</v>
      </c>
      <c r="H788" s="282">
        <f>ROUND(BF65,0)</f>
        <v>0</v>
      </c>
      <c r="I788" s="282">
        <f>ROUND(BF66,0)</f>
        <v>16202</v>
      </c>
      <c r="J788" s="282">
        <f>ROUND(BF67,0)</f>
        <v>4409</v>
      </c>
      <c r="K788" s="282">
        <f>ROUND(BF68,0)</f>
        <v>141</v>
      </c>
      <c r="L788" s="282">
        <f>ROUND(BF70,0)</f>
        <v>0</v>
      </c>
      <c r="M788" s="282">
        <f>ROUND(BF71,0)</f>
        <v>2420737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">
      <c r="A789" s="209" t="str">
        <f>RIGHT($C$84,3)&amp;"*"&amp;RIGHT($C$83,4)&amp;"*"&amp;BG$55&amp;"*"&amp;"A"</f>
        <v>ter*38*8470*A</v>
      </c>
      <c r="B789" s="282"/>
      <c r="C789" s="285">
        <f>ROUND(BG60,2)</f>
        <v>0</v>
      </c>
      <c r="D789" s="282">
        <f>ROUND(BG61,0)</f>
        <v>0</v>
      </c>
      <c r="E789" s="282">
        <f>ROUND(BG62,0)</f>
        <v>0</v>
      </c>
      <c r="F789" s="282">
        <f>ROUND(BG63,0)</f>
        <v>0</v>
      </c>
      <c r="G789" s="282">
        <f>ROUND(BG64,0)</f>
        <v>0</v>
      </c>
      <c r="H789" s="282">
        <f>ROUND(BG65,0)</f>
        <v>0</v>
      </c>
      <c r="I789" s="282">
        <f>ROUND(BG66,0)</f>
        <v>0</v>
      </c>
      <c r="J789" s="282">
        <f>ROUND(BG67,0)</f>
        <v>0</v>
      </c>
      <c r="K789" s="282">
        <f>ROUND(BG68,0)</f>
        <v>0</v>
      </c>
      <c r="L789" s="282">
        <f>ROUND(BG70,0)</f>
        <v>0</v>
      </c>
      <c r="M789" s="282">
        <f>ROUND(BG71,0)</f>
        <v>0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">
      <c r="A790" s="209" t="str">
        <f>RIGHT($C$84,3)&amp;"*"&amp;RIGHT($C$83,4)&amp;"*"&amp;BH$55&amp;"*"&amp;"A"</f>
        <v>ter*38*8480*A</v>
      </c>
      <c r="B790" s="282"/>
      <c r="C790" s="285">
        <f>ROUND(BH60,2)</f>
        <v>28.79</v>
      </c>
      <c r="D790" s="282">
        <f>ROUND(BH61,0)</f>
        <v>2346244</v>
      </c>
      <c r="E790" s="282">
        <f>ROUND(BH62,0)</f>
        <v>637009</v>
      </c>
      <c r="F790" s="282">
        <f>ROUND(BH63,0)</f>
        <v>100859</v>
      </c>
      <c r="G790" s="282">
        <f>ROUND(BH64,0)</f>
        <v>725531</v>
      </c>
      <c r="H790" s="282">
        <f>ROUND(BH65,0)</f>
        <v>688102</v>
      </c>
      <c r="I790" s="282">
        <f>ROUND(BH66,0)</f>
        <v>58505</v>
      </c>
      <c r="J790" s="282">
        <f>ROUND(BH67,0)</f>
        <v>1738711</v>
      </c>
      <c r="K790" s="282">
        <f>ROUND(BH68,0)</f>
        <v>487</v>
      </c>
      <c r="L790" s="282">
        <f>ROUND(BH70,0)</f>
        <v>0</v>
      </c>
      <c r="M790" s="282">
        <f>ROUND(BH71,0)</f>
        <v>9466335</v>
      </c>
      <c r="N790" s="282"/>
      <c r="O790" s="282"/>
      <c r="P790" s="282">
        <f>IF(BH77&gt;0,ROUND(BH77,0),0)</f>
        <v>0</v>
      </c>
      <c r="Q790" s="282">
        <f>IF(BH78&gt;0,ROUND(BH78,0),0)</f>
        <v>3362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">
      <c r="A791" s="209" t="str">
        <f>RIGHT($C$84,3)&amp;"*"&amp;RIGHT($C$83,4)&amp;"*"&amp;BI$55&amp;"*"&amp;"A"</f>
        <v>ter*38*8490*A</v>
      </c>
      <c r="B791" s="282"/>
      <c r="C791" s="285">
        <f>ROUND(BI60,2)</f>
        <v>17.28</v>
      </c>
      <c r="D791" s="282">
        <f>ROUND(BI61,0)</f>
        <v>771246</v>
      </c>
      <c r="E791" s="282">
        <f>ROUND(BI62,0)</f>
        <v>209394</v>
      </c>
      <c r="F791" s="282">
        <f>ROUND(BI63,0)</f>
        <v>0</v>
      </c>
      <c r="G791" s="282">
        <f>ROUND(BI64,0)</f>
        <v>26172</v>
      </c>
      <c r="H791" s="282">
        <f>ROUND(BI65,0)</f>
        <v>0</v>
      </c>
      <c r="I791" s="282">
        <f>ROUND(BI66,0)</f>
        <v>180943</v>
      </c>
      <c r="J791" s="282">
        <f>ROUND(BI67,0)</f>
        <v>19791</v>
      </c>
      <c r="K791" s="282">
        <f>ROUND(BI68,0)</f>
        <v>0</v>
      </c>
      <c r="L791" s="282">
        <f>ROUND(BI70,0)</f>
        <v>0</v>
      </c>
      <c r="M791" s="282">
        <f>ROUND(BI71,0)</f>
        <v>1248765</v>
      </c>
      <c r="N791" s="282"/>
      <c r="O791" s="282"/>
      <c r="P791" s="282">
        <f>IF(BI77&gt;0,ROUND(BI77,0),0)</f>
        <v>0</v>
      </c>
      <c r="Q791" s="282">
        <f>IF(BI78&gt;0,ROUND(BI78,0),0)</f>
        <v>46286</v>
      </c>
      <c r="R791" s="282">
        <f>IF(BI79&gt;0,ROUND(BI79,0),0)</f>
        <v>69515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">
      <c r="A792" s="209" t="str">
        <f>RIGHT($C$84,3)&amp;"*"&amp;RIGHT($C$83,4)&amp;"*"&amp;BJ$55&amp;"*"&amp;"A"</f>
        <v>ter*38*8510*A</v>
      </c>
      <c r="B792" s="282"/>
      <c r="C792" s="285">
        <f>ROUND(BJ60,2)</f>
        <v>15.38</v>
      </c>
      <c r="D792" s="282">
        <f>ROUND(BJ61,0)</f>
        <v>1065439</v>
      </c>
      <c r="E792" s="282">
        <f>ROUND(BJ62,0)</f>
        <v>289268</v>
      </c>
      <c r="F792" s="282">
        <f>ROUND(BJ63,0)</f>
        <v>199393</v>
      </c>
      <c r="G792" s="282">
        <f>ROUND(BJ64,0)</f>
        <v>16798</v>
      </c>
      <c r="H792" s="282">
        <f>ROUND(BJ65,0)</f>
        <v>0</v>
      </c>
      <c r="I792" s="282">
        <f>ROUND(BJ66,0)</f>
        <v>5928</v>
      </c>
      <c r="J792" s="282">
        <f>ROUND(BJ67,0)</f>
        <v>34192</v>
      </c>
      <c r="K792" s="282">
        <f>ROUND(BJ68,0)</f>
        <v>0</v>
      </c>
      <c r="L792" s="282">
        <f>ROUND(BJ70,0)</f>
        <v>0</v>
      </c>
      <c r="M792" s="282">
        <f>ROUND(BJ71,0)</f>
        <v>1791110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">
      <c r="A793" s="209" t="str">
        <f>RIGHT($C$84,3)&amp;"*"&amp;RIGHT($C$83,4)&amp;"*"&amp;BK$55&amp;"*"&amp;"A"</f>
        <v>ter*38*8530*A</v>
      </c>
      <c r="B793" s="282"/>
      <c r="C793" s="285">
        <f>ROUND(BK60,2)</f>
        <v>30.09</v>
      </c>
      <c r="D793" s="282">
        <f>ROUND(BK61,0)</f>
        <v>1523941</v>
      </c>
      <c r="E793" s="282">
        <f>ROUND(BK62,0)</f>
        <v>413752</v>
      </c>
      <c r="F793" s="282">
        <f>ROUND(BK63,0)</f>
        <v>0</v>
      </c>
      <c r="G793" s="282">
        <f>ROUND(BK64,0)</f>
        <v>16837</v>
      </c>
      <c r="H793" s="282">
        <f>ROUND(BK65,0)</f>
        <v>0</v>
      </c>
      <c r="I793" s="282">
        <f>ROUND(BK66,0)</f>
        <v>364504</v>
      </c>
      <c r="J793" s="282">
        <f>ROUND(BK67,0)</f>
        <v>1223</v>
      </c>
      <c r="K793" s="282">
        <f>ROUND(BK68,0)</f>
        <v>60534</v>
      </c>
      <c r="L793" s="282">
        <f>ROUND(BK70,0)</f>
        <v>0</v>
      </c>
      <c r="M793" s="282">
        <f>ROUND(BK71,0)</f>
        <v>2721300</v>
      </c>
      <c r="N793" s="282"/>
      <c r="O793" s="282"/>
      <c r="P793" s="282">
        <f>IF(BK77&gt;0,ROUND(BK77,0),0)</f>
        <v>0</v>
      </c>
      <c r="Q793" s="282">
        <f>IF(BK78&gt;0,ROUND(BK78,0),0)</f>
        <v>0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">
      <c r="A794" s="209" t="str">
        <f>RIGHT($C$84,3)&amp;"*"&amp;RIGHT($C$83,4)&amp;"*"&amp;BL$55&amp;"*"&amp;"A"</f>
        <v>ter*38*8560*A</v>
      </c>
      <c r="B794" s="282"/>
      <c r="C794" s="285">
        <f>ROUND(BL60,2)</f>
        <v>112.53</v>
      </c>
      <c r="D794" s="282">
        <f>ROUND(BL61,0)</f>
        <v>4332115</v>
      </c>
      <c r="E794" s="282">
        <f>ROUND(BL62,0)</f>
        <v>1176176</v>
      </c>
      <c r="F794" s="282">
        <f>ROUND(BL63,0)</f>
        <v>0</v>
      </c>
      <c r="G794" s="282">
        <f>ROUND(BL64,0)</f>
        <v>53089</v>
      </c>
      <c r="H794" s="282">
        <f>ROUND(BL65,0)</f>
        <v>0</v>
      </c>
      <c r="I794" s="282">
        <f>ROUND(BL66,0)</f>
        <v>32803</v>
      </c>
      <c r="J794" s="282">
        <f>ROUND(BL67,0)</f>
        <v>4339</v>
      </c>
      <c r="K794" s="282">
        <f>ROUND(BL68,0)</f>
        <v>98541</v>
      </c>
      <c r="L794" s="282">
        <f>ROUND(BL70,0)</f>
        <v>0</v>
      </c>
      <c r="M794" s="282">
        <f>ROUND(BL71,0)</f>
        <v>5723479</v>
      </c>
      <c r="N794" s="282"/>
      <c r="O794" s="282"/>
      <c r="P794" s="282">
        <f>IF(BL77&gt;0,ROUND(BL77,0),0)</f>
        <v>0</v>
      </c>
      <c r="Q794" s="282">
        <f>IF(BL78&gt;0,ROUND(BL78,0),0)</f>
        <v>1214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">
      <c r="A795" s="209" t="str">
        <f>RIGHT($C$84,3)&amp;"*"&amp;RIGHT($C$83,4)&amp;"*"&amp;BM$55&amp;"*"&amp;"A"</f>
        <v>ter*38*8590*A</v>
      </c>
      <c r="B795" s="282"/>
      <c r="C795" s="285">
        <f>ROUND(BM60,2)</f>
        <v>0</v>
      </c>
      <c r="D795" s="282">
        <f>ROUND(BM61,0)</f>
        <v>0</v>
      </c>
      <c r="E795" s="282">
        <f>ROUND(BM62,0)</f>
        <v>0</v>
      </c>
      <c r="F795" s="282">
        <f>ROUND(BM63,0)</f>
        <v>0</v>
      </c>
      <c r="G795" s="282">
        <f>ROUND(BM64,0)</f>
        <v>0</v>
      </c>
      <c r="H795" s="282">
        <f>ROUND(BM65,0)</f>
        <v>0</v>
      </c>
      <c r="I795" s="282">
        <f>ROUND(BM66,0)</f>
        <v>0</v>
      </c>
      <c r="J795" s="282">
        <f>ROUND(BM67,0)</f>
        <v>0</v>
      </c>
      <c r="K795" s="282">
        <f>ROUND(BM68,0)</f>
        <v>0</v>
      </c>
      <c r="L795" s="282">
        <f>ROUND(BM70,0)</f>
        <v>0</v>
      </c>
      <c r="M795" s="282">
        <f>ROUND(BM71,0)</f>
        <v>0</v>
      </c>
      <c r="N795" s="282"/>
      <c r="O795" s="282"/>
      <c r="P795" s="282">
        <f>IF(BM77&gt;0,ROUND(BM77,0),0)</f>
        <v>0</v>
      </c>
      <c r="Q795" s="282">
        <f>IF(BM78&gt;0,ROUND(BM78,0),0)</f>
        <v>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">
      <c r="A796" s="209" t="str">
        <f>RIGHT($C$84,3)&amp;"*"&amp;RIGHT($C$83,4)&amp;"*"&amp;BN$55&amp;"*"&amp;"A"</f>
        <v>ter*38*8610*A</v>
      </c>
      <c r="B796" s="282"/>
      <c r="C796" s="285">
        <f>ROUND(BN60,2)</f>
        <v>4.96</v>
      </c>
      <c r="D796" s="282">
        <f>ROUND(BN61,0)</f>
        <v>830490</v>
      </c>
      <c r="E796" s="282">
        <f>ROUND(BN62,0)</f>
        <v>225479</v>
      </c>
      <c r="F796" s="282">
        <f>ROUND(BN63,0)</f>
        <v>233449</v>
      </c>
      <c r="G796" s="282">
        <f>ROUND(BN64,0)</f>
        <v>19364</v>
      </c>
      <c r="H796" s="282">
        <f>ROUND(BN65,0)</f>
        <v>1135</v>
      </c>
      <c r="I796" s="282">
        <f>ROUND(BN66,0)</f>
        <v>114783</v>
      </c>
      <c r="J796" s="282">
        <f>ROUND(BN67,0)</f>
        <v>5922</v>
      </c>
      <c r="K796" s="282">
        <f>ROUND(BN68,0)</f>
        <v>4138</v>
      </c>
      <c r="L796" s="282">
        <f>ROUND(BN70,0)</f>
        <v>0</v>
      </c>
      <c r="M796" s="282">
        <f>ROUND(BN71,0)</f>
        <v>1763262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">
      <c r="A797" s="209" t="str">
        <f>RIGHT($C$84,3)&amp;"*"&amp;RIGHT($C$83,4)&amp;"*"&amp;BO$55&amp;"*"&amp;"A"</f>
        <v>ter*38*8620*A</v>
      </c>
      <c r="B797" s="282"/>
      <c r="C797" s="285">
        <f>ROUND(BO60,2)</f>
        <v>2.62</v>
      </c>
      <c r="D797" s="282">
        <f>ROUND(BO61,0)</f>
        <v>182203</v>
      </c>
      <c r="E797" s="282">
        <f>ROUND(BO62,0)</f>
        <v>49468</v>
      </c>
      <c r="F797" s="282">
        <f>ROUND(BO63,0)</f>
        <v>0</v>
      </c>
      <c r="G797" s="282">
        <f>ROUND(BO64,0)</f>
        <v>51604</v>
      </c>
      <c r="H797" s="282">
        <f>ROUND(BO65,0)</f>
        <v>0</v>
      </c>
      <c r="I797" s="282">
        <f>ROUND(BO66,0)</f>
        <v>0</v>
      </c>
      <c r="J797" s="282">
        <f>ROUND(BO67,0)</f>
        <v>0</v>
      </c>
      <c r="K797" s="282">
        <f>ROUND(BO68,0)</f>
        <v>0</v>
      </c>
      <c r="L797" s="282">
        <f>ROUND(BO70,0)</f>
        <v>0</v>
      </c>
      <c r="M797" s="282">
        <f>ROUND(BO71,0)</f>
        <v>413809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">
      <c r="A798" s="209" t="str">
        <f>RIGHT($C$84,3)&amp;"*"&amp;RIGHT($C$83,4)&amp;"*"&amp;BP$55&amp;"*"&amp;"A"</f>
        <v>ter*38*8630*A</v>
      </c>
      <c r="B798" s="282"/>
      <c r="C798" s="285">
        <f>ROUND(BP60,2)</f>
        <v>2.81</v>
      </c>
      <c r="D798" s="282">
        <f>ROUND(BP61,0)</f>
        <v>231167</v>
      </c>
      <c r="E798" s="282">
        <f>ROUND(BP62,0)</f>
        <v>62762</v>
      </c>
      <c r="F798" s="282">
        <f>ROUND(BP63,0)</f>
        <v>0</v>
      </c>
      <c r="G798" s="282">
        <f>ROUND(BP64,0)</f>
        <v>17236</v>
      </c>
      <c r="H798" s="282">
        <f>ROUND(BP65,0)</f>
        <v>0</v>
      </c>
      <c r="I798" s="282">
        <f>ROUND(BP66,0)</f>
        <v>21479</v>
      </c>
      <c r="J798" s="282">
        <f>ROUND(BP67,0)</f>
        <v>2707</v>
      </c>
      <c r="K798" s="282">
        <f>ROUND(BP68,0)</f>
        <v>141</v>
      </c>
      <c r="L798" s="282">
        <f>ROUND(BP70,0)</f>
        <v>0</v>
      </c>
      <c r="M798" s="282">
        <f>ROUND(BP71,0)</f>
        <v>609185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">
      <c r="A799" s="209" t="str">
        <f>RIGHT($C$84,3)&amp;"*"&amp;RIGHT($C$83,4)&amp;"*"&amp;BQ$55&amp;"*"&amp;"A"</f>
        <v>ter*38*8640*A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">
      <c r="A800" s="209" t="str">
        <f>RIGHT($C$84,3)&amp;"*"&amp;RIGHT($C$83,4)&amp;"*"&amp;BR$55&amp;"*"&amp;"A"</f>
        <v>ter*38*8650*A</v>
      </c>
      <c r="B800" s="282"/>
      <c r="C800" s="285">
        <f>ROUND(BR60,2)</f>
        <v>17.149999999999999</v>
      </c>
      <c r="D800" s="282">
        <f>ROUND(BR61,0)</f>
        <v>1364500</v>
      </c>
      <c r="E800" s="282">
        <f>ROUND(BR62,0)</f>
        <v>370464</v>
      </c>
      <c r="F800" s="282">
        <f>ROUND(BR63,0)</f>
        <v>183457</v>
      </c>
      <c r="G800" s="282">
        <f>ROUND(BR64,0)</f>
        <v>46562</v>
      </c>
      <c r="H800" s="282">
        <f>ROUND(BR65,0)</f>
        <v>0</v>
      </c>
      <c r="I800" s="282">
        <f>ROUND(BR66,0)</f>
        <v>59944</v>
      </c>
      <c r="J800" s="282">
        <f>ROUND(BR67,0)</f>
        <v>13661</v>
      </c>
      <c r="K800" s="282">
        <f>ROUND(BR68,0)</f>
        <v>0</v>
      </c>
      <c r="L800" s="282">
        <f>ROUND(BR70,0)</f>
        <v>0</v>
      </c>
      <c r="M800" s="282">
        <f>ROUND(BR71,0)</f>
        <v>2822627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">
      <c r="A801" s="209" t="str">
        <f>RIGHT($C$84,3)&amp;"*"&amp;RIGHT($C$83,4)&amp;"*"&amp;BS$55&amp;"*"&amp;"A"</f>
        <v>ter*38*8660*A</v>
      </c>
      <c r="B801" s="282"/>
      <c r="C801" s="285">
        <f>ROUND(BS60,2)</f>
        <v>0</v>
      </c>
      <c r="D801" s="282">
        <f>ROUND(BS61,0)</f>
        <v>0</v>
      </c>
      <c r="E801" s="282">
        <f>ROUND(BS62,0)</f>
        <v>0</v>
      </c>
      <c r="F801" s="282">
        <f>ROUND(BS63,0)</f>
        <v>0</v>
      </c>
      <c r="G801" s="282">
        <f>ROUND(BS64,0)</f>
        <v>0</v>
      </c>
      <c r="H801" s="282">
        <f>ROUND(BS65,0)</f>
        <v>0</v>
      </c>
      <c r="I801" s="282">
        <f>ROUND(BS66,0)</f>
        <v>0</v>
      </c>
      <c r="J801" s="282">
        <f>ROUND(BS67,0)</f>
        <v>0</v>
      </c>
      <c r="K801" s="282">
        <f>ROUND(BS68,0)</f>
        <v>0</v>
      </c>
      <c r="L801" s="282">
        <f>ROUND(BS70,0)</f>
        <v>0</v>
      </c>
      <c r="M801" s="282">
        <f>ROUND(BS71,0)</f>
        <v>0</v>
      </c>
      <c r="N801" s="282"/>
      <c r="O801" s="282"/>
      <c r="P801" s="282">
        <f>IF(BS77&gt;0,ROUND(BS77,0),0)</f>
        <v>0</v>
      </c>
      <c r="Q801" s="282">
        <f>IF(BS78&gt;0,ROUND(BS78,0),0)</f>
        <v>0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">
      <c r="A802" s="209" t="str">
        <f>RIGHT($C$84,3)&amp;"*"&amp;RIGHT($C$83,4)&amp;"*"&amp;BT$55&amp;"*"&amp;"A"</f>
        <v>ter*38*8670*A</v>
      </c>
      <c r="B802" s="282"/>
      <c r="C802" s="285">
        <f>ROUND(BT60,2)</f>
        <v>0</v>
      </c>
      <c r="D802" s="282">
        <f>ROUND(BT61,0)</f>
        <v>0</v>
      </c>
      <c r="E802" s="282">
        <f>ROUND(BT62,0)</f>
        <v>0</v>
      </c>
      <c r="F802" s="282">
        <f>ROUND(BT63,0)</f>
        <v>0</v>
      </c>
      <c r="G802" s="282">
        <f>ROUND(BT64,0)</f>
        <v>0</v>
      </c>
      <c r="H802" s="282">
        <f>ROUND(BT65,0)</f>
        <v>0</v>
      </c>
      <c r="I802" s="282">
        <f>ROUND(BT66,0)</f>
        <v>0</v>
      </c>
      <c r="J802" s="282">
        <f>ROUND(BT67,0)</f>
        <v>0</v>
      </c>
      <c r="K802" s="282">
        <f>ROUND(BT68,0)</f>
        <v>0</v>
      </c>
      <c r="L802" s="282">
        <f>ROUND(BT70,0)</f>
        <v>0</v>
      </c>
      <c r="M802" s="282">
        <f>ROUND(BT71,0)</f>
        <v>0</v>
      </c>
      <c r="N802" s="282"/>
      <c r="O802" s="282"/>
      <c r="P802" s="282">
        <f>IF(BT77&gt;0,ROUND(BT77,0),0)</f>
        <v>0</v>
      </c>
      <c r="Q802" s="282">
        <f>IF(BT78&gt;0,ROUND(BT78,0),0)</f>
        <v>0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">
      <c r="A803" s="209" t="str">
        <f>RIGHT($C$84,3)&amp;"*"&amp;RIGHT($C$83,4)&amp;"*"&amp;BU$55&amp;"*"&amp;"A"</f>
        <v>ter*38*8680*A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">
      <c r="A804" s="209" t="str">
        <f>RIGHT($C$84,3)&amp;"*"&amp;RIGHT($C$83,4)&amp;"*"&amp;BV$55&amp;"*"&amp;"A"</f>
        <v>ter*38*8690*A</v>
      </c>
      <c r="B804" s="282"/>
      <c r="C804" s="285">
        <f>ROUND(BV60,2)</f>
        <v>15.26</v>
      </c>
      <c r="D804" s="282">
        <f>ROUND(BV61,0)</f>
        <v>773897</v>
      </c>
      <c r="E804" s="282">
        <f>ROUND(BV62,0)</f>
        <v>210114</v>
      </c>
      <c r="F804" s="282">
        <f>ROUND(BV63,0)</f>
        <v>15448</v>
      </c>
      <c r="G804" s="282">
        <f>ROUND(BV64,0)</f>
        <v>5509</v>
      </c>
      <c r="H804" s="282">
        <f>ROUND(BV65,0)</f>
        <v>425</v>
      </c>
      <c r="I804" s="282">
        <f>ROUND(BV66,0)</f>
        <v>27469</v>
      </c>
      <c r="J804" s="282">
        <f>ROUND(BV67,0)</f>
        <v>3887</v>
      </c>
      <c r="K804" s="282">
        <f>ROUND(BV68,0)</f>
        <v>141</v>
      </c>
      <c r="L804" s="282">
        <f>ROUND(BV70,0)</f>
        <v>0</v>
      </c>
      <c r="M804" s="282">
        <f>ROUND(BV71,0)</f>
        <v>1131813</v>
      </c>
      <c r="N804" s="282"/>
      <c r="O804" s="282"/>
      <c r="P804" s="282">
        <f>IF(BV77&gt;0,ROUND(BV77,0),0)</f>
        <v>0</v>
      </c>
      <c r="Q804" s="282">
        <f>IF(BV78&gt;0,ROUND(BV78,0),0)</f>
        <v>423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">
      <c r="A805" s="209" t="str">
        <f>RIGHT($C$84,3)&amp;"*"&amp;RIGHT($C$83,4)&amp;"*"&amp;BW$55&amp;"*"&amp;"A"</f>
        <v>ter*38*8700*A</v>
      </c>
      <c r="B805" s="282"/>
      <c r="C805" s="285">
        <f>ROUND(BW60,2)</f>
        <v>2.0499999999999998</v>
      </c>
      <c r="D805" s="282">
        <f>ROUND(BW61,0)</f>
        <v>180264</v>
      </c>
      <c r="E805" s="282">
        <f>ROUND(BW62,0)</f>
        <v>48942</v>
      </c>
      <c r="F805" s="282">
        <f>ROUND(BW63,0)</f>
        <v>15000</v>
      </c>
      <c r="G805" s="282">
        <f>ROUND(BW64,0)</f>
        <v>21109</v>
      </c>
      <c r="H805" s="282">
        <f>ROUND(BW65,0)</f>
        <v>0</v>
      </c>
      <c r="I805" s="282">
        <f>ROUND(BW66,0)</f>
        <v>0</v>
      </c>
      <c r="J805" s="282">
        <f>ROUND(BW67,0)</f>
        <v>4117</v>
      </c>
      <c r="K805" s="282">
        <f>ROUND(BW68,0)</f>
        <v>0</v>
      </c>
      <c r="L805" s="282">
        <f>ROUND(BW70,0)</f>
        <v>0</v>
      </c>
      <c r="M805" s="282">
        <f>ROUND(BW71,0)</f>
        <v>287668</v>
      </c>
      <c r="N805" s="282"/>
      <c r="O805" s="282"/>
      <c r="P805" s="282">
        <f>IF(BW77&gt;0,ROUND(BW77,0),0)</f>
        <v>0</v>
      </c>
      <c r="Q805" s="282">
        <f>IF(BW78&gt;0,ROUND(BW78,0),0)</f>
        <v>81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">
      <c r="A806" s="209" t="str">
        <f>RIGHT($C$84,3)&amp;"*"&amp;RIGHT($C$83,4)&amp;"*"&amp;BX$55&amp;"*"&amp;"A"</f>
        <v>ter*38*8710*A</v>
      </c>
      <c r="B806" s="282"/>
      <c r="C806" s="285">
        <f>ROUND(BX60,2)</f>
        <v>0</v>
      </c>
      <c r="D806" s="282">
        <f>ROUND(BX61,0)</f>
        <v>0</v>
      </c>
      <c r="E806" s="282">
        <f>ROUND(BX62,0)</f>
        <v>0</v>
      </c>
      <c r="F806" s="282">
        <f>ROUND(BX63,0)</f>
        <v>0</v>
      </c>
      <c r="G806" s="282">
        <f>ROUND(BX64,0)</f>
        <v>0</v>
      </c>
      <c r="H806" s="282">
        <f>ROUND(BX65,0)</f>
        <v>0</v>
      </c>
      <c r="I806" s="282">
        <f>ROUND(BX66,0)</f>
        <v>0</v>
      </c>
      <c r="J806" s="282">
        <f>ROUND(BX67,0)</f>
        <v>0</v>
      </c>
      <c r="K806" s="282">
        <f>ROUND(BX68,0)</f>
        <v>0</v>
      </c>
      <c r="L806" s="282">
        <f>ROUND(BX70,0)</f>
        <v>0</v>
      </c>
      <c r="M806" s="282">
        <f>ROUND(BX71,0)</f>
        <v>0</v>
      </c>
      <c r="N806" s="282"/>
      <c r="O806" s="282"/>
      <c r="P806" s="282">
        <f>IF(BX77&gt;0,ROUND(BX77,0),0)</f>
        <v>0</v>
      </c>
      <c r="Q806" s="282">
        <f>IF(BX78&gt;0,ROUND(BX78,0),0)</f>
        <v>0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">
      <c r="A807" s="209" t="str">
        <f>RIGHT($C$84,3)&amp;"*"&amp;RIGHT($C$83,4)&amp;"*"&amp;BY$55&amp;"*"&amp;"A"</f>
        <v>ter*38*8720*A</v>
      </c>
      <c r="B807" s="282"/>
      <c r="C807" s="285">
        <f>ROUND(BY60,2)</f>
        <v>11.93</v>
      </c>
      <c r="D807" s="282">
        <f>ROUND(BY61,0)</f>
        <v>1070127</v>
      </c>
      <c r="E807" s="282">
        <f>ROUND(BY62,0)</f>
        <v>290541</v>
      </c>
      <c r="F807" s="282">
        <f>ROUND(BY63,0)</f>
        <v>0</v>
      </c>
      <c r="G807" s="282">
        <f>ROUND(BY64,0)</f>
        <v>3734</v>
      </c>
      <c r="H807" s="282">
        <f>ROUND(BY65,0)</f>
        <v>0</v>
      </c>
      <c r="I807" s="282">
        <f>ROUND(BY66,0)</f>
        <v>8925</v>
      </c>
      <c r="J807" s="282">
        <f>ROUND(BY67,0)</f>
        <v>3337</v>
      </c>
      <c r="K807" s="282">
        <f>ROUND(BY68,0)</f>
        <v>0</v>
      </c>
      <c r="L807" s="282">
        <f>ROUND(BY70,0)</f>
        <v>0</v>
      </c>
      <c r="M807" s="282">
        <f>ROUND(BY71,0)</f>
        <v>1376967</v>
      </c>
      <c r="N807" s="282"/>
      <c r="O807" s="282"/>
      <c r="P807" s="282">
        <f>IF(BY77&gt;0,ROUND(BY77,0),0)</f>
        <v>0</v>
      </c>
      <c r="Q807" s="282">
        <f>IF(BY78&gt;0,ROUND(BY78,0),0)</f>
        <v>198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">
      <c r="A808" s="209" t="str">
        <f>RIGHT($C$84,3)&amp;"*"&amp;RIGHT($C$83,4)&amp;"*"&amp;BZ$55&amp;"*"&amp;"A"</f>
        <v>ter*38*8730*A</v>
      </c>
      <c r="B808" s="282"/>
      <c r="C808" s="285">
        <f>ROUND(BZ60,2)</f>
        <v>0</v>
      </c>
      <c r="D808" s="282">
        <f>ROUND(BZ61,0)</f>
        <v>0</v>
      </c>
      <c r="E808" s="282">
        <f>ROUND(BZ62,0)</f>
        <v>0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0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">
      <c r="A809" s="209" t="str">
        <f>RIGHT($C$84,3)&amp;"*"&amp;RIGHT($C$83,4)&amp;"*"&amp;CA$55&amp;"*"&amp;"A"</f>
        <v>ter*38*8740*A</v>
      </c>
      <c r="B809" s="282"/>
      <c r="C809" s="285">
        <f>ROUND(CA60,2)</f>
        <v>4.1100000000000003</v>
      </c>
      <c r="D809" s="282">
        <f>ROUND(CA61,0)</f>
        <v>343122</v>
      </c>
      <c r="E809" s="282">
        <f>ROUND(CA62,0)</f>
        <v>93158</v>
      </c>
      <c r="F809" s="282">
        <f>ROUND(CA63,0)</f>
        <v>0</v>
      </c>
      <c r="G809" s="282">
        <f>ROUND(CA64,0)</f>
        <v>17569</v>
      </c>
      <c r="H809" s="282">
        <f>ROUND(CA65,0)</f>
        <v>0</v>
      </c>
      <c r="I809" s="282">
        <f>ROUND(CA66,0)</f>
        <v>149842</v>
      </c>
      <c r="J809" s="282">
        <f>ROUND(CA67,0)</f>
        <v>13779</v>
      </c>
      <c r="K809" s="282">
        <f>ROUND(CA68,0)</f>
        <v>0</v>
      </c>
      <c r="L809" s="282">
        <f>ROUND(CA70,0)</f>
        <v>0</v>
      </c>
      <c r="M809" s="282">
        <f>ROUND(CA71,0)</f>
        <v>660117</v>
      </c>
      <c r="N809" s="282"/>
      <c r="O809" s="282"/>
      <c r="P809" s="282">
        <f>IF(CA77&gt;0,ROUND(CA77,0),0)</f>
        <v>0</v>
      </c>
      <c r="Q809" s="282">
        <f>IF(CA78&gt;0,ROUND(CA78,0),0)</f>
        <v>1308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">
      <c r="A810" s="209" t="str">
        <f>RIGHT($C$84,3)&amp;"*"&amp;RIGHT($C$83,4)&amp;"*"&amp;CB$55&amp;"*"&amp;"A"</f>
        <v>ter*38*8770*A</v>
      </c>
      <c r="B810" s="282"/>
      <c r="C810" s="285">
        <f>ROUND(CB60,2)</f>
        <v>0</v>
      </c>
      <c r="D810" s="282">
        <f>ROUND(CB61,0)</f>
        <v>0</v>
      </c>
      <c r="E810" s="282">
        <f>ROUND(CB62,0)</f>
        <v>0</v>
      </c>
      <c r="F810" s="282">
        <f>ROUND(CB63,0)</f>
        <v>0</v>
      </c>
      <c r="G810" s="282">
        <f>ROUND(CB64,0)</f>
        <v>0</v>
      </c>
      <c r="H810" s="282">
        <f>ROUND(CB65,0)</f>
        <v>0</v>
      </c>
      <c r="I810" s="282">
        <f>ROUND(CB66,0)</f>
        <v>0</v>
      </c>
      <c r="J810" s="282">
        <f>ROUND(CB67,0)</f>
        <v>0</v>
      </c>
      <c r="K810" s="282">
        <f>ROUND(CB68,0)</f>
        <v>0</v>
      </c>
      <c r="L810" s="282">
        <f>ROUND(CB70,0)</f>
        <v>0</v>
      </c>
      <c r="M810" s="282">
        <f>ROUND(CB71,0)</f>
        <v>0</v>
      </c>
      <c r="N810" s="282"/>
      <c r="O810" s="282"/>
      <c r="P810" s="282">
        <f>IF(CB77&gt;0,ROUND(CB77,0),0)</f>
        <v>0</v>
      </c>
      <c r="Q810" s="282">
        <f>IF(CB78&gt;0,ROUND(CB78,0),0)</f>
        <v>0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">
      <c r="A811" s="209" t="str">
        <f>RIGHT($C$84,3)&amp;"*"&amp;RIGHT($C$83,4)&amp;"*"&amp;CC$55&amp;"*"&amp;"A"</f>
        <v>ter*38*8790*A</v>
      </c>
      <c r="B811" s="282"/>
      <c r="C811" s="285">
        <f>ROUND(CC60,2)</f>
        <v>34.270000000000003</v>
      </c>
      <c r="D811" s="282">
        <f>ROUND(CC61,0)</f>
        <v>2727839</v>
      </c>
      <c r="E811" s="282">
        <f>ROUND(CC62,0)</f>
        <v>740613</v>
      </c>
      <c r="F811" s="282">
        <f>ROUND(CC63,0)</f>
        <v>135739</v>
      </c>
      <c r="G811" s="282">
        <f>ROUND(CC64,0)</f>
        <v>867596</v>
      </c>
      <c r="H811" s="282">
        <f>ROUND(CC65,0)</f>
        <v>0</v>
      </c>
      <c r="I811" s="282">
        <f>ROUND(CC66,0)</f>
        <v>3064054</v>
      </c>
      <c r="J811" s="282">
        <f>ROUND(CC67,0)</f>
        <v>5360437</v>
      </c>
      <c r="K811" s="282">
        <f>ROUND(CC68,0)</f>
        <v>-1695053</v>
      </c>
      <c r="L811" s="282">
        <f>ROUND(CC70,0)</f>
        <v>0</v>
      </c>
      <c r="M811" s="282">
        <f>ROUND(CC71,0)</f>
        <v>13492672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">
      <c r="A812" s="209" t="str">
        <f>RIGHT($C$84,3)&amp;"*"&amp;RIGHT($C$83,4)&amp;"*"&amp;"9000"&amp;"*"&amp;"A"</f>
        <v>ter*38*9000*A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0</v>
      </c>
      <c r="V812" s="180">
        <f>ROUND(CD69,0)</f>
        <v>0</v>
      </c>
      <c r="W812" s="180">
        <f>ROUND(CD71,0)</f>
        <v>0</v>
      </c>
      <c r="X812" s="282">
        <f>ROUND(CE73,0)</f>
        <v>97076529</v>
      </c>
      <c r="Y812" s="282">
        <f>ROUND(C132,0)</f>
        <v>0</v>
      </c>
      <c r="Z812" s="282"/>
    </row>
    <row r="814" spans="1:26" ht="12.65" customHeight="1" x14ac:dyDescent="0.3">
      <c r="B814" s="199" t="s">
        <v>1004</v>
      </c>
      <c r="C814" s="263">
        <f t="shared" ref="C814:K814" si="22">SUM(C733:C812)</f>
        <v>1365.79</v>
      </c>
      <c r="D814" s="180">
        <f t="shared" si="22"/>
        <v>106482780</v>
      </c>
      <c r="E814" s="180">
        <f t="shared" si="22"/>
        <v>28910243</v>
      </c>
      <c r="F814" s="180">
        <f t="shared" si="22"/>
        <v>11048504</v>
      </c>
      <c r="G814" s="180">
        <f t="shared" si="22"/>
        <v>35105033</v>
      </c>
      <c r="H814" s="180">
        <f t="shared" si="22"/>
        <v>2453100</v>
      </c>
      <c r="I814" s="180">
        <f t="shared" si="22"/>
        <v>10092922</v>
      </c>
      <c r="J814" s="180">
        <f t="shared" si="22"/>
        <v>10999085</v>
      </c>
      <c r="K814" s="180">
        <f t="shared" si="22"/>
        <v>376113</v>
      </c>
      <c r="L814" s="180">
        <f>SUM(L733:L812)+SUM(U733:U812)</f>
        <v>0</v>
      </c>
      <c r="M814" s="180">
        <f>SUM(M733:M812)+SUM(W733:W812)</f>
        <v>219796591</v>
      </c>
      <c r="N814" s="180">
        <f t="shared" ref="N814:Z814" si="23">SUM(N733:N812)</f>
        <v>167960</v>
      </c>
      <c r="O814" s="180">
        <f t="shared" si="23"/>
        <v>339600946</v>
      </c>
      <c r="P814" s="180">
        <f t="shared" si="23"/>
        <v>46107</v>
      </c>
      <c r="Q814" s="180">
        <f t="shared" si="23"/>
        <v>88754</v>
      </c>
      <c r="R814" s="180">
        <f t="shared" si="23"/>
        <v>1216227</v>
      </c>
      <c r="S814" s="180">
        <f t="shared" si="23"/>
        <v>258</v>
      </c>
      <c r="T814" s="263">
        <f t="shared" si="23"/>
        <v>0</v>
      </c>
      <c r="U814" s="180">
        <f t="shared" si="23"/>
        <v>0</v>
      </c>
      <c r="V814" s="180">
        <f t="shared" si="23"/>
        <v>0</v>
      </c>
      <c r="W814" s="180">
        <f t="shared" si="23"/>
        <v>0</v>
      </c>
      <c r="X814" s="180">
        <f t="shared" si="23"/>
        <v>97076529</v>
      </c>
      <c r="Y814" s="180">
        <f t="shared" si="23"/>
        <v>0</v>
      </c>
      <c r="Z814" s="180">
        <f t="shared" si="23"/>
        <v>56451895</v>
      </c>
    </row>
    <row r="815" spans="1:26" ht="12.65" customHeight="1" x14ac:dyDescent="0.3">
      <c r="B815" s="180" t="s">
        <v>1005</v>
      </c>
      <c r="C815" s="263">
        <f>CE60</f>
        <v>1365.7849999999999</v>
      </c>
      <c r="D815" s="180">
        <f>CE61</f>
        <v>106482779.64000002</v>
      </c>
      <c r="E815" s="180">
        <f>CE62</f>
        <v>28910243</v>
      </c>
      <c r="F815" s="180">
        <f>CE63</f>
        <v>11048503.07</v>
      </c>
      <c r="G815" s="180">
        <f>CE64</f>
        <v>35105034.230000004</v>
      </c>
      <c r="H815" s="240">
        <f>CE65</f>
        <v>2453101.15</v>
      </c>
      <c r="I815" s="240">
        <f>CE66</f>
        <v>10092922.390000001</v>
      </c>
      <c r="J815" s="240">
        <f>CE67</f>
        <v>10999085</v>
      </c>
      <c r="K815" s="240">
        <f>CE68</f>
        <v>376109.30000000028</v>
      </c>
      <c r="L815" s="240">
        <f>CE70</f>
        <v>0</v>
      </c>
      <c r="M815" s="240">
        <f>CE71</f>
        <v>219796588.57000002</v>
      </c>
      <c r="N815" s="180">
        <f>CE76</f>
        <v>423858.94</v>
      </c>
      <c r="O815" s="180">
        <f>CE74</f>
        <v>339600947.85000002</v>
      </c>
      <c r="P815" s="180">
        <f>CE77</f>
        <v>46107</v>
      </c>
      <c r="Q815" s="180">
        <f>CE78</f>
        <v>88754.399725410214</v>
      </c>
      <c r="R815" s="180">
        <f>CE79</f>
        <v>1216226.79</v>
      </c>
      <c r="S815" s="180">
        <f>CE80</f>
        <v>257.60999999999996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57272322</v>
      </c>
    </row>
    <row r="816" spans="1:26" ht="12.65" customHeight="1" x14ac:dyDescent="0.3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106482779.63</v>
      </c>
      <c r="G816" s="240">
        <f>C379</f>
        <v>28910246.469999999</v>
      </c>
      <c r="H816" s="240">
        <f>C380</f>
        <v>11048503.07</v>
      </c>
      <c r="I816" s="240">
        <f>C381</f>
        <v>35105034.229999997</v>
      </c>
      <c r="J816" s="240">
        <f>C382</f>
        <v>0</v>
      </c>
      <c r="K816" s="240">
        <f>C383</f>
        <v>10092922.380000001</v>
      </c>
      <c r="L816" s="240">
        <f>C384+C385+C386+C388</f>
        <v>12645689.189999999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End Report</dc:title>
  <dc:subject>Year End Report</dc:subject>
  <dc:creator>Washington State Department of Health, Health Systems Quality Assurance, Community Health Systems</dc:creator>
  <cp:keywords>Year End Report</cp:keywords>
  <cp:lastModifiedBy>Baranowski, Carrie (DOH)</cp:lastModifiedBy>
  <cp:lastPrinted>2022-04-27T16:40:03Z</cp:lastPrinted>
  <dcterms:created xsi:type="dcterms:W3CDTF">1999-06-02T22:01:56Z</dcterms:created>
  <dcterms:modified xsi:type="dcterms:W3CDTF">2022-05-27T19:48:01Z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2022-05-27T19:37:44Z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d5fab974-76dc-4d03-a72b-f16ee51bb00d</vt:lpwstr>
  </property>
  <property fmtid="{D5CDD505-2E9C-101B-9397-08002B2CF9AE}" pid="8" name="MSIP_Label_1520fa42-cf58-4c22-8b93-58cf1d3bd1cb_ContentBits">
    <vt:lpwstr>0</vt:lpwstr>
  </property>
</Properties>
</file>