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85A195CA-A429-4CDB-A2E9-0835462B9869}" xr6:coauthVersionLast="45" xr6:coauthVersionMax="47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/>
  <c r="F493" i="1"/>
  <c r="D493" i="1"/>
  <c r="B493" i="1"/>
  <c r="C112" i="1" l="1"/>
  <c r="D144" i="1"/>
  <c r="D145" i="1"/>
  <c r="C210" i="1" l="1"/>
  <c r="C213" i="1"/>
  <c r="C209" i="1"/>
  <c r="D173" i="10"/>
  <c r="C171" i="10"/>
  <c r="C170" i="10"/>
  <c r="C169" i="10"/>
  <c r="C168" i="10"/>
  <c r="C307" i="1"/>
  <c r="C306" i="1"/>
  <c r="C254" i="1"/>
  <c r="C250" i="1"/>
  <c r="AU74" i="1"/>
  <c r="AV74" i="1"/>
  <c r="B142" i="1"/>
  <c r="C142" i="1"/>
  <c r="D141" i="1"/>
  <c r="C141" i="1"/>
  <c r="D147" i="1"/>
  <c r="C147" i="1"/>
  <c r="B147" i="1"/>
  <c r="BN69" i="1"/>
  <c r="CE72" i="1"/>
  <c r="C234" i="1"/>
  <c r="C389" i="1"/>
  <c r="AG69" i="1"/>
  <c r="Y69" i="1"/>
  <c r="R69" i="1"/>
  <c r="E69" i="1"/>
  <c r="AJ69" i="1"/>
  <c r="C180" i="1"/>
  <c r="C179" i="1"/>
  <c r="C388" i="1"/>
  <c r="BN66" i="1"/>
  <c r="C392" i="1"/>
  <c r="C360" i="1"/>
  <c r="AH51" i="1"/>
  <c r="U51" i="1"/>
  <c r="C386" i="1"/>
  <c r="C384" i="1"/>
  <c r="Y51" i="1"/>
  <c r="AC60" i="1"/>
  <c r="AU60" i="1"/>
  <c r="AJ80" i="1"/>
  <c r="AI80" i="1"/>
  <c r="Q80" i="1"/>
  <c r="P80" i="1"/>
  <c r="O80" i="1"/>
  <c r="L80" i="1"/>
  <c r="K80" i="1"/>
  <c r="E80" i="1"/>
  <c r="AG80" i="1"/>
  <c r="C380" i="1"/>
  <c r="C231" i="1"/>
  <c r="C227" i="1" l="1"/>
  <c r="C226" i="1"/>
  <c r="C239" i="1"/>
  <c r="C238" i="1"/>
  <c r="C225" i="1"/>
  <c r="C224" i="1"/>
  <c r="C223" i="1"/>
  <c r="C189" i="1"/>
  <c r="C168" i="1" l="1"/>
  <c r="C171" i="1"/>
  <c r="C170" i="1"/>
  <c r="C165" i="1"/>
  <c r="C176" i="1" l="1"/>
  <c r="C371" i="1" l="1"/>
  <c r="C381" i="1"/>
  <c r="B210" i="1" l="1"/>
  <c r="B197" i="1"/>
  <c r="AJ78" i="1"/>
  <c r="Y78" i="1"/>
  <c r="C62" i="8"/>
  <c r="C61" i="8"/>
  <c r="C304" i="1"/>
  <c r="C267" i="1"/>
  <c r="D112" i="1" l="1"/>
  <c r="CB64" i="1"/>
  <c r="CB61" i="1"/>
  <c r="CB60" i="1"/>
  <c r="CC69" i="1"/>
  <c r="CC66" i="1"/>
  <c r="CC64" i="1"/>
  <c r="CC63" i="1"/>
  <c r="AU69" i="1"/>
  <c r="AU66" i="1"/>
  <c r="AU65" i="1"/>
  <c r="AU64" i="1"/>
  <c r="AU63" i="1"/>
  <c r="AU51" i="1"/>
  <c r="AC64" i="1"/>
  <c r="AV69" i="1"/>
  <c r="AV65" i="1"/>
  <c r="AV64" i="1"/>
  <c r="AV63" i="1"/>
  <c r="AV51" i="1"/>
  <c r="AJ74" i="1"/>
  <c r="AJ68" i="1"/>
  <c r="AJ66" i="1"/>
  <c r="AJ65" i="1"/>
  <c r="AJ64" i="1"/>
  <c r="AJ63" i="1"/>
  <c r="AJ51" i="1"/>
  <c r="AI74" i="1"/>
  <c r="AH74" i="1"/>
  <c r="AG61" i="1"/>
  <c r="AG74" i="1"/>
  <c r="AE74" i="1"/>
  <c r="AV73" i="1"/>
  <c r="AC74" i="1"/>
  <c r="AB74" i="1"/>
  <c r="Y74" i="1"/>
  <c r="Y59" i="1"/>
  <c r="W74" i="1"/>
  <c r="X74" i="1"/>
  <c r="Y66" i="1"/>
  <c r="Y64" i="1"/>
  <c r="Y73" i="1"/>
  <c r="U74" i="1"/>
  <c r="U73" i="1"/>
  <c r="U66" i="1"/>
  <c r="U64" i="1"/>
  <c r="S74" i="1"/>
  <c r="R74" i="1"/>
  <c r="O74" i="1" l="1"/>
  <c r="L74" i="1"/>
  <c r="CC60" i="1"/>
  <c r="AV60" i="1"/>
  <c r="AJ60" i="1"/>
  <c r="AG60" i="1"/>
  <c r="AJ59" i="1"/>
  <c r="AE59" i="1"/>
  <c r="R59" i="1"/>
  <c r="Q59" i="1"/>
  <c r="P59" i="1"/>
  <c r="AV61" i="1"/>
  <c r="AJ61" i="1"/>
  <c r="CC61" i="1"/>
  <c r="AU61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Q814" i="10" s="1"/>
  <c r="P735" i="10"/>
  <c r="O735" i="10"/>
  <c r="M735" i="10"/>
  <c r="L735" i="10"/>
  <c r="K735" i="10"/>
  <c r="I735" i="10"/>
  <c r="H735" i="10"/>
  <c r="G735" i="10"/>
  <c r="G814" i="10" s="1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B475" i="10"/>
  <c r="B474" i="10"/>
  <c r="C473" i="10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B445" i="10"/>
  <c r="C444" i="10"/>
  <c r="B441" i="10"/>
  <c r="B437" i="10"/>
  <c r="B440" i="10" s="1"/>
  <c r="B439" i="10"/>
  <c r="C439" i="10"/>
  <c r="C438" i="10"/>
  <c r="B438" i="10"/>
  <c r="C437" i="10"/>
  <c r="D436" i="10"/>
  <c r="B436" i="10"/>
  <c r="B435" i="10"/>
  <c r="B434" i="10"/>
  <c r="B433" i="10"/>
  <c r="B432" i="10"/>
  <c r="B431" i="10"/>
  <c r="C430" i="10"/>
  <c r="B430" i="10"/>
  <c r="B429" i="10"/>
  <c r="B428" i="10"/>
  <c r="D427" i="10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N816" i="10"/>
  <c r="B446" i="10"/>
  <c r="B444" i="10"/>
  <c r="D432" i="10"/>
  <c r="C474" i="10"/>
  <c r="C472" i="10"/>
  <c r="C471" i="10"/>
  <c r="C470" i="10"/>
  <c r="C469" i="10"/>
  <c r="C467" i="10"/>
  <c r="D434" i="10"/>
  <c r="D433" i="10"/>
  <c r="D462" i="10"/>
  <c r="C420" i="10"/>
  <c r="C419" i="10"/>
  <c r="C417" i="10"/>
  <c r="C416" i="10"/>
  <c r="D463" i="10"/>
  <c r="D464" i="10" s="1"/>
  <c r="C414" i="10"/>
  <c r="C413" i="10"/>
  <c r="T815" i="10"/>
  <c r="Q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3" i="10"/>
  <c r="C463" i="10"/>
  <c r="O815" i="10"/>
  <c r="C574" i="10"/>
  <c r="C457" i="10"/>
  <c r="C433" i="10"/>
  <c r="K815" i="10"/>
  <c r="H815" i="10"/>
  <c r="F815" i="10"/>
  <c r="BI729" i="10"/>
  <c r="H531" i="10"/>
  <c r="F516" i="10"/>
  <c r="F523" i="10"/>
  <c r="H526" i="10"/>
  <c r="H527" i="10"/>
  <c r="F534" i="10"/>
  <c r="H538" i="10"/>
  <c r="H539" i="10"/>
  <c r="F549" i="10"/>
  <c r="E793" i="10"/>
  <c r="E757" i="10"/>
  <c r="E805" i="10"/>
  <c r="E753" i="10"/>
  <c r="E769" i="10"/>
  <c r="E801" i="10"/>
  <c r="E761" i="10"/>
  <c r="E789" i="10"/>
  <c r="E777" i="10"/>
  <c r="E773" i="10"/>
  <c r="E742" i="10"/>
  <c r="E738" i="10"/>
  <c r="E754" i="10"/>
  <c r="D815" i="10"/>
  <c r="C426" i="10"/>
  <c r="I815" i="10"/>
  <c r="C431" i="10"/>
  <c r="M815" i="10"/>
  <c r="E781" i="10"/>
  <c r="E734" i="10"/>
  <c r="G815" i="10"/>
  <c r="F611" i="10"/>
  <c r="C815" i="10"/>
  <c r="F515" i="10"/>
  <c r="F519" i="10"/>
  <c r="F520" i="10"/>
  <c r="F524" i="10"/>
  <c r="F528" i="10"/>
  <c r="F532" i="10"/>
  <c r="F536" i="10"/>
  <c r="F544" i="10"/>
  <c r="S815" i="10"/>
  <c r="J611" i="10"/>
  <c r="F495" i="10"/>
  <c r="F499" i="10"/>
  <c r="F503" i="10"/>
  <c r="F507" i="10"/>
  <c r="F513" i="10"/>
  <c r="F517" i="10"/>
  <c r="F543" i="10"/>
  <c r="F545" i="10"/>
  <c r="G611" i="10"/>
  <c r="F521" i="10"/>
  <c r="F525" i="10"/>
  <c r="F529" i="10"/>
  <c r="F533" i="10"/>
  <c r="F537" i="10"/>
  <c r="H611" i="10"/>
  <c r="C429" i="10"/>
  <c r="C462" i="10"/>
  <c r="L611" i="10"/>
  <c r="E748" i="10"/>
  <c r="C563" i="10"/>
  <c r="C531" i="10"/>
  <c r="G531" i="10" s="1"/>
  <c r="C567" i="10"/>
  <c r="C555" i="10"/>
  <c r="C535" i="10"/>
  <c r="G535" i="10" s="1"/>
  <c r="C711" i="10"/>
  <c r="C523" i="10"/>
  <c r="G523" i="10" s="1"/>
  <c r="C672" i="10"/>
  <c r="C688" i="10"/>
  <c r="C504" i="10"/>
  <c r="G504" i="10" s="1"/>
  <c r="C668" i="10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N776" i="1" s="1"/>
  <c r="AT75" i="1"/>
  <c r="D218" i="9" s="1"/>
  <c r="AU75" i="1"/>
  <c r="N778" i="1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30" i="1" s="1"/>
  <c r="C86" i="8" s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E196" i="1"/>
  <c r="E197" i="1"/>
  <c r="C470" i="1" s="1"/>
  <c r="E198" i="1"/>
  <c r="E199" i="1"/>
  <c r="E200" i="1"/>
  <c r="F12" i="6" s="1"/>
  <c r="E201" i="1"/>
  <c r="E202" i="1"/>
  <c r="C474" i="1" s="1"/>
  <c r="E203" i="1"/>
  <c r="D204" i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52" i="1"/>
  <c r="N755" i="1"/>
  <c r="N761" i="1"/>
  <c r="N762" i="1"/>
  <c r="N768" i="1"/>
  <c r="N771" i="1"/>
  <c r="N777" i="1"/>
  <c r="N739" i="1"/>
  <c r="N745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C440" i="1"/>
  <c r="C429" i="1"/>
  <c r="B438" i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N766" i="1"/>
  <c r="N743" i="1"/>
  <c r="N775" i="1"/>
  <c r="N769" i="1"/>
  <c r="N758" i="1"/>
  <c r="N753" i="1"/>
  <c r="N774" i="1"/>
  <c r="N747" i="1"/>
  <c r="F816" i="1"/>
  <c r="D436" i="1"/>
  <c r="C34" i="5"/>
  <c r="C473" i="1"/>
  <c r="C469" i="1"/>
  <c r="F8" i="6"/>
  <c r="G122" i="9"/>
  <c r="N740" i="1"/>
  <c r="H58" i="9"/>
  <c r="N751" i="1"/>
  <c r="C218" i="9"/>
  <c r="D366" i="9"/>
  <c r="G812" i="1"/>
  <c r="CE64" i="1"/>
  <c r="D368" i="9"/>
  <c r="I812" i="1"/>
  <c r="C276" i="9"/>
  <c r="CE70" i="1"/>
  <c r="I372" i="9" s="1"/>
  <c r="CE76" i="1"/>
  <c r="P816" i="1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22" i="1"/>
  <c r="CD71" i="1"/>
  <c r="C575" i="1" s="1"/>
  <c r="R816" i="1"/>
  <c r="N765" i="1"/>
  <c r="N757" i="1"/>
  <c r="C615" i="1"/>
  <c r="E372" i="9"/>
  <c r="D612" i="1"/>
  <c r="E218" i="9" l="1"/>
  <c r="D428" i="1"/>
  <c r="B440" i="1"/>
  <c r="N817" i="1"/>
  <c r="B465" i="1"/>
  <c r="C141" i="8"/>
  <c r="F9" i="6"/>
  <c r="I612" i="1"/>
  <c r="Q816" i="1"/>
  <c r="D814" i="10"/>
  <c r="B476" i="1"/>
  <c r="C33" i="8"/>
  <c r="G10" i="4"/>
  <c r="O814" i="10"/>
  <c r="C434" i="1"/>
  <c r="N764" i="1"/>
  <c r="L816" i="1"/>
  <c r="N760" i="1"/>
  <c r="C464" i="1"/>
  <c r="K816" i="1"/>
  <c r="M816" i="1"/>
  <c r="C432" i="1"/>
  <c r="I816" i="1"/>
  <c r="BI730" i="1"/>
  <c r="C816" i="1"/>
  <c r="CF77" i="1"/>
  <c r="F815" i="1"/>
  <c r="H815" i="1"/>
  <c r="G28" i="4"/>
  <c r="I381" i="9"/>
  <c r="P815" i="1"/>
  <c r="S815" i="1"/>
  <c r="D463" i="1"/>
  <c r="C815" i="1"/>
  <c r="I90" i="9"/>
  <c r="E373" i="9"/>
  <c r="I362" i="9"/>
  <c r="AN48" i="1"/>
  <c r="AN62" i="1" s="1"/>
  <c r="E771" i="1" s="1"/>
  <c r="AP48" i="1"/>
  <c r="AP62" i="1" s="1"/>
  <c r="BM48" i="1"/>
  <c r="BM62" i="1" s="1"/>
  <c r="E796" i="1" s="1"/>
  <c r="C427" i="1"/>
  <c r="AV48" i="1"/>
  <c r="AV62" i="1" s="1"/>
  <c r="F204" i="9" s="1"/>
  <c r="AK48" i="1"/>
  <c r="AK62" i="1" s="1"/>
  <c r="E768" i="1" s="1"/>
  <c r="BI48" i="1"/>
  <c r="BI62" i="1" s="1"/>
  <c r="E792" i="1" s="1"/>
  <c r="CA48" i="1"/>
  <c r="CA62" i="1" s="1"/>
  <c r="I332" i="9" s="1"/>
  <c r="AO48" i="1"/>
  <c r="AO62" i="1" s="1"/>
  <c r="BD48" i="1"/>
  <c r="BD62" i="1" s="1"/>
  <c r="G236" i="9" s="1"/>
  <c r="S48" i="1"/>
  <c r="S62" i="1" s="1"/>
  <c r="E750" i="1" s="1"/>
  <c r="BA48" i="1"/>
  <c r="BA62" i="1" s="1"/>
  <c r="BC48" i="1"/>
  <c r="BC62" i="1" s="1"/>
  <c r="F236" i="9" s="1"/>
  <c r="BF48" i="1"/>
  <c r="BF62" i="1" s="1"/>
  <c r="E789" i="1" s="1"/>
  <c r="AY48" i="1"/>
  <c r="AY62" i="1" s="1"/>
  <c r="E782" i="1" s="1"/>
  <c r="AU48" i="1"/>
  <c r="AU62" i="1" s="1"/>
  <c r="R48" i="1"/>
  <c r="R62" i="1" s="1"/>
  <c r="E749" i="1" s="1"/>
  <c r="BL48" i="1"/>
  <c r="BL62" i="1" s="1"/>
  <c r="E795" i="1" s="1"/>
  <c r="BG48" i="1"/>
  <c r="BG62" i="1" s="1"/>
  <c r="C268" i="9" s="1"/>
  <c r="AC48" i="1"/>
  <c r="AC62" i="1" s="1"/>
  <c r="H108" i="9" s="1"/>
  <c r="V48" i="1"/>
  <c r="V62" i="1" s="1"/>
  <c r="E753" i="1" s="1"/>
  <c r="BT48" i="1"/>
  <c r="BT62" i="1" s="1"/>
  <c r="CB48" i="1"/>
  <c r="CB62" i="1" s="1"/>
  <c r="C364" i="9" s="1"/>
  <c r="CC48" i="1"/>
  <c r="CC62" i="1" s="1"/>
  <c r="E812" i="1" s="1"/>
  <c r="P48" i="1"/>
  <c r="P62" i="1" s="1"/>
  <c r="AF48" i="1"/>
  <c r="AF62" i="1" s="1"/>
  <c r="E763" i="1" s="1"/>
  <c r="BV48" i="1"/>
  <c r="BV62" i="1" s="1"/>
  <c r="AG48" i="1"/>
  <c r="AG62" i="1" s="1"/>
  <c r="E140" i="9" s="1"/>
  <c r="AB48" i="1"/>
  <c r="AB62" i="1" s="1"/>
  <c r="G108" i="9" s="1"/>
  <c r="L48" i="1"/>
  <c r="L62" i="1" s="1"/>
  <c r="Z48" i="1"/>
  <c r="Z62" i="1" s="1"/>
  <c r="AR48" i="1"/>
  <c r="AR62" i="1" s="1"/>
  <c r="E775" i="1" s="1"/>
  <c r="BH48" i="1"/>
  <c r="BH62" i="1" s="1"/>
  <c r="BX48" i="1"/>
  <c r="BX62" i="1" s="1"/>
  <c r="E807" i="1" s="1"/>
  <c r="BO48" i="1"/>
  <c r="BO62" i="1" s="1"/>
  <c r="D300" i="9" s="1"/>
  <c r="AW48" i="1"/>
  <c r="AW62" i="1" s="1"/>
  <c r="BQ48" i="1"/>
  <c r="BQ62" i="1" s="1"/>
  <c r="F300" i="9" s="1"/>
  <c r="AM48" i="1"/>
  <c r="AM62" i="1" s="1"/>
  <c r="D172" i="9" s="1"/>
  <c r="G48" i="1"/>
  <c r="G62" i="1" s="1"/>
  <c r="G12" i="9" s="1"/>
  <c r="T48" i="1"/>
  <c r="T62" i="1" s="1"/>
  <c r="AD48" i="1"/>
  <c r="AD62" i="1" s="1"/>
  <c r="I108" i="9" s="1"/>
  <c r="AT48" i="1"/>
  <c r="AT62" i="1" s="1"/>
  <c r="E777" i="1" s="1"/>
  <c r="BJ48" i="1"/>
  <c r="BJ62" i="1" s="1"/>
  <c r="F268" i="9" s="1"/>
  <c r="BY48" i="1"/>
  <c r="BY62" i="1" s="1"/>
  <c r="G332" i="9" s="1"/>
  <c r="K48" i="1"/>
  <c r="K62" i="1" s="1"/>
  <c r="D44" i="9" s="1"/>
  <c r="BW48" i="1"/>
  <c r="BW62" i="1" s="1"/>
  <c r="E332" i="9" s="1"/>
  <c r="BE48" i="1"/>
  <c r="BE62" i="1" s="1"/>
  <c r="H236" i="9" s="1"/>
  <c r="O48" i="1"/>
  <c r="O62" i="1" s="1"/>
  <c r="BZ48" i="1"/>
  <c r="BZ62" i="1" s="1"/>
  <c r="H332" i="9" s="1"/>
  <c r="X48" i="1"/>
  <c r="X62" i="1" s="1"/>
  <c r="F48" i="1"/>
  <c r="F62" i="1" s="1"/>
  <c r="AH48" i="1"/>
  <c r="AH62" i="1" s="1"/>
  <c r="F140" i="9" s="1"/>
  <c r="AX48" i="1"/>
  <c r="AX62" i="1" s="1"/>
  <c r="E781" i="1" s="1"/>
  <c r="BN48" i="1"/>
  <c r="BN62" i="1" s="1"/>
  <c r="E797" i="1" s="1"/>
  <c r="C48" i="1"/>
  <c r="C62" i="1" s="1"/>
  <c r="E734" i="1" s="1"/>
  <c r="AA48" i="1"/>
  <c r="AA62" i="1" s="1"/>
  <c r="F108" i="9" s="1"/>
  <c r="I48" i="1"/>
  <c r="I62" i="1" s="1"/>
  <c r="I12" i="9" s="1"/>
  <c r="BU48" i="1"/>
  <c r="BU62" i="1" s="1"/>
  <c r="E804" i="1" s="1"/>
  <c r="AE48" i="1"/>
  <c r="AE62" i="1" s="1"/>
  <c r="E762" i="1" s="1"/>
  <c r="I363" i="9"/>
  <c r="D816" i="1"/>
  <c r="AS48" i="1"/>
  <c r="AS62" i="1" s="1"/>
  <c r="J48" i="1"/>
  <c r="J62" i="1" s="1"/>
  <c r="E741" i="1" s="1"/>
  <c r="AJ48" i="1"/>
  <c r="AJ62" i="1" s="1"/>
  <c r="H140" i="9" s="1"/>
  <c r="AZ48" i="1"/>
  <c r="AZ62" i="1" s="1"/>
  <c r="C236" i="9" s="1"/>
  <c r="BP48" i="1"/>
  <c r="BP62" i="1" s="1"/>
  <c r="AI48" i="1"/>
  <c r="AI62" i="1" s="1"/>
  <c r="E766" i="1" s="1"/>
  <c r="Q48" i="1"/>
  <c r="Q62" i="1" s="1"/>
  <c r="E48" i="1"/>
  <c r="E62" i="1" s="1"/>
  <c r="E736" i="1" s="1"/>
  <c r="M48" i="1"/>
  <c r="M62" i="1" s="1"/>
  <c r="F44" i="9" s="1"/>
  <c r="D48" i="1"/>
  <c r="D62" i="1" s="1"/>
  <c r="D12" i="9" s="1"/>
  <c r="N48" i="1"/>
  <c r="N62" i="1" s="1"/>
  <c r="G44" i="9" s="1"/>
  <c r="AL48" i="1"/>
  <c r="AL62" i="1" s="1"/>
  <c r="C172" i="9" s="1"/>
  <c r="BB48" i="1"/>
  <c r="BB62" i="1" s="1"/>
  <c r="BR48" i="1"/>
  <c r="BR62" i="1" s="1"/>
  <c r="G300" i="9" s="1"/>
  <c r="E794" i="1"/>
  <c r="AQ48" i="1"/>
  <c r="AQ62" i="1" s="1"/>
  <c r="E774" i="1" s="1"/>
  <c r="Y48" i="1"/>
  <c r="Y62" i="1" s="1"/>
  <c r="U48" i="1"/>
  <c r="U62" i="1" s="1"/>
  <c r="G76" i="9" s="1"/>
  <c r="BS48" i="1"/>
  <c r="BS62" i="1" s="1"/>
  <c r="H48" i="1"/>
  <c r="H62" i="1" s="1"/>
  <c r="W48" i="1"/>
  <c r="W62" i="1" s="1"/>
  <c r="D815" i="1"/>
  <c r="Q815" i="1"/>
  <c r="N770" i="1"/>
  <c r="D186" i="9"/>
  <c r="C624" i="10"/>
  <c r="I380" i="9"/>
  <c r="CF76" i="1"/>
  <c r="AE52" i="1" s="1"/>
  <c r="AE67" i="1" s="1"/>
  <c r="C514" i="10"/>
  <c r="C686" i="10"/>
  <c r="C458" i="1"/>
  <c r="G815" i="1"/>
  <c r="N748" i="1"/>
  <c r="C90" i="9"/>
  <c r="E752" i="10"/>
  <c r="R815" i="10"/>
  <c r="I611" i="10"/>
  <c r="C477" i="10"/>
  <c r="C682" i="10"/>
  <c r="C510" i="10"/>
  <c r="C551" i="10"/>
  <c r="N734" i="10"/>
  <c r="N814" i="10" s="1"/>
  <c r="E736" i="10"/>
  <c r="C691" i="10"/>
  <c r="I815" i="1"/>
  <c r="F814" i="10"/>
  <c r="P814" i="10"/>
  <c r="D368" i="1"/>
  <c r="C120" i="8" s="1"/>
  <c r="C119" i="8"/>
  <c r="E809" i="10"/>
  <c r="C414" i="1"/>
  <c r="B10" i="4"/>
  <c r="F612" i="1"/>
  <c r="G816" i="1"/>
  <c r="I366" i="9"/>
  <c r="C430" i="1"/>
  <c r="H814" i="10"/>
  <c r="R814" i="10"/>
  <c r="N736" i="1"/>
  <c r="C516" i="10"/>
  <c r="R815" i="1"/>
  <c r="D5" i="7"/>
  <c r="C480" i="10"/>
  <c r="E747" i="10"/>
  <c r="B464" i="10"/>
  <c r="C814" i="10"/>
  <c r="M814" i="10"/>
  <c r="L814" i="10"/>
  <c r="I814" i="10"/>
  <c r="S814" i="10"/>
  <c r="C496" i="10"/>
  <c r="G496" i="10" s="1"/>
  <c r="C500" i="10"/>
  <c r="C676" i="10"/>
  <c r="B446" i="1"/>
  <c r="D242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55" i="10"/>
  <c r="J747" i="10"/>
  <c r="J739" i="10"/>
  <c r="J808" i="10"/>
  <c r="J776" i="10"/>
  <c r="P815" i="10"/>
  <c r="J804" i="10"/>
  <c r="J772" i="10"/>
  <c r="J806" i="10"/>
  <c r="J790" i="10"/>
  <c r="J774" i="10"/>
  <c r="J758" i="10"/>
  <c r="D611" i="10"/>
  <c r="F7" i="6"/>
  <c r="E204" i="1"/>
  <c r="C468" i="1"/>
  <c r="I383" i="9"/>
  <c r="S816" i="1"/>
  <c r="D22" i="7"/>
  <c r="C40" i="5"/>
  <c r="K611" i="10"/>
  <c r="C464" i="10"/>
  <c r="N815" i="10"/>
  <c r="C420" i="1"/>
  <c r="B28" i="4"/>
  <c r="N772" i="1"/>
  <c r="F186" i="9"/>
  <c r="E763" i="10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434" i="1"/>
  <c r="L815" i="1"/>
  <c r="D292" i="1"/>
  <c r="C58" i="9"/>
  <c r="N741" i="1"/>
  <c r="N744" i="1"/>
  <c r="N756" i="1"/>
  <c r="N750" i="1"/>
  <c r="H523" i="10"/>
  <c r="C468" i="10"/>
  <c r="C475" i="10"/>
  <c r="C440" i="10"/>
  <c r="L815" i="10"/>
  <c r="E739" i="10"/>
  <c r="E741" i="10"/>
  <c r="E749" i="10"/>
  <c r="D435" i="10"/>
  <c r="D437" i="10"/>
  <c r="E743" i="10"/>
  <c r="E751" i="10"/>
  <c r="E771" i="10"/>
  <c r="E803" i="10"/>
  <c r="E737" i="10"/>
  <c r="E745" i="10"/>
  <c r="C515" i="10"/>
  <c r="C687" i="10"/>
  <c r="E767" i="10"/>
  <c r="E783" i="10"/>
  <c r="E799" i="10"/>
  <c r="C428" i="10"/>
  <c r="C447" i="10"/>
  <c r="E740" i="10"/>
  <c r="E744" i="10"/>
  <c r="C519" i="10"/>
  <c r="C695" i="10"/>
  <c r="C703" i="10"/>
  <c r="C707" i="10"/>
  <c r="C539" i="10"/>
  <c r="G539" i="10" s="1"/>
  <c r="C543" i="10"/>
  <c r="C617" i="10"/>
  <c r="C634" i="10"/>
  <c r="C638" i="10"/>
  <c r="C642" i="10"/>
  <c r="C646" i="10"/>
  <c r="C481" i="10"/>
  <c r="E746" i="10"/>
  <c r="E750" i="10"/>
  <c r="B447" i="10"/>
  <c r="D373" i="1" l="1"/>
  <c r="D52" i="1"/>
  <c r="D67" i="1" s="1"/>
  <c r="E786" i="1"/>
  <c r="H76" i="9"/>
  <c r="BM52" i="1"/>
  <c r="BM67" i="1" s="1"/>
  <c r="BM71" i="1" s="1"/>
  <c r="C638" i="1" s="1"/>
  <c r="D465" i="1"/>
  <c r="E76" i="9"/>
  <c r="F172" i="9"/>
  <c r="E779" i="1"/>
  <c r="E747" i="1"/>
  <c r="E805" i="1"/>
  <c r="E790" i="1"/>
  <c r="D332" i="9"/>
  <c r="I268" i="9"/>
  <c r="I236" i="9"/>
  <c r="E773" i="1"/>
  <c r="E787" i="1"/>
  <c r="I204" i="9"/>
  <c r="E811" i="1"/>
  <c r="E764" i="1"/>
  <c r="E268" i="9"/>
  <c r="D236" i="9"/>
  <c r="G172" i="9"/>
  <c r="H268" i="9"/>
  <c r="D140" i="9"/>
  <c r="D364" i="9"/>
  <c r="E204" i="9"/>
  <c r="E810" i="1"/>
  <c r="E778" i="1"/>
  <c r="I44" i="9"/>
  <c r="E172" i="9"/>
  <c r="E784" i="1"/>
  <c r="D76" i="9"/>
  <c r="E772" i="1"/>
  <c r="I140" i="9"/>
  <c r="E759" i="1"/>
  <c r="I300" i="9"/>
  <c r="E760" i="1"/>
  <c r="E803" i="1"/>
  <c r="D204" i="9"/>
  <c r="E756" i="1"/>
  <c r="H172" i="9"/>
  <c r="F332" i="9"/>
  <c r="E746" i="1"/>
  <c r="E761" i="1"/>
  <c r="I172" i="9"/>
  <c r="E800" i="1"/>
  <c r="E791" i="1"/>
  <c r="E44" i="9"/>
  <c r="E799" i="1"/>
  <c r="H12" i="9"/>
  <c r="F12" i="9"/>
  <c r="E742" i="1"/>
  <c r="H204" i="9"/>
  <c r="C76" i="9"/>
  <c r="E743" i="1"/>
  <c r="E748" i="1"/>
  <c r="E788" i="1"/>
  <c r="D108" i="9"/>
  <c r="E108" i="9"/>
  <c r="H44" i="9"/>
  <c r="D71" i="1"/>
  <c r="D21" i="9" s="1"/>
  <c r="E806" i="1"/>
  <c r="E738" i="1"/>
  <c r="E744" i="1"/>
  <c r="C12" i="9"/>
  <c r="E12" i="9"/>
  <c r="E236" i="9"/>
  <c r="C44" i="9"/>
  <c r="E757" i="1"/>
  <c r="E770" i="1"/>
  <c r="H300" i="9"/>
  <c r="D268" i="9"/>
  <c r="E802" i="1"/>
  <c r="E745" i="1"/>
  <c r="E809" i="1"/>
  <c r="C300" i="9"/>
  <c r="E783" i="1"/>
  <c r="E737" i="1"/>
  <c r="AE71" i="1"/>
  <c r="C524" i="1" s="1"/>
  <c r="G524" i="1" s="1"/>
  <c r="C140" i="9"/>
  <c r="E780" i="1"/>
  <c r="E798" i="1"/>
  <c r="E785" i="1"/>
  <c r="E793" i="1"/>
  <c r="E739" i="1"/>
  <c r="C108" i="9"/>
  <c r="E769" i="1"/>
  <c r="G204" i="9"/>
  <c r="E755" i="1"/>
  <c r="E300" i="9"/>
  <c r="E801" i="1"/>
  <c r="G140" i="9"/>
  <c r="E808" i="1"/>
  <c r="E765" i="1"/>
  <c r="E751" i="1"/>
  <c r="E767" i="1"/>
  <c r="C332" i="9"/>
  <c r="E752" i="1"/>
  <c r="F76" i="9"/>
  <c r="E740" i="1"/>
  <c r="E735" i="1"/>
  <c r="E758" i="1"/>
  <c r="C204" i="9"/>
  <c r="E776" i="1"/>
  <c r="CE62" i="1"/>
  <c r="I364" i="9" s="1"/>
  <c r="E754" i="1"/>
  <c r="I76" i="9"/>
  <c r="CE48" i="1"/>
  <c r="C145" i="9"/>
  <c r="J762" i="1"/>
  <c r="G516" i="10"/>
  <c r="H516" i="10"/>
  <c r="BE52" i="1"/>
  <c r="BE67" i="1" s="1"/>
  <c r="BE71" i="1" s="1"/>
  <c r="C614" i="1" s="1"/>
  <c r="AW52" i="1"/>
  <c r="AW67" i="1" s="1"/>
  <c r="AW71" i="1" s="1"/>
  <c r="AM52" i="1"/>
  <c r="AM67" i="1" s="1"/>
  <c r="AM71" i="1" s="1"/>
  <c r="C532" i="1" s="1"/>
  <c r="G532" i="1" s="1"/>
  <c r="G500" i="10"/>
  <c r="H500" i="10"/>
  <c r="C571" i="10"/>
  <c r="F515" i="1"/>
  <c r="H515" i="1"/>
  <c r="U52" i="1"/>
  <c r="U67" i="1" s="1"/>
  <c r="U71" i="1" s="1"/>
  <c r="C686" i="1" s="1"/>
  <c r="CC52" i="1"/>
  <c r="CC67" i="1" s="1"/>
  <c r="CC71" i="1" s="1"/>
  <c r="C574" i="1" s="1"/>
  <c r="I52" i="1"/>
  <c r="I67" i="1" s="1"/>
  <c r="I71" i="1" s="1"/>
  <c r="AD52" i="1"/>
  <c r="AD67" i="1" s="1"/>
  <c r="AD71" i="1" s="1"/>
  <c r="C523" i="1" s="1"/>
  <c r="G523" i="1" s="1"/>
  <c r="AA52" i="1"/>
  <c r="AA67" i="1" s="1"/>
  <c r="AA71" i="1" s="1"/>
  <c r="C520" i="1" s="1"/>
  <c r="G520" i="1" s="1"/>
  <c r="CB52" i="1"/>
  <c r="CB67" i="1" s="1"/>
  <c r="J811" i="1" s="1"/>
  <c r="BD52" i="1"/>
  <c r="BD67" i="1" s="1"/>
  <c r="BD71" i="1" s="1"/>
  <c r="C549" i="1" s="1"/>
  <c r="N815" i="1"/>
  <c r="F497" i="1"/>
  <c r="H497" i="1"/>
  <c r="F517" i="1"/>
  <c r="H517" i="1" s="1"/>
  <c r="G514" i="10"/>
  <c r="H514" i="10"/>
  <c r="AI52" i="1"/>
  <c r="AI67" i="1" s="1"/>
  <c r="AI71" i="1" s="1"/>
  <c r="C700" i="1" s="1"/>
  <c r="BJ52" i="1"/>
  <c r="BJ67" i="1" s="1"/>
  <c r="BJ71" i="1" s="1"/>
  <c r="F277" i="9" s="1"/>
  <c r="BK52" i="1"/>
  <c r="BK67" i="1" s="1"/>
  <c r="BK71" i="1" s="1"/>
  <c r="C635" i="1" s="1"/>
  <c r="H52" i="1"/>
  <c r="H67" i="1" s="1"/>
  <c r="H71" i="1" s="1"/>
  <c r="BP52" i="1"/>
  <c r="BP67" i="1" s="1"/>
  <c r="BP71" i="1" s="1"/>
  <c r="E52" i="1"/>
  <c r="E67" i="1" s="1"/>
  <c r="E71" i="1" s="1"/>
  <c r="E21" i="9" s="1"/>
  <c r="L52" i="1"/>
  <c r="L67" i="1" s="1"/>
  <c r="L71" i="1" s="1"/>
  <c r="AN52" i="1"/>
  <c r="AN67" i="1" s="1"/>
  <c r="AN71" i="1" s="1"/>
  <c r="V52" i="1"/>
  <c r="V67" i="1" s="1"/>
  <c r="V71" i="1" s="1"/>
  <c r="C687" i="1" s="1"/>
  <c r="BT52" i="1"/>
  <c r="BT67" i="1" s="1"/>
  <c r="BT71" i="1" s="1"/>
  <c r="BI52" i="1"/>
  <c r="BI67" i="1" s="1"/>
  <c r="BI71" i="1" s="1"/>
  <c r="E277" i="9" s="1"/>
  <c r="X52" i="1"/>
  <c r="X67" i="1" s="1"/>
  <c r="X71" i="1" s="1"/>
  <c r="N52" i="1"/>
  <c r="N67" i="1" s="1"/>
  <c r="N71" i="1" s="1"/>
  <c r="C507" i="1" s="1"/>
  <c r="G507" i="1" s="1"/>
  <c r="Q52" i="1"/>
  <c r="Q67" i="1" s="1"/>
  <c r="Q71" i="1" s="1"/>
  <c r="BH52" i="1"/>
  <c r="BH67" i="1" s="1"/>
  <c r="BH71" i="1" s="1"/>
  <c r="J52" i="1"/>
  <c r="J67" i="1" s="1"/>
  <c r="J71" i="1" s="1"/>
  <c r="C675" i="1" s="1"/>
  <c r="AC52" i="1"/>
  <c r="AC67" i="1" s="1"/>
  <c r="AC71" i="1" s="1"/>
  <c r="C522" i="1" s="1"/>
  <c r="G522" i="1" s="1"/>
  <c r="AB52" i="1"/>
  <c r="AB67" i="1" s="1"/>
  <c r="AB71" i="1" s="1"/>
  <c r="BC52" i="1"/>
  <c r="BC67" i="1" s="1"/>
  <c r="BC71" i="1" s="1"/>
  <c r="C633" i="1" s="1"/>
  <c r="AV52" i="1"/>
  <c r="AV67" i="1" s="1"/>
  <c r="AV71" i="1" s="1"/>
  <c r="C541" i="1" s="1"/>
  <c r="BX52" i="1"/>
  <c r="BX67" i="1" s="1"/>
  <c r="BX71" i="1" s="1"/>
  <c r="C569" i="1" s="1"/>
  <c r="AJ52" i="1"/>
  <c r="AJ67" i="1" s="1"/>
  <c r="AJ71" i="1" s="1"/>
  <c r="C701" i="1" s="1"/>
  <c r="BW52" i="1"/>
  <c r="BW67" i="1" s="1"/>
  <c r="BW71" i="1" s="1"/>
  <c r="E341" i="9" s="1"/>
  <c r="K52" i="1"/>
  <c r="K67" i="1" s="1"/>
  <c r="K71" i="1" s="1"/>
  <c r="C676" i="1" s="1"/>
  <c r="AU52" i="1"/>
  <c r="AU67" i="1" s="1"/>
  <c r="AU71" i="1" s="1"/>
  <c r="AS52" i="1"/>
  <c r="AS67" i="1" s="1"/>
  <c r="AS71" i="1" s="1"/>
  <c r="Z52" i="1"/>
  <c r="Z67" i="1" s="1"/>
  <c r="Z71" i="1" s="1"/>
  <c r="C691" i="1" s="1"/>
  <c r="W52" i="1"/>
  <c r="W67" i="1" s="1"/>
  <c r="W71" i="1" s="1"/>
  <c r="I85" i="9" s="1"/>
  <c r="AP52" i="1"/>
  <c r="AP67" i="1" s="1"/>
  <c r="AP71" i="1" s="1"/>
  <c r="C535" i="1" s="1"/>
  <c r="G535" i="1" s="1"/>
  <c r="AL52" i="1"/>
  <c r="AL67" i="1" s="1"/>
  <c r="AL71" i="1" s="1"/>
  <c r="C703" i="1" s="1"/>
  <c r="C52" i="1"/>
  <c r="R52" i="1"/>
  <c r="R67" i="1" s="1"/>
  <c r="R71" i="1" s="1"/>
  <c r="CA52" i="1"/>
  <c r="CA67" i="1" s="1"/>
  <c r="CA71" i="1" s="1"/>
  <c r="I341" i="9" s="1"/>
  <c r="AT52" i="1"/>
  <c r="AT67" i="1" s="1"/>
  <c r="AT71" i="1" s="1"/>
  <c r="D213" i="9" s="1"/>
  <c r="BV52" i="1"/>
  <c r="BV67" i="1" s="1"/>
  <c r="BV71" i="1" s="1"/>
  <c r="AY52" i="1"/>
  <c r="AY67" i="1" s="1"/>
  <c r="AY71" i="1" s="1"/>
  <c r="C544" i="1" s="1"/>
  <c r="G544" i="1" s="1"/>
  <c r="E787" i="10"/>
  <c r="BG52" i="1"/>
  <c r="BG67" i="1" s="1"/>
  <c r="BG71" i="1" s="1"/>
  <c r="C618" i="1" s="1"/>
  <c r="O52" i="1"/>
  <c r="O67" i="1" s="1"/>
  <c r="O71" i="1" s="1"/>
  <c r="S52" i="1"/>
  <c r="S67" i="1" s="1"/>
  <c r="S71" i="1" s="1"/>
  <c r="C512" i="1" s="1"/>
  <c r="G512" i="1" s="1"/>
  <c r="BL52" i="1"/>
  <c r="BL67" i="1" s="1"/>
  <c r="BL71" i="1" s="1"/>
  <c r="C637" i="1" s="1"/>
  <c r="AK52" i="1"/>
  <c r="AK67" i="1" s="1"/>
  <c r="AK71" i="1" s="1"/>
  <c r="C530" i="1" s="1"/>
  <c r="G530" i="1" s="1"/>
  <c r="BY52" i="1"/>
  <c r="BY67" i="1" s="1"/>
  <c r="BY71" i="1" s="1"/>
  <c r="G341" i="9" s="1"/>
  <c r="E765" i="10"/>
  <c r="C670" i="10"/>
  <c r="C498" i="10"/>
  <c r="G498" i="10" s="1"/>
  <c r="AQ52" i="1"/>
  <c r="AQ67" i="1" s="1"/>
  <c r="AQ71" i="1" s="1"/>
  <c r="H181" i="9" s="1"/>
  <c r="AR52" i="1"/>
  <c r="AR67" i="1" s="1"/>
  <c r="AR71" i="1" s="1"/>
  <c r="C709" i="1" s="1"/>
  <c r="AO52" i="1"/>
  <c r="AO67" i="1" s="1"/>
  <c r="AO71" i="1" s="1"/>
  <c r="BS52" i="1"/>
  <c r="BS67" i="1" s="1"/>
  <c r="BS71" i="1" s="1"/>
  <c r="BR52" i="1"/>
  <c r="BR67" i="1" s="1"/>
  <c r="BR71" i="1" s="1"/>
  <c r="C563" i="1" s="1"/>
  <c r="M52" i="1"/>
  <c r="M67" i="1" s="1"/>
  <c r="F49" i="9" s="1"/>
  <c r="F52" i="1"/>
  <c r="F67" i="1" s="1"/>
  <c r="F71" i="1" s="1"/>
  <c r="F505" i="1"/>
  <c r="H505" i="1"/>
  <c r="E735" i="10"/>
  <c r="G510" i="10"/>
  <c r="H510" i="10"/>
  <c r="AF52" i="1"/>
  <c r="AF67" i="1" s="1"/>
  <c r="AF71" i="1" s="1"/>
  <c r="C697" i="1" s="1"/>
  <c r="AZ52" i="1"/>
  <c r="AZ67" i="1" s="1"/>
  <c r="AZ71" i="1" s="1"/>
  <c r="C545" i="1" s="1"/>
  <c r="G545" i="1" s="1"/>
  <c r="BZ52" i="1"/>
  <c r="BZ67" i="1" s="1"/>
  <c r="BZ71" i="1" s="1"/>
  <c r="C646" i="1" s="1"/>
  <c r="G52" i="1"/>
  <c r="G67" i="1" s="1"/>
  <c r="J738" i="1" s="1"/>
  <c r="BN52" i="1"/>
  <c r="BN67" i="1" s="1"/>
  <c r="BN71" i="1" s="1"/>
  <c r="C559" i="1" s="1"/>
  <c r="BQ52" i="1"/>
  <c r="BQ67" i="1" s="1"/>
  <c r="J800" i="1" s="1"/>
  <c r="F511" i="1"/>
  <c r="H511" i="1" s="1"/>
  <c r="Y52" i="1"/>
  <c r="Y67" i="1" s="1"/>
  <c r="Y71" i="1" s="1"/>
  <c r="BB52" i="1"/>
  <c r="BB67" i="1" s="1"/>
  <c r="BB71" i="1" s="1"/>
  <c r="BA52" i="1"/>
  <c r="BA67" i="1" s="1"/>
  <c r="BA71" i="1" s="1"/>
  <c r="BU52" i="1"/>
  <c r="BU67" i="1" s="1"/>
  <c r="BU71" i="1" s="1"/>
  <c r="E797" i="10"/>
  <c r="AX52" i="1"/>
  <c r="AX67" i="1" s="1"/>
  <c r="H209" i="9" s="1"/>
  <c r="T52" i="1"/>
  <c r="T67" i="1" s="1"/>
  <c r="J751" i="1" s="1"/>
  <c r="BF52" i="1"/>
  <c r="BF67" i="1" s="1"/>
  <c r="I241" i="9" s="1"/>
  <c r="H501" i="1"/>
  <c r="F501" i="1"/>
  <c r="E785" i="10"/>
  <c r="AG52" i="1"/>
  <c r="AG67" i="1" s="1"/>
  <c r="AG71" i="1" s="1"/>
  <c r="C698" i="1" s="1"/>
  <c r="P52" i="1"/>
  <c r="P67" i="1" s="1"/>
  <c r="P71" i="1" s="1"/>
  <c r="AH52" i="1"/>
  <c r="AH67" i="1" s="1"/>
  <c r="AH71" i="1" s="1"/>
  <c r="C699" i="1" s="1"/>
  <c r="BO52" i="1"/>
  <c r="BO67" i="1" s="1"/>
  <c r="BO71" i="1" s="1"/>
  <c r="C627" i="1" s="1"/>
  <c r="E758" i="10"/>
  <c r="E774" i="10"/>
  <c r="E798" i="10"/>
  <c r="C508" i="10"/>
  <c r="C680" i="10"/>
  <c r="H543" i="10"/>
  <c r="G543" i="10"/>
  <c r="H519" i="10"/>
  <c r="G519" i="10"/>
  <c r="I273" i="9"/>
  <c r="J796" i="1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44" i="1" s="1"/>
  <c r="H536" i="1"/>
  <c r="F536" i="1"/>
  <c r="F520" i="1"/>
  <c r="H520" i="1" s="1"/>
  <c r="C674" i="10"/>
  <c r="C502" i="10"/>
  <c r="G502" i="10" s="1"/>
  <c r="H515" i="10"/>
  <c r="G515" i="10"/>
  <c r="C499" i="10"/>
  <c r="G499" i="10" s="1"/>
  <c r="C671" i="10"/>
  <c r="C705" i="10"/>
  <c r="C533" i="10"/>
  <c r="G533" i="10" s="1"/>
  <c r="C505" i="10"/>
  <c r="G505" i="10" s="1"/>
  <c r="C677" i="10"/>
  <c r="D341" i="1"/>
  <c r="C481" i="1" s="1"/>
  <c r="C50" i="8"/>
  <c r="C495" i="10"/>
  <c r="C667" i="10"/>
  <c r="D337" i="9"/>
  <c r="C697" i="10"/>
  <c r="C525" i="10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637" i="10"/>
  <c r="C557" i="10"/>
  <c r="E766" i="10"/>
  <c r="E790" i="10"/>
  <c r="C545" i="10"/>
  <c r="C629" i="10"/>
  <c r="C565" i="10"/>
  <c r="C640" i="10"/>
  <c r="C511" i="10"/>
  <c r="C683" i="10"/>
  <c r="C126" i="8"/>
  <c r="D391" i="1"/>
  <c r="C517" i="10"/>
  <c r="C689" i="10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C684" i="10"/>
  <c r="C512" i="10"/>
  <c r="C561" i="10"/>
  <c r="C622" i="10"/>
  <c r="C701" i="10"/>
  <c r="C529" i="10"/>
  <c r="C675" i="10"/>
  <c r="C503" i="10"/>
  <c r="G503" i="10" s="1"/>
  <c r="C681" i="10"/>
  <c r="C509" i="10"/>
  <c r="C633" i="10"/>
  <c r="C553" i="10"/>
  <c r="C521" i="10"/>
  <c r="C693" i="10"/>
  <c r="J788" i="1"/>
  <c r="H241" i="9"/>
  <c r="I145" i="9"/>
  <c r="G209" i="9"/>
  <c r="J780" i="1"/>
  <c r="D177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H516" i="1" s="1"/>
  <c r="C673" i="10"/>
  <c r="C501" i="10"/>
  <c r="G501" i="10" s="1"/>
  <c r="J735" i="1"/>
  <c r="D17" i="9"/>
  <c r="J771" i="10"/>
  <c r="E762" i="10"/>
  <c r="E778" i="10"/>
  <c r="E794" i="10"/>
  <c r="E756" i="10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H524" i="1" s="1"/>
  <c r="C506" i="10"/>
  <c r="G506" i="10" s="1"/>
  <c r="C678" i="10"/>
  <c r="C507" i="10"/>
  <c r="C679" i="10"/>
  <c r="C513" i="10"/>
  <c r="C685" i="10"/>
  <c r="C427" i="10"/>
  <c r="E815" i="10"/>
  <c r="C715" i="10"/>
  <c r="C569" i="10"/>
  <c r="C644" i="10"/>
  <c r="C709" i="10"/>
  <c r="C537" i="10"/>
  <c r="G537" i="10" s="1"/>
  <c r="J801" i="1"/>
  <c r="F17" i="9"/>
  <c r="J737" i="1"/>
  <c r="J787" i="1"/>
  <c r="G241" i="9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630" i="10"/>
  <c r="C541" i="10"/>
  <c r="E814" i="10" l="1"/>
  <c r="J770" i="1"/>
  <c r="J758" i="1"/>
  <c r="F113" i="9"/>
  <c r="C305" i="9"/>
  <c r="J797" i="1"/>
  <c r="G337" i="9"/>
  <c r="J808" i="1"/>
  <c r="J805" i="1"/>
  <c r="J781" i="1"/>
  <c r="J768" i="1"/>
  <c r="J782" i="1"/>
  <c r="I209" i="9"/>
  <c r="F181" i="9"/>
  <c r="C706" i="1"/>
  <c r="C534" i="1"/>
  <c r="G534" i="1" s="1"/>
  <c r="C117" i="9"/>
  <c r="C689" i="1"/>
  <c r="C517" i="1"/>
  <c r="G517" i="1" s="1"/>
  <c r="H21" i="9"/>
  <c r="C501" i="1"/>
  <c r="G501" i="1" s="1"/>
  <c r="C673" i="1"/>
  <c r="C630" i="1"/>
  <c r="C546" i="1"/>
  <c r="G546" i="1" s="1"/>
  <c r="D245" i="9"/>
  <c r="C642" i="1"/>
  <c r="D341" i="9"/>
  <c r="C567" i="1"/>
  <c r="G213" i="9"/>
  <c r="C631" i="1"/>
  <c r="C542" i="1"/>
  <c r="E309" i="9"/>
  <c r="C561" i="1"/>
  <c r="C621" i="1"/>
  <c r="E245" i="9"/>
  <c r="C632" i="1"/>
  <c r="C547" i="1"/>
  <c r="F21" i="9"/>
  <c r="C671" i="1"/>
  <c r="C499" i="1"/>
  <c r="G499" i="1" s="1"/>
  <c r="I309" i="9"/>
  <c r="C640" i="1"/>
  <c r="C565" i="1"/>
  <c r="C540" i="1"/>
  <c r="G540" i="1" s="1"/>
  <c r="C712" i="1"/>
  <c r="E213" i="9"/>
  <c r="C639" i="1"/>
  <c r="H309" i="9"/>
  <c r="C564" i="1"/>
  <c r="C508" i="1"/>
  <c r="G508" i="1" s="1"/>
  <c r="C680" i="1"/>
  <c r="H53" i="9"/>
  <c r="D85" i="9"/>
  <c r="C511" i="1"/>
  <c r="G511" i="1" s="1"/>
  <c r="E181" i="9"/>
  <c r="C533" i="1"/>
  <c r="G533" i="1" s="1"/>
  <c r="C690" i="1"/>
  <c r="C518" i="1"/>
  <c r="G518" i="1" s="1"/>
  <c r="D117" i="9"/>
  <c r="C509" i="1"/>
  <c r="G509" i="1" s="1"/>
  <c r="I53" i="9"/>
  <c r="C681" i="1"/>
  <c r="C636" i="1"/>
  <c r="C553" i="1"/>
  <c r="D277" i="9"/>
  <c r="C677" i="1"/>
  <c r="C505" i="1"/>
  <c r="G505" i="1" s="1"/>
  <c r="E53" i="9"/>
  <c r="C682" i="1"/>
  <c r="C85" i="9"/>
  <c r="C510" i="1"/>
  <c r="G510" i="1" s="1"/>
  <c r="G305" i="9"/>
  <c r="C713" i="1"/>
  <c r="C556" i="1"/>
  <c r="G277" i="9"/>
  <c r="AX71" i="1"/>
  <c r="C616" i="1" s="1"/>
  <c r="G181" i="9"/>
  <c r="M71" i="1"/>
  <c r="F53" i="9" s="1"/>
  <c r="G71" i="1"/>
  <c r="C672" i="1" s="1"/>
  <c r="BF71" i="1"/>
  <c r="C629" i="1" s="1"/>
  <c r="CB71" i="1"/>
  <c r="C622" i="1" s="1"/>
  <c r="C707" i="1"/>
  <c r="E117" i="9"/>
  <c r="T71" i="1"/>
  <c r="C369" i="9"/>
  <c r="C519" i="1"/>
  <c r="G519" i="1" s="1"/>
  <c r="BQ71" i="1"/>
  <c r="F309" i="9" s="1"/>
  <c r="F213" i="9"/>
  <c r="C705" i="1"/>
  <c r="F245" i="9"/>
  <c r="C683" i="1"/>
  <c r="C684" i="1"/>
  <c r="D149" i="9"/>
  <c r="C571" i="1"/>
  <c r="C548" i="1"/>
  <c r="H85" i="9"/>
  <c r="C515" i="1"/>
  <c r="G515" i="1" s="1"/>
  <c r="C525" i="1"/>
  <c r="G525" i="1" s="1"/>
  <c r="C277" i="9"/>
  <c r="C552" i="1"/>
  <c r="I277" i="9"/>
  <c r="C558" i="1"/>
  <c r="I149" i="9"/>
  <c r="E85" i="9"/>
  <c r="C554" i="1"/>
  <c r="C634" i="1"/>
  <c r="H277" i="9"/>
  <c r="C557" i="1"/>
  <c r="C560" i="1"/>
  <c r="G245" i="9"/>
  <c r="C624" i="1"/>
  <c r="C620" i="1"/>
  <c r="D373" i="9"/>
  <c r="E149" i="9"/>
  <c r="C526" i="1"/>
  <c r="G526" i="1" s="1"/>
  <c r="C625" i="1"/>
  <c r="I213" i="9"/>
  <c r="C647" i="1"/>
  <c r="C572" i="1"/>
  <c r="C702" i="1"/>
  <c r="H117" i="9"/>
  <c r="C694" i="1"/>
  <c r="C521" i="1"/>
  <c r="G521" i="1" s="1"/>
  <c r="C693" i="1"/>
  <c r="G117" i="9"/>
  <c r="G85" i="9"/>
  <c r="C497" i="1"/>
  <c r="G497" i="1" s="1"/>
  <c r="C617" i="1"/>
  <c r="G53" i="9"/>
  <c r="C619" i="1"/>
  <c r="C514" i="1"/>
  <c r="G514" i="1" s="1"/>
  <c r="C555" i="1"/>
  <c r="C704" i="1"/>
  <c r="C679" i="1"/>
  <c r="D181" i="9"/>
  <c r="C498" i="1"/>
  <c r="G498" i="1" s="1"/>
  <c r="C309" i="9"/>
  <c r="C504" i="1"/>
  <c r="G504" i="1" s="1"/>
  <c r="D53" i="9"/>
  <c r="H341" i="9"/>
  <c r="C669" i="1"/>
  <c r="D309" i="9"/>
  <c r="C643" i="1"/>
  <c r="C670" i="1"/>
  <c r="C626" i="1"/>
  <c r="C53" i="9"/>
  <c r="I117" i="9"/>
  <c r="C645" i="1"/>
  <c r="C550" i="1"/>
  <c r="G550" i="1" s="1"/>
  <c r="C528" i="1"/>
  <c r="G528" i="1" s="1"/>
  <c r="H245" i="9"/>
  <c r="C692" i="1"/>
  <c r="C537" i="1"/>
  <c r="G537" i="1" s="1"/>
  <c r="C708" i="1"/>
  <c r="C536" i="1"/>
  <c r="G536" i="1" s="1"/>
  <c r="C531" i="1"/>
  <c r="G531" i="1" s="1"/>
  <c r="C181" i="9"/>
  <c r="C695" i="1"/>
  <c r="G309" i="9"/>
  <c r="C539" i="1"/>
  <c r="G539" i="1" s="1"/>
  <c r="C503" i="1"/>
  <c r="G503" i="1" s="1"/>
  <c r="C711" i="1"/>
  <c r="C570" i="1"/>
  <c r="C529" i="1"/>
  <c r="G529" i="1" s="1"/>
  <c r="C568" i="1"/>
  <c r="F117" i="9"/>
  <c r="D615" i="1"/>
  <c r="D629" i="1" s="1"/>
  <c r="I181" i="9"/>
  <c r="E816" i="1"/>
  <c r="C696" i="1"/>
  <c r="C149" i="9"/>
  <c r="C527" i="1"/>
  <c r="G527" i="1" s="1"/>
  <c r="C628" i="1"/>
  <c r="C245" i="9"/>
  <c r="G149" i="9"/>
  <c r="C688" i="1"/>
  <c r="C516" i="1"/>
  <c r="G516" i="1" s="1"/>
  <c r="F341" i="9"/>
  <c r="C644" i="1"/>
  <c r="C428" i="1"/>
  <c r="F149" i="9"/>
  <c r="E815" i="1"/>
  <c r="C502" i="1"/>
  <c r="G502" i="1" s="1"/>
  <c r="I21" i="9"/>
  <c r="C674" i="1"/>
  <c r="H149" i="9"/>
  <c r="C710" i="1"/>
  <c r="C538" i="1"/>
  <c r="G538" i="1" s="1"/>
  <c r="C213" i="9"/>
  <c r="C341" i="9"/>
  <c r="C641" i="1"/>
  <c r="C566" i="1"/>
  <c r="J789" i="1"/>
  <c r="F145" i="9"/>
  <c r="J765" i="1"/>
  <c r="F177" i="9"/>
  <c r="J772" i="1"/>
  <c r="J795" i="1"/>
  <c r="H273" i="9"/>
  <c r="D209" i="9"/>
  <c r="J777" i="1"/>
  <c r="C209" i="9"/>
  <c r="J776" i="1"/>
  <c r="G113" i="9"/>
  <c r="J759" i="1"/>
  <c r="J803" i="1"/>
  <c r="I305" i="9"/>
  <c r="I49" i="9"/>
  <c r="J747" i="1"/>
  <c r="J775" i="1"/>
  <c r="I177" i="9"/>
  <c r="J750" i="1"/>
  <c r="E81" i="9"/>
  <c r="J810" i="1"/>
  <c r="I337" i="9"/>
  <c r="E209" i="9"/>
  <c r="J778" i="1"/>
  <c r="H113" i="9"/>
  <c r="J760" i="1"/>
  <c r="J753" i="1"/>
  <c r="H81" i="9"/>
  <c r="E145" i="9"/>
  <c r="J764" i="1"/>
  <c r="C626" i="10"/>
  <c r="C559" i="10"/>
  <c r="H337" i="9"/>
  <c r="J809" i="1"/>
  <c r="J774" i="1"/>
  <c r="H177" i="9"/>
  <c r="C527" i="10"/>
  <c r="G527" i="10" s="1"/>
  <c r="C699" i="10"/>
  <c r="J746" i="1"/>
  <c r="H49" i="9"/>
  <c r="J749" i="1"/>
  <c r="D81" i="9"/>
  <c r="J742" i="1"/>
  <c r="D49" i="9"/>
  <c r="J741" i="1"/>
  <c r="C49" i="9"/>
  <c r="J771" i="1"/>
  <c r="E177" i="9"/>
  <c r="G273" i="9"/>
  <c r="J794" i="1"/>
  <c r="J783" i="1"/>
  <c r="C241" i="9"/>
  <c r="J790" i="1"/>
  <c r="C273" i="9"/>
  <c r="C67" i="1"/>
  <c r="C71" i="1" s="1"/>
  <c r="C668" i="1" s="1"/>
  <c r="CE52" i="1"/>
  <c r="J806" i="1"/>
  <c r="E337" i="9"/>
  <c r="J791" i="1"/>
  <c r="D273" i="9"/>
  <c r="E49" i="9"/>
  <c r="J743" i="1"/>
  <c r="J793" i="1"/>
  <c r="F273" i="9"/>
  <c r="J761" i="1"/>
  <c r="I113" i="9"/>
  <c r="F81" i="9"/>
  <c r="C337" i="9"/>
  <c r="J804" i="1"/>
  <c r="D145" i="9"/>
  <c r="J763" i="1"/>
  <c r="H499" i="1"/>
  <c r="F499" i="1"/>
  <c r="C177" i="9"/>
  <c r="J769" i="1"/>
  <c r="H145" i="9"/>
  <c r="J767" i="1"/>
  <c r="J748" i="1"/>
  <c r="C81" i="9"/>
  <c r="J736" i="1"/>
  <c r="E17" i="9"/>
  <c r="J766" i="1"/>
  <c r="G145" i="9"/>
  <c r="J740" i="1"/>
  <c r="I17" i="9"/>
  <c r="J744" i="1"/>
  <c r="F305" i="9"/>
  <c r="J784" i="1"/>
  <c r="D241" i="9"/>
  <c r="C549" i="10"/>
  <c r="C613" i="10"/>
  <c r="J773" i="1"/>
  <c r="G177" i="9"/>
  <c r="J807" i="1"/>
  <c r="F337" i="9"/>
  <c r="J745" i="1"/>
  <c r="G49" i="9"/>
  <c r="J799" i="1"/>
  <c r="E305" i="9"/>
  <c r="J812" i="1"/>
  <c r="D369" i="9"/>
  <c r="G17" i="9"/>
  <c r="E241" i="9"/>
  <c r="J785" i="1"/>
  <c r="C669" i="10"/>
  <c r="C497" i="10"/>
  <c r="J754" i="1"/>
  <c r="I81" i="9"/>
  <c r="J779" i="1"/>
  <c r="F209" i="9"/>
  <c r="J755" i="1"/>
  <c r="C113" i="9"/>
  <c r="H17" i="9"/>
  <c r="J739" i="1"/>
  <c r="G81" i="9"/>
  <c r="J752" i="1"/>
  <c r="J798" i="1"/>
  <c r="D305" i="9"/>
  <c r="C632" i="10"/>
  <c r="C547" i="10"/>
  <c r="D113" i="9"/>
  <c r="J756" i="1"/>
  <c r="J802" i="1"/>
  <c r="H305" i="9"/>
  <c r="J757" i="1"/>
  <c r="E113" i="9"/>
  <c r="F241" i="9"/>
  <c r="J786" i="1"/>
  <c r="J792" i="1"/>
  <c r="E273" i="9"/>
  <c r="F522" i="1"/>
  <c r="H522" i="1" s="1"/>
  <c r="F510" i="1"/>
  <c r="H510" i="1" s="1"/>
  <c r="F513" i="1"/>
  <c r="H513" i="1"/>
  <c r="C142" i="8"/>
  <c r="D393" i="1"/>
  <c r="H511" i="10"/>
  <c r="G511" i="10"/>
  <c r="C552" i="10"/>
  <c r="C635" i="10"/>
  <c r="C625" i="10"/>
  <c r="C562" i="10"/>
  <c r="C631" i="10"/>
  <c r="C546" i="10"/>
  <c r="C530" i="10"/>
  <c r="C702" i="10"/>
  <c r="G508" i="10"/>
  <c r="H508" i="10"/>
  <c r="C708" i="10"/>
  <c r="C536" i="10"/>
  <c r="G536" i="10" s="1"/>
  <c r="H521" i="10"/>
  <c r="G521" i="10"/>
  <c r="G509" i="10"/>
  <c r="H509" i="10"/>
  <c r="G512" i="10"/>
  <c r="H512" i="10"/>
  <c r="C572" i="10"/>
  <c r="C621" i="10"/>
  <c r="C694" i="10"/>
  <c r="C522" i="10"/>
  <c r="H517" i="10"/>
  <c r="G517" i="10"/>
  <c r="C619" i="10"/>
  <c r="C573" i="10"/>
  <c r="C615" i="10"/>
  <c r="C542" i="10"/>
  <c r="C556" i="10"/>
  <c r="C636" i="10"/>
  <c r="F538" i="1"/>
  <c r="H538" i="1"/>
  <c r="G507" i="10"/>
  <c r="H507" i="10"/>
  <c r="H529" i="10"/>
  <c r="G529" i="10"/>
  <c r="C564" i="10"/>
  <c r="C639" i="10"/>
  <c r="C532" i="10"/>
  <c r="G532" i="10" s="1"/>
  <c r="C704" i="10"/>
  <c r="G545" i="10"/>
  <c r="H545" i="10"/>
  <c r="G525" i="10"/>
  <c r="H525" i="10"/>
  <c r="F496" i="1"/>
  <c r="H496" i="1"/>
  <c r="F534" i="1"/>
  <c r="H534" i="1"/>
  <c r="H502" i="1"/>
  <c r="F502" i="1"/>
  <c r="H504" i="1"/>
  <c r="F504" i="1"/>
  <c r="H530" i="1"/>
  <c r="F530" i="1"/>
  <c r="C548" i="10"/>
  <c r="C623" i="10"/>
  <c r="F512" i="1"/>
  <c r="H512" i="1"/>
  <c r="F526" i="1"/>
  <c r="H526" i="1" s="1"/>
  <c r="F503" i="1"/>
  <c r="H503" i="1"/>
  <c r="H513" i="10"/>
  <c r="G513" i="10"/>
  <c r="H508" i="1"/>
  <c r="F508" i="1"/>
  <c r="C618" i="10"/>
  <c r="C558" i="10"/>
  <c r="C526" i="10"/>
  <c r="G526" i="10" s="1"/>
  <c r="C698" i="10"/>
  <c r="C696" i="10"/>
  <c r="C524" i="10"/>
  <c r="C568" i="10"/>
  <c r="C643" i="10"/>
  <c r="F514" i="1"/>
  <c r="H514" i="1" s="1"/>
  <c r="H507" i="1"/>
  <c r="F507" i="1"/>
  <c r="C641" i="10"/>
  <c r="C566" i="10"/>
  <c r="C550" i="10"/>
  <c r="C628" i="10"/>
  <c r="C534" i="10"/>
  <c r="C706" i="10"/>
  <c r="C518" i="10"/>
  <c r="C690" i="10"/>
  <c r="C540" i="10"/>
  <c r="C712" i="10"/>
  <c r="C544" i="10"/>
  <c r="C627" i="10"/>
  <c r="H518" i="1"/>
  <c r="F518" i="1"/>
  <c r="H546" i="1"/>
  <c r="F546" i="1"/>
  <c r="C528" i="10"/>
  <c r="C700" i="10"/>
  <c r="H495" i="10"/>
  <c r="G495" i="10"/>
  <c r="F506" i="1"/>
  <c r="H506" i="1"/>
  <c r="H500" i="1"/>
  <c r="F500" i="1"/>
  <c r="C645" i="10"/>
  <c r="C570" i="10"/>
  <c r="C554" i="10"/>
  <c r="C616" i="10"/>
  <c r="C710" i="10"/>
  <c r="C538" i="10"/>
  <c r="G538" i="10" s="1"/>
  <c r="F509" i="1"/>
  <c r="H509" i="1" s="1"/>
  <c r="C560" i="10"/>
  <c r="C620" i="10"/>
  <c r="C520" i="10"/>
  <c r="C692" i="10"/>
  <c r="I245" i="9" l="1"/>
  <c r="C551" i="1"/>
  <c r="G21" i="9"/>
  <c r="C373" i="9"/>
  <c r="C573" i="1"/>
  <c r="C500" i="1"/>
  <c r="G500" i="1" s="1"/>
  <c r="C562" i="1"/>
  <c r="C623" i="1"/>
  <c r="C648" i="1" s="1"/>
  <c r="M716" i="1" s="1"/>
  <c r="Y816" i="1" s="1"/>
  <c r="C506" i="1"/>
  <c r="G506" i="1" s="1"/>
  <c r="C678" i="1"/>
  <c r="C543" i="1"/>
  <c r="H213" i="9"/>
  <c r="C496" i="1"/>
  <c r="G496" i="1" s="1"/>
  <c r="C21" i="9"/>
  <c r="C513" i="1"/>
  <c r="G513" i="1" s="1"/>
  <c r="C685" i="1"/>
  <c r="F85" i="9"/>
  <c r="D669" i="1"/>
  <c r="D678" i="1"/>
  <c r="D691" i="1"/>
  <c r="D646" i="1"/>
  <c r="D640" i="1"/>
  <c r="D686" i="1"/>
  <c r="D621" i="1"/>
  <c r="D632" i="1"/>
  <c r="D716" i="1"/>
  <c r="D617" i="1"/>
  <c r="D647" i="1"/>
  <c r="D671" i="1"/>
  <c r="D690" i="1"/>
  <c r="D699" i="1"/>
  <c r="D626" i="1"/>
  <c r="D643" i="1"/>
  <c r="D673" i="1"/>
  <c r="D697" i="1"/>
  <c r="D708" i="1"/>
  <c r="D633" i="1"/>
  <c r="D675" i="1"/>
  <c r="D677" i="1"/>
  <c r="D685" i="1"/>
  <c r="D693" i="1"/>
  <c r="D672" i="1"/>
  <c r="D630" i="1"/>
  <c r="D689" i="1"/>
  <c r="D707" i="1"/>
  <c r="D634" i="1"/>
  <c r="D679" i="1"/>
  <c r="D636" i="1"/>
  <c r="D701" i="1"/>
  <c r="D637" i="1"/>
  <c r="D703" i="1"/>
  <c r="D692" i="1"/>
  <c r="D702" i="1"/>
  <c r="D620" i="1"/>
  <c r="D696" i="1"/>
  <c r="D694" i="1"/>
  <c r="D670" i="1"/>
  <c r="D700" i="1"/>
  <c r="D713" i="1"/>
  <c r="D641" i="1"/>
  <c r="D627" i="1"/>
  <c r="D687" i="1"/>
  <c r="D682" i="1"/>
  <c r="D681" i="1"/>
  <c r="D684" i="1"/>
  <c r="D683" i="1"/>
  <c r="D688" i="1"/>
  <c r="D712" i="1"/>
  <c r="D622" i="1"/>
  <c r="D642" i="1"/>
  <c r="D619" i="1"/>
  <c r="D709" i="1"/>
  <c r="D698" i="1"/>
  <c r="D680" i="1"/>
  <c r="D625" i="1"/>
  <c r="D695" i="1"/>
  <c r="D624" i="1"/>
  <c r="D706" i="1"/>
  <c r="D704" i="1"/>
  <c r="D639" i="1"/>
  <c r="D644" i="1"/>
  <c r="D711" i="1"/>
  <c r="D631" i="1"/>
  <c r="D628" i="1"/>
  <c r="D676" i="1"/>
  <c r="D710" i="1"/>
  <c r="D668" i="1"/>
  <c r="D635" i="1"/>
  <c r="D638" i="1"/>
  <c r="D618" i="1"/>
  <c r="D623" i="1"/>
  <c r="D674" i="1"/>
  <c r="D645" i="1"/>
  <c r="D616" i="1"/>
  <c r="D705" i="1"/>
  <c r="H497" i="10"/>
  <c r="G497" i="10"/>
  <c r="D614" i="10"/>
  <c r="C647" i="10"/>
  <c r="M715" i="10" s="1"/>
  <c r="Z815" i="10" s="1"/>
  <c r="H549" i="10"/>
  <c r="G549" i="10"/>
  <c r="F528" i="1"/>
  <c r="H528" i="1" s="1"/>
  <c r="F498" i="1"/>
  <c r="H498" i="1" s="1"/>
  <c r="F550" i="1"/>
  <c r="H550" i="1" s="1"/>
  <c r="C714" i="10"/>
  <c r="J734" i="1"/>
  <c r="J815" i="1" s="1"/>
  <c r="CE67" i="1"/>
  <c r="CE71" i="1" s="1"/>
  <c r="C716" i="1" s="1"/>
  <c r="C17" i="9"/>
  <c r="J733" i="10"/>
  <c r="J814" i="10" s="1"/>
  <c r="H545" i="1"/>
  <c r="F545" i="1"/>
  <c r="G534" i="10"/>
  <c r="H534" i="10"/>
  <c r="H525" i="1"/>
  <c r="F525" i="1"/>
  <c r="H522" i="10"/>
  <c r="G522" i="10"/>
  <c r="F529" i="1"/>
  <c r="H529" i="1" s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F527" i="1"/>
  <c r="H527" i="1" s="1"/>
  <c r="F539" i="1"/>
  <c r="H539" i="1"/>
  <c r="G528" i="10"/>
  <c r="H528" i="10"/>
  <c r="F519" i="1"/>
  <c r="H519" i="1"/>
  <c r="H524" i="10"/>
  <c r="G524" i="10"/>
  <c r="F523" i="1"/>
  <c r="H523" i="1"/>
  <c r="F537" i="1"/>
  <c r="H537" i="1"/>
  <c r="F531" i="1"/>
  <c r="H531" i="1"/>
  <c r="E623" i="1" l="1"/>
  <c r="E716" i="1" s="1"/>
  <c r="E612" i="1"/>
  <c r="C715" i="1"/>
  <c r="I373" i="9"/>
  <c r="D715" i="1"/>
  <c r="D642" i="10"/>
  <c r="D698" i="10"/>
  <c r="D630" i="10"/>
  <c r="D682" i="10"/>
  <c r="D643" i="10"/>
  <c r="D644" i="10"/>
  <c r="D688" i="10"/>
  <c r="D637" i="10"/>
  <c r="D625" i="10"/>
  <c r="D706" i="10"/>
  <c r="D634" i="10"/>
  <c r="D712" i="10"/>
  <c r="D695" i="10"/>
  <c r="D632" i="10"/>
  <c r="D686" i="10"/>
  <c r="D624" i="10"/>
  <c r="D669" i="10"/>
  <c r="D672" i="10"/>
  <c r="D618" i="10"/>
  <c r="D690" i="10"/>
  <c r="D708" i="10"/>
  <c r="D685" i="10"/>
  <c r="D676" i="10"/>
  <c r="D677" i="10"/>
  <c r="D679" i="10"/>
  <c r="D633" i="10"/>
  <c r="D620" i="10"/>
  <c r="D710" i="10"/>
  <c r="D671" i="10"/>
  <c r="D700" i="10"/>
  <c r="D678" i="10"/>
  <c r="D675" i="10"/>
  <c r="D691" i="10"/>
  <c r="D707" i="10"/>
  <c r="D615" i="10"/>
  <c r="D635" i="10"/>
  <c r="D639" i="10"/>
  <c r="D636" i="10"/>
  <c r="D629" i="10"/>
  <c r="D683" i="10"/>
  <c r="D704" i="10"/>
  <c r="D621" i="10"/>
  <c r="D696" i="10"/>
  <c r="D668" i="10"/>
  <c r="D640" i="10"/>
  <c r="D673" i="10"/>
  <c r="D684" i="10"/>
  <c r="D628" i="10"/>
  <c r="D619" i="10"/>
  <c r="D667" i="10"/>
  <c r="D709" i="10"/>
  <c r="D705" i="10"/>
  <c r="D702" i="10"/>
  <c r="D626" i="10"/>
  <c r="D697" i="10"/>
  <c r="D616" i="10"/>
  <c r="D680" i="10"/>
  <c r="D674" i="10"/>
  <c r="D631" i="10"/>
  <c r="D617" i="10"/>
  <c r="D687" i="10"/>
  <c r="D681" i="10"/>
  <c r="D699" i="10"/>
  <c r="D641" i="10"/>
  <c r="D693" i="10"/>
  <c r="D701" i="10"/>
  <c r="D645" i="10"/>
  <c r="D694" i="10"/>
  <c r="D711" i="10"/>
  <c r="D692" i="10"/>
  <c r="D715" i="10"/>
  <c r="D638" i="10"/>
  <c r="D627" i="10"/>
  <c r="D623" i="10"/>
  <c r="D670" i="10"/>
  <c r="D703" i="10"/>
  <c r="D646" i="10"/>
  <c r="D622" i="10"/>
  <c r="D689" i="10"/>
  <c r="I369" i="9"/>
  <c r="C433" i="1"/>
  <c r="C441" i="1" s="1"/>
  <c r="J816" i="1"/>
  <c r="J815" i="10"/>
  <c r="C432" i="10"/>
  <c r="C441" i="10" s="1"/>
  <c r="E679" i="1" l="1"/>
  <c r="E668" i="1"/>
  <c r="E709" i="1"/>
  <c r="E678" i="1"/>
  <c r="E699" i="1"/>
  <c r="E685" i="1"/>
  <c r="E622" i="10"/>
  <c r="E611" i="10"/>
  <c r="E644" i="1"/>
  <c r="E633" i="1"/>
  <c r="E689" i="1"/>
  <c r="E684" i="1"/>
  <c r="E627" i="1"/>
  <c r="E672" i="1"/>
  <c r="E705" i="1"/>
  <c r="E697" i="1"/>
  <c r="E635" i="1"/>
  <c r="E703" i="1"/>
  <c r="E695" i="1"/>
  <c r="E643" i="1"/>
  <c r="E682" i="1"/>
  <c r="E696" i="1"/>
  <c r="E712" i="1"/>
  <c r="E636" i="1"/>
  <c r="E677" i="1"/>
  <c r="E673" i="1"/>
  <c r="E692" i="1"/>
  <c r="E687" i="1"/>
  <c r="E694" i="1"/>
  <c r="E632" i="1"/>
  <c r="E690" i="1"/>
  <c r="E706" i="1"/>
  <c r="E641" i="1"/>
  <c r="E702" i="1"/>
  <c r="E688" i="1"/>
  <c r="E647" i="1"/>
  <c r="E669" i="1"/>
  <c r="E642" i="1"/>
  <c r="E711" i="1"/>
  <c r="E626" i="1"/>
  <c r="E670" i="1"/>
  <c r="E686" i="1"/>
  <c r="E691" i="1"/>
  <c r="E625" i="1"/>
  <c r="E707" i="1"/>
  <c r="E700" i="1"/>
  <c r="E675" i="1"/>
  <c r="E639" i="1"/>
  <c r="E683" i="1"/>
  <c r="E629" i="1"/>
  <c r="E680" i="1"/>
  <c r="E710" i="1"/>
  <c r="E681" i="1"/>
  <c r="E640" i="1"/>
  <c r="E638" i="1"/>
  <c r="E634" i="1"/>
  <c r="E713" i="1"/>
  <c r="E646" i="1"/>
  <c r="E676" i="1"/>
  <c r="E671" i="1"/>
  <c r="E698" i="1"/>
  <c r="E693" i="1"/>
  <c r="E630" i="1"/>
  <c r="E645" i="1"/>
  <c r="E701" i="1"/>
  <c r="E631" i="1"/>
  <c r="E637" i="1"/>
  <c r="E674" i="1"/>
  <c r="E624" i="1"/>
  <c r="E704" i="1"/>
  <c r="E708" i="1"/>
  <c r="E628" i="1"/>
  <c r="D714" i="10"/>
  <c r="E691" i="10" l="1"/>
  <c r="E715" i="10"/>
  <c r="E693" i="10"/>
  <c r="E634" i="10"/>
  <c r="E688" i="10"/>
  <c r="E689" i="10"/>
  <c r="E690" i="10"/>
  <c r="E626" i="10"/>
  <c r="E698" i="10"/>
  <c r="E695" i="10"/>
  <c r="E672" i="10"/>
  <c r="E641" i="10"/>
  <c r="E637" i="10"/>
  <c r="E703" i="10"/>
  <c r="E712" i="10"/>
  <c r="E624" i="10"/>
  <c r="E669" i="10"/>
  <c r="E671" i="10"/>
  <c r="E694" i="10"/>
  <c r="E645" i="10"/>
  <c r="E632" i="10"/>
  <c r="E639" i="10"/>
  <c r="E670" i="10"/>
  <c r="E640" i="10"/>
  <c r="E638" i="10"/>
  <c r="E674" i="10"/>
  <c r="E705" i="10"/>
  <c r="E623" i="10"/>
  <c r="E710" i="10"/>
  <c r="E709" i="10"/>
  <c r="E687" i="10"/>
  <c r="E711" i="10"/>
  <c r="E675" i="10"/>
  <c r="E676" i="10"/>
  <c r="E685" i="10"/>
  <c r="E706" i="10"/>
  <c r="E696" i="10"/>
  <c r="E681" i="10"/>
  <c r="E628" i="10"/>
  <c r="E683" i="10"/>
  <c r="E704" i="10"/>
  <c r="E625" i="10"/>
  <c r="E699" i="10"/>
  <c r="E646" i="10"/>
  <c r="E642" i="10"/>
  <c r="E629" i="10"/>
  <c r="E682" i="10"/>
  <c r="E684" i="10"/>
  <c r="E644" i="10"/>
  <c r="E636" i="10"/>
  <c r="E678" i="10"/>
  <c r="E643" i="10"/>
  <c r="E708" i="10"/>
  <c r="E668" i="10"/>
  <c r="E627" i="10"/>
  <c r="E680" i="10"/>
  <c r="E633" i="10"/>
  <c r="E667" i="10"/>
  <c r="E707" i="10"/>
  <c r="E631" i="10"/>
  <c r="E692" i="10"/>
  <c r="E630" i="10"/>
  <c r="E700" i="10"/>
  <c r="E673" i="10"/>
  <c r="E702" i="10"/>
  <c r="E686" i="10"/>
  <c r="E701" i="10"/>
  <c r="E697" i="10"/>
  <c r="E679" i="10"/>
  <c r="E677" i="10"/>
  <c r="E635" i="10"/>
  <c r="E715" i="1"/>
  <c r="F624" i="1"/>
  <c r="F623" i="10" l="1"/>
  <c r="E714" i="10"/>
  <c r="F692" i="1"/>
  <c r="F704" i="1"/>
  <c r="F711" i="1"/>
  <c r="F708" i="1"/>
  <c r="F687" i="1"/>
  <c r="F637" i="1"/>
  <c r="F671" i="1"/>
  <c r="F695" i="1"/>
  <c r="F668" i="1"/>
  <c r="F701" i="1"/>
  <c r="F632" i="1"/>
  <c r="F707" i="1"/>
  <c r="F644" i="1"/>
  <c r="F684" i="1"/>
  <c r="F686" i="1"/>
  <c r="F641" i="1"/>
  <c r="F679" i="1"/>
  <c r="F698" i="1"/>
  <c r="F669" i="1"/>
  <c r="F629" i="1"/>
  <c r="F630" i="1"/>
  <c r="F693" i="1"/>
  <c r="F703" i="1"/>
  <c r="F716" i="1"/>
  <c r="F638" i="1"/>
  <c r="F691" i="1"/>
  <c r="F702" i="1"/>
  <c r="F681" i="1"/>
  <c r="F688" i="1"/>
  <c r="F647" i="1"/>
  <c r="F682" i="1"/>
  <c r="F699" i="1"/>
  <c r="F674" i="1"/>
  <c r="F675" i="1"/>
  <c r="F643" i="1"/>
  <c r="F696" i="1"/>
  <c r="F635" i="1"/>
  <c r="F710" i="1"/>
  <c r="F627" i="1"/>
  <c r="F636" i="1"/>
  <c r="F628" i="1"/>
  <c r="F683" i="1"/>
  <c r="F706" i="1"/>
  <c r="F631" i="1"/>
  <c r="F676" i="1"/>
  <c r="F626" i="1"/>
  <c r="F680" i="1"/>
  <c r="F709" i="1"/>
  <c r="F690" i="1"/>
  <c r="F670" i="1"/>
  <c r="F646" i="1"/>
  <c r="F712" i="1"/>
  <c r="F697" i="1"/>
  <c r="F705" i="1"/>
  <c r="F713" i="1"/>
  <c r="F677" i="1"/>
  <c r="F645" i="1"/>
  <c r="F678" i="1"/>
  <c r="F672" i="1"/>
  <c r="F673" i="1"/>
  <c r="F640" i="1"/>
  <c r="F639" i="1"/>
  <c r="F694" i="1"/>
  <c r="F642" i="1"/>
  <c r="F634" i="1"/>
  <c r="F625" i="1"/>
  <c r="F685" i="1"/>
  <c r="F633" i="1"/>
  <c r="F700" i="1"/>
  <c r="F689" i="1"/>
  <c r="F675" i="10" l="1"/>
  <c r="F630" i="10"/>
  <c r="F680" i="10"/>
  <c r="F633" i="10"/>
  <c r="F637" i="10"/>
  <c r="F694" i="10"/>
  <c r="F704" i="10"/>
  <c r="F706" i="10"/>
  <c r="F712" i="10"/>
  <c r="F639" i="10"/>
  <c r="F682" i="10"/>
  <c r="F686" i="10"/>
  <c r="F638" i="10"/>
  <c r="F670" i="10"/>
  <c r="F629" i="10"/>
  <c r="F685" i="10"/>
  <c r="F697" i="10"/>
  <c r="F700" i="10"/>
  <c r="F631" i="10"/>
  <c r="F626" i="10"/>
  <c r="F643" i="10"/>
  <c r="F667" i="10"/>
  <c r="F701" i="10"/>
  <c r="F707" i="10"/>
  <c r="F640" i="10"/>
  <c r="F642" i="10"/>
  <c r="F689" i="10"/>
  <c r="F708" i="10"/>
  <c r="F635" i="10"/>
  <c r="F636" i="10"/>
  <c r="F634" i="10"/>
  <c r="F683" i="10"/>
  <c r="F688" i="10"/>
  <c r="F692" i="10"/>
  <c r="F624" i="10"/>
  <c r="F684" i="10"/>
  <c r="F641" i="10"/>
  <c r="F711" i="10"/>
  <c r="F632" i="10"/>
  <c r="F673" i="10"/>
  <c r="F687" i="10"/>
  <c r="F709" i="10"/>
  <c r="F671" i="10"/>
  <c r="F695" i="10"/>
  <c r="F696" i="10"/>
  <c r="F668" i="10"/>
  <c r="F691" i="10"/>
  <c r="F710" i="10"/>
  <c r="F644" i="10"/>
  <c r="F690" i="10"/>
  <c r="F681" i="10"/>
  <c r="F705" i="10"/>
  <c r="F645" i="10"/>
  <c r="F693" i="10"/>
  <c r="F715" i="10"/>
  <c r="F679" i="10"/>
  <c r="F672" i="10"/>
  <c r="F699" i="10"/>
  <c r="F678" i="10"/>
  <c r="F646" i="10"/>
  <c r="F703" i="10"/>
  <c r="F676" i="10"/>
  <c r="F628" i="10"/>
  <c r="F669" i="10"/>
  <c r="F677" i="10"/>
  <c r="F625" i="10"/>
  <c r="F674" i="10"/>
  <c r="F698" i="10"/>
  <c r="F702" i="10"/>
  <c r="F627" i="10"/>
  <c r="F715" i="1"/>
  <c r="G625" i="1"/>
  <c r="F714" i="10" l="1"/>
  <c r="G624" i="10"/>
  <c r="G636" i="1"/>
  <c r="G628" i="1"/>
  <c r="G676" i="1"/>
  <c r="G696" i="1"/>
  <c r="G640" i="1"/>
  <c r="G691" i="1"/>
  <c r="G630" i="1"/>
  <c r="G706" i="1"/>
  <c r="G694" i="1"/>
  <c r="G680" i="1"/>
  <c r="G668" i="1"/>
  <c r="G627" i="1"/>
  <c r="G697" i="1"/>
  <c r="G631" i="1"/>
  <c r="G672" i="1"/>
  <c r="G682" i="1"/>
  <c r="G638" i="1"/>
  <c r="G645" i="1"/>
  <c r="G669" i="1"/>
  <c r="G688" i="1"/>
  <c r="G689" i="1"/>
  <c r="G679" i="1"/>
  <c r="G713" i="1"/>
  <c r="G637" i="1"/>
  <c r="G683" i="1"/>
  <c r="G646" i="1"/>
  <c r="G629" i="1"/>
  <c r="G643" i="1"/>
  <c r="G635" i="1"/>
  <c r="G674" i="1"/>
  <c r="G675" i="1"/>
  <c r="G684" i="1"/>
  <c r="G639" i="1"/>
  <c r="G695" i="1"/>
  <c r="G671" i="1"/>
  <c r="G703" i="1"/>
  <c r="G673" i="1"/>
  <c r="G644" i="1"/>
  <c r="G712" i="1"/>
  <c r="G633" i="1"/>
  <c r="G698" i="1"/>
  <c r="G708" i="1"/>
  <c r="G632" i="1"/>
  <c r="G707" i="1"/>
  <c r="G700" i="1"/>
  <c r="G693" i="1"/>
  <c r="G716" i="1"/>
  <c r="G687" i="1"/>
  <c r="G626" i="1"/>
  <c r="G642" i="1"/>
  <c r="G641" i="1"/>
  <c r="G647" i="1"/>
  <c r="G677" i="1"/>
  <c r="G710" i="1"/>
  <c r="G670" i="1"/>
  <c r="G686" i="1"/>
  <c r="G709" i="1"/>
  <c r="G634" i="1"/>
  <c r="G702" i="1"/>
  <c r="G704" i="1"/>
  <c r="G705" i="1"/>
  <c r="G699" i="1"/>
  <c r="G692" i="1"/>
  <c r="G685" i="1"/>
  <c r="G690" i="1"/>
  <c r="G711" i="1"/>
  <c r="G681" i="1"/>
  <c r="G701" i="1"/>
  <c r="G678" i="1"/>
  <c r="H628" i="1" l="1"/>
  <c r="H684" i="1" s="1"/>
  <c r="G643" i="10"/>
  <c r="G696" i="10"/>
  <c r="G691" i="10"/>
  <c r="G669" i="10"/>
  <c r="G707" i="10"/>
  <c r="G639" i="10"/>
  <c r="G688" i="10"/>
  <c r="G674" i="10"/>
  <c r="G644" i="10"/>
  <c r="G680" i="10"/>
  <c r="G709" i="10"/>
  <c r="G635" i="10"/>
  <c r="G675" i="10"/>
  <c r="G641" i="10"/>
  <c r="G710" i="10"/>
  <c r="G676" i="10"/>
  <c r="G631" i="10"/>
  <c r="G679" i="10"/>
  <c r="G637" i="10"/>
  <c r="G677" i="10"/>
  <c r="G703" i="10"/>
  <c r="G705" i="10"/>
  <c r="G704" i="10"/>
  <c r="G627" i="10"/>
  <c r="G633" i="10"/>
  <c r="G683" i="10"/>
  <c r="G700" i="10"/>
  <c r="G689" i="10"/>
  <c r="G673" i="10"/>
  <c r="G711" i="10"/>
  <c r="G629" i="10"/>
  <c r="G626" i="10"/>
  <c r="G715" i="10"/>
  <c r="G706" i="10"/>
  <c r="G698" i="10"/>
  <c r="G697" i="10"/>
  <c r="G695" i="10"/>
  <c r="G636" i="10"/>
  <c r="G682" i="10"/>
  <c r="G667" i="10"/>
  <c r="G708" i="10"/>
  <c r="G671" i="10"/>
  <c r="G670" i="10"/>
  <c r="G686" i="10"/>
  <c r="G693" i="10"/>
  <c r="G699" i="10"/>
  <c r="G678" i="10"/>
  <c r="G634" i="10"/>
  <c r="G681" i="10"/>
  <c r="G684" i="10"/>
  <c r="G646" i="10"/>
  <c r="G625" i="10"/>
  <c r="G645" i="10"/>
  <c r="G685" i="10"/>
  <c r="G668" i="10"/>
  <c r="G712" i="10"/>
  <c r="G632" i="10"/>
  <c r="G701" i="10"/>
  <c r="G640" i="10"/>
  <c r="G694" i="10"/>
  <c r="G642" i="10"/>
  <c r="G690" i="10"/>
  <c r="G687" i="10"/>
  <c r="G692" i="10"/>
  <c r="G638" i="10"/>
  <c r="G702" i="10"/>
  <c r="G628" i="10"/>
  <c r="G630" i="10"/>
  <c r="G672" i="10"/>
  <c r="H691" i="1"/>
  <c r="H700" i="1"/>
  <c r="H695" i="1"/>
  <c r="H671" i="1"/>
  <c r="H642" i="1"/>
  <c r="H680" i="1"/>
  <c r="H705" i="1"/>
  <c r="H694" i="1"/>
  <c r="H686" i="1"/>
  <c r="H681" i="1"/>
  <c r="H639" i="1"/>
  <c r="H630" i="1"/>
  <c r="H669" i="1"/>
  <c r="H643" i="1"/>
  <c r="H645" i="1"/>
  <c r="H689" i="1"/>
  <c r="H672" i="1"/>
  <c r="H692" i="1"/>
  <c r="H633" i="1"/>
  <c r="H699" i="1"/>
  <c r="H698" i="1"/>
  <c r="H634" i="1"/>
  <c r="H683" i="1"/>
  <c r="H697" i="1"/>
  <c r="H690" i="1"/>
  <c r="H641" i="1"/>
  <c r="H646" i="1"/>
  <c r="H668" i="1"/>
  <c r="H632" i="1"/>
  <c r="H629" i="1"/>
  <c r="I629" i="1" s="1"/>
  <c r="H678" i="1"/>
  <c r="H636" i="1"/>
  <c r="H677" i="1"/>
  <c r="H708" i="1"/>
  <c r="H682" i="1"/>
  <c r="H647" i="1"/>
  <c r="H675" i="1"/>
  <c r="H673" i="1"/>
  <c r="H635" i="1"/>
  <c r="H716" i="1"/>
  <c r="H703" i="1"/>
  <c r="H704" i="1"/>
  <c r="H644" i="1"/>
  <c r="H688" i="1"/>
  <c r="H685" i="1"/>
  <c r="H670" i="1"/>
  <c r="H710" i="1"/>
  <c r="H674" i="1"/>
  <c r="H707" i="1"/>
  <c r="H631" i="1"/>
  <c r="H711" i="1"/>
  <c r="H676" i="1"/>
  <c r="H640" i="1"/>
  <c r="H696" i="1"/>
  <c r="H702" i="1"/>
  <c r="H637" i="1"/>
  <c r="H706" i="1"/>
  <c r="H713" i="1"/>
  <c r="H693" i="1"/>
  <c r="H701" i="1"/>
  <c r="H712" i="1"/>
  <c r="H679" i="1"/>
  <c r="H638" i="1"/>
  <c r="H709" i="1"/>
  <c r="G715" i="1"/>
  <c r="H687" i="1" l="1"/>
  <c r="I707" i="1"/>
  <c r="I713" i="1"/>
  <c r="I674" i="1"/>
  <c r="I632" i="1"/>
  <c r="I705" i="1"/>
  <c r="I687" i="1"/>
  <c r="I638" i="1"/>
  <c r="I704" i="1"/>
  <c r="I706" i="1"/>
  <c r="I695" i="1"/>
  <c r="I630" i="1"/>
  <c r="J630" i="1" s="1"/>
  <c r="I689" i="1"/>
  <c r="I641" i="1"/>
  <c r="I639" i="1"/>
  <c r="I711" i="1"/>
  <c r="I631" i="1"/>
  <c r="I694" i="1"/>
  <c r="I710" i="1"/>
  <c r="I708" i="1"/>
  <c r="I633" i="1"/>
  <c r="I697" i="1"/>
  <c r="I634" i="1"/>
  <c r="I672" i="1"/>
  <c r="I646" i="1"/>
  <c r="I645" i="1"/>
  <c r="I686" i="1"/>
  <c r="I676" i="1"/>
  <c r="I683" i="1"/>
  <c r="I675" i="1"/>
  <c r="I696" i="1"/>
  <c r="I699" i="1"/>
  <c r="I678" i="1"/>
  <c r="I680" i="1"/>
  <c r="I673" i="1"/>
  <c r="I643" i="1"/>
  <c r="I640" i="1"/>
  <c r="I690" i="1"/>
  <c r="I688" i="1"/>
  <c r="I635" i="1"/>
  <c r="I668" i="1"/>
  <c r="I709" i="1"/>
  <c r="I700" i="1"/>
  <c r="I669" i="1"/>
  <c r="I679" i="1"/>
  <c r="I682" i="1"/>
  <c r="I637" i="1"/>
  <c r="I703" i="1"/>
  <c r="I716" i="1"/>
  <c r="I681" i="1"/>
  <c r="I677" i="1"/>
  <c r="I693" i="1"/>
  <c r="I712" i="1"/>
  <c r="I647" i="1"/>
  <c r="I670" i="1"/>
  <c r="I684" i="1"/>
  <c r="I692" i="1"/>
  <c r="I691" i="1"/>
  <c r="I671" i="1"/>
  <c r="I685" i="1"/>
  <c r="I642" i="1"/>
  <c r="I701" i="1"/>
  <c r="I698" i="1"/>
  <c r="I636" i="1"/>
  <c r="I644" i="1"/>
  <c r="I702" i="1"/>
  <c r="H627" i="10"/>
  <c r="H705" i="10" s="1"/>
  <c r="H715" i="1"/>
  <c r="H670" i="10"/>
  <c r="H629" i="10"/>
  <c r="H684" i="10"/>
  <c r="H673" i="10"/>
  <c r="H671" i="10"/>
  <c r="H692" i="10"/>
  <c r="H712" i="10"/>
  <c r="H678" i="10"/>
  <c r="H644" i="10"/>
  <c r="H636" i="10"/>
  <c r="H697" i="10"/>
  <c r="H694" i="10"/>
  <c r="H641" i="10"/>
  <c r="H686" i="10"/>
  <c r="H637" i="10"/>
  <c r="H707" i="10"/>
  <c r="H642" i="10"/>
  <c r="H632" i="10"/>
  <c r="H676" i="10"/>
  <c r="H639" i="10"/>
  <c r="H680" i="10"/>
  <c r="H706" i="10"/>
  <c r="H702" i="10"/>
  <c r="H679" i="10"/>
  <c r="H630" i="10"/>
  <c r="H687" i="10"/>
  <c r="H681" i="10"/>
  <c r="H677" i="10"/>
  <c r="H675" i="10"/>
  <c r="H672" i="10"/>
  <c r="H709" i="10"/>
  <c r="H667" i="10"/>
  <c r="H690" i="10"/>
  <c r="H699" i="10"/>
  <c r="H703" i="10"/>
  <c r="H688" i="10"/>
  <c r="H696" i="10"/>
  <c r="H646" i="10"/>
  <c r="H689" i="10"/>
  <c r="H674" i="10"/>
  <c r="H704" i="10"/>
  <c r="H695" i="10"/>
  <c r="H700" i="10"/>
  <c r="H691" i="10"/>
  <c r="H701" i="10"/>
  <c r="G714" i="10"/>
  <c r="I715" i="1" l="1"/>
  <c r="H633" i="10"/>
  <c r="H645" i="10"/>
  <c r="H634" i="10"/>
  <c r="H640" i="10"/>
  <c r="H710" i="10"/>
  <c r="H708" i="10"/>
  <c r="H693" i="10"/>
  <c r="H698" i="10"/>
  <c r="H685" i="10"/>
  <c r="H631" i="10"/>
  <c r="H682" i="10"/>
  <c r="H668" i="10"/>
  <c r="H683" i="10"/>
  <c r="H643" i="10"/>
  <c r="H628" i="10"/>
  <c r="I628" i="10" s="1"/>
  <c r="H711" i="10"/>
  <c r="H638" i="10"/>
  <c r="H669" i="10"/>
  <c r="H715" i="10"/>
  <c r="H635" i="10"/>
  <c r="J709" i="1"/>
  <c r="J687" i="1"/>
  <c r="J705" i="1"/>
  <c r="J686" i="1"/>
  <c r="J671" i="1"/>
  <c r="J716" i="1"/>
  <c r="J690" i="1"/>
  <c r="J643" i="1"/>
  <c r="J680" i="1"/>
  <c r="J713" i="1"/>
  <c r="J636" i="1"/>
  <c r="J645" i="1"/>
  <c r="J698" i="1"/>
  <c r="J639" i="1"/>
  <c r="J681" i="1"/>
  <c r="J701" i="1"/>
  <c r="J702" i="1"/>
  <c r="J708" i="1"/>
  <c r="J711" i="1"/>
  <c r="J683" i="1"/>
  <c r="J675" i="1"/>
  <c r="J706" i="1"/>
  <c r="J710" i="1"/>
  <c r="J673" i="1"/>
  <c r="J678" i="1"/>
  <c r="J691" i="1"/>
  <c r="J669" i="1"/>
  <c r="J694" i="1"/>
  <c r="J693" i="1"/>
  <c r="J684" i="1"/>
  <c r="J670" i="1"/>
  <c r="J695" i="1"/>
  <c r="J696" i="1"/>
  <c r="J700" i="1"/>
  <c r="J641" i="1"/>
  <c r="J640" i="1"/>
  <c r="J682" i="1"/>
  <c r="J631" i="1"/>
  <c r="J674" i="1"/>
  <c r="J704" i="1"/>
  <c r="J677" i="1"/>
  <c r="J642" i="1"/>
  <c r="J647" i="1"/>
  <c r="J689" i="1"/>
  <c r="J688" i="1"/>
  <c r="J699" i="1"/>
  <c r="J697" i="1"/>
  <c r="J646" i="1"/>
  <c r="J703" i="1"/>
  <c r="J635" i="1"/>
  <c r="J634" i="1"/>
  <c r="J685" i="1"/>
  <c r="J692" i="1"/>
  <c r="J712" i="1"/>
  <c r="J679" i="1"/>
  <c r="J633" i="1"/>
  <c r="J707" i="1"/>
  <c r="J644" i="1"/>
  <c r="J632" i="1"/>
  <c r="J676" i="1"/>
  <c r="J668" i="1"/>
  <c r="J637" i="1"/>
  <c r="J638" i="1"/>
  <c r="J672" i="1"/>
  <c r="L647" i="1" l="1"/>
  <c r="L672" i="1" s="1"/>
  <c r="K644" i="1"/>
  <c r="K692" i="1" s="1"/>
  <c r="J715" i="1"/>
  <c r="H714" i="10"/>
  <c r="I711" i="10"/>
  <c r="I630" i="10"/>
  <c r="I629" i="10"/>
  <c r="I634" i="10"/>
  <c r="I637" i="10"/>
  <c r="I633" i="10"/>
  <c r="I639" i="10"/>
  <c r="I641" i="10"/>
  <c r="I709" i="10"/>
  <c r="I695" i="10"/>
  <c r="I703" i="10"/>
  <c r="I683" i="10"/>
  <c r="I686" i="10"/>
  <c r="I696" i="10"/>
  <c r="I685" i="10"/>
  <c r="I682" i="10"/>
  <c r="I699" i="10"/>
  <c r="I715" i="10"/>
  <c r="I679" i="10"/>
  <c r="I694" i="10"/>
  <c r="I707" i="10"/>
  <c r="I700" i="10"/>
  <c r="I668" i="10"/>
  <c r="I689" i="10"/>
  <c r="I636" i="10"/>
  <c r="I642" i="10"/>
  <c r="I702" i="10"/>
  <c r="I710" i="10"/>
  <c r="I687" i="10"/>
  <c r="I677" i="10"/>
  <c r="I676" i="10"/>
  <c r="I701" i="10"/>
  <c r="I640" i="10"/>
  <c r="I644" i="10"/>
  <c r="I688" i="10"/>
  <c r="I697" i="10"/>
  <c r="I690" i="10"/>
  <c r="I643" i="10"/>
  <c r="I708" i="10"/>
  <c r="I674" i="10"/>
  <c r="I669" i="10"/>
  <c r="I678" i="10"/>
  <c r="I673" i="10"/>
  <c r="I672" i="10"/>
  <c r="I693" i="10"/>
  <c r="I680" i="10"/>
  <c r="I706" i="10"/>
  <c r="I632" i="10"/>
  <c r="I667" i="10"/>
  <c r="I631" i="10"/>
  <c r="I692" i="10"/>
  <c r="I698" i="10"/>
  <c r="I646" i="10"/>
  <c r="I712" i="10"/>
  <c r="I645" i="10"/>
  <c r="I684" i="10"/>
  <c r="I691" i="10"/>
  <c r="I675" i="10"/>
  <c r="I638" i="10"/>
  <c r="I635" i="10"/>
  <c r="I671" i="10"/>
  <c r="I670" i="10"/>
  <c r="I705" i="10"/>
  <c r="I704" i="10"/>
  <c r="I681" i="10"/>
  <c r="K700" i="1" l="1"/>
  <c r="K670" i="1"/>
  <c r="K687" i="1"/>
  <c r="K712" i="1"/>
  <c r="K676" i="1"/>
  <c r="K681" i="1"/>
  <c r="K710" i="1"/>
  <c r="K705" i="1"/>
  <c r="K684" i="1"/>
  <c r="K716" i="1"/>
  <c r="K682" i="1"/>
  <c r="K685" i="1"/>
  <c r="L679" i="1"/>
  <c r="L671" i="1"/>
  <c r="L691" i="1"/>
  <c r="L697" i="1"/>
  <c r="L711" i="1"/>
  <c r="L693" i="1"/>
  <c r="L684" i="1"/>
  <c r="L698" i="1"/>
  <c r="L677" i="1"/>
  <c r="L674" i="1"/>
  <c r="L701" i="1"/>
  <c r="L709" i="1"/>
  <c r="L700" i="1"/>
  <c r="L669" i="1"/>
  <c r="L716" i="1"/>
  <c r="L713" i="1"/>
  <c r="L680" i="1"/>
  <c r="L683" i="1"/>
  <c r="L702" i="1"/>
  <c r="L696" i="1"/>
  <c r="L695" i="1"/>
  <c r="L678" i="1"/>
  <c r="L704" i="1"/>
  <c r="L703" i="1"/>
  <c r="L705" i="1"/>
  <c r="L668" i="1"/>
  <c r="L707" i="1"/>
  <c r="L708" i="1"/>
  <c r="L676" i="1"/>
  <c r="L688" i="1"/>
  <c r="L673" i="1"/>
  <c r="L692" i="1"/>
  <c r="M692" i="1" s="1"/>
  <c r="L690" i="1"/>
  <c r="L675" i="1"/>
  <c r="L681" i="1"/>
  <c r="L712" i="1"/>
  <c r="M712" i="1" s="1"/>
  <c r="E215" i="9" s="1"/>
  <c r="L686" i="1"/>
  <c r="L689" i="1"/>
  <c r="L699" i="1"/>
  <c r="K708" i="1"/>
  <c r="K694" i="1"/>
  <c r="K679" i="1"/>
  <c r="K702" i="1"/>
  <c r="K697" i="1"/>
  <c r="K689" i="1"/>
  <c r="K678" i="1"/>
  <c r="K695" i="1"/>
  <c r="L687" i="1"/>
  <c r="L706" i="1"/>
  <c r="L670" i="1"/>
  <c r="L685" i="1"/>
  <c r="M685" i="1" s="1"/>
  <c r="F87" i="9" s="1"/>
  <c r="K690" i="1"/>
  <c r="K707" i="1"/>
  <c r="K713" i="1"/>
  <c r="K677" i="1"/>
  <c r="K674" i="1"/>
  <c r="K669" i="1"/>
  <c r="K688" i="1"/>
  <c r="K701" i="1"/>
  <c r="K704" i="1"/>
  <c r="K693" i="1"/>
  <c r="L710" i="1"/>
  <c r="K683" i="1"/>
  <c r="K671" i="1"/>
  <c r="K709" i="1"/>
  <c r="K698" i="1"/>
  <c r="M698" i="1" s="1"/>
  <c r="Y764" i="1" s="1"/>
  <c r="K668" i="1"/>
  <c r="K699" i="1"/>
  <c r="K675" i="1"/>
  <c r="K680" i="1"/>
  <c r="K691" i="1"/>
  <c r="K686" i="1"/>
  <c r="K696" i="1"/>
  <c r="L682" i="1"/>
  <c r="L694" i="1"/>
  <c r="K673" i="1"/>
  <c r="K703" i="1"/>
  <c r="K711" i="1"/>
  <c r="K672" i="1"/>
  <c r="M672" i="1" s="1"/>
  <c r="K706" i="1"/>
  <c r="I714" i="10"/>
  <c r="J629" i="10"/>
  <c r="L715" i="1" l="1"/>
  <c r="M670" i="1"/>
  <c r="E23" i="9" s="1"/>
  <c r="M688" i="1"/>
  <c r="Y754" i="1" s="1"/>
  <c r="M695" i="1"/>
  <c r="I119" i="9" s="1"/>
  <c r="M699" i="1"/>
  <c r="Y765" i="1" s="1"/>
  <c r="M694" i="1"/>
  <c r="Y760" i="1" s="1"/>
  <c r="M703" i="1"/>
  <c r="C183" i="9" s="1"/>
  <c r="M705" i="1"/>
  <c r="E183" i="9" s="1"/>
  <c r="M693" i="1"/>
  <c r="G119" i="9" s="1"/>
  <c r="M676" i="1"/>
  <c r="D55" i="9" s="1"/>
  <c r="M683" i="1"/>
  <c r="Y749" i="1" s="1"/>
  <c r="M700" i="1"/>
  <c r="Y766" i="1" s="1"/>
  <c r="M711" i="1"/>
  <c r="Y777" i="1" s="1"/>
  <c r="M686" i="1"/>
  <c r="G87" i="9" s="1"/>
  <c r="M704" i="1"/>
  <c r="D183" i="9" s="1"/>
  <c r="M684" i="1"/>
  <c r="Y750" i="1" s="1"/>
  <c r="M675" i="1"/>
  <c r="C55" i="9" s="1"/>
  <c r="M687" i="1"/>
  <c r="M673" i="1"/>
  <c r="Y739" i="1" s="1"/>
  <c r="M678" i="1"/>
  <c r="F55" i="9" s="1"/>
  <c r="M682" i="1"/>
  <c r="Y748" i="1" s="1"/>
  <c r="M710" i="1"/>
  <c r="C215" i="9" s="1"/>
  <c r="M709" i="1"/>
  <c r="I183" i="9" s="1"/>
  <c r="Y778" i="1"/>
  <c r="M674" i="1"/>
  <c r="I23" i="9" s="1"/>
  <c r="M681" i="1"/>
  <c r="I55" i="9" s="1"/>
  <c r="M707" i="1"/>
  <c r="Y773" i="1" s="1"/>
  <c r="M677" i="1"/>
  <c r="Y743" i="1" s="1"/>
  <c r="M708" i="1"/>
  <c r="H183" i="9" s="1"/>
  <c r="M696" i="1"/>
  <c r="C151" i="9" s="1"/>
  <c r="M668" i="1"/>
  <c r="C23" i="9" s="1"/>
  <c r="M690" i="1"/>
  <c r="Y756" i="1" s="1"/>
  <c r="M697" i="1"/>
  <c r="D151" i="9" s="1"/>
  <c r="M671" i="1"/>
  <c r="Y737" i="1" s="1"/>
  <c r="M702" i="1"/>
  <c r="Y768" i="1" s="1"/>
  <c r="F119" i="9"/>
  <c r="Y758" i="1"/>
  <c r="M691" i="1"/>
  <c r="Y757" i="1" s="1"/>
  <c r="M679" i="1"/>
  <c r="G55" i="9" s="1"/>
  <c r="Y751" i="1"/>
  <c r="M680" i="1"/>
  <c r="H55" i="9" s="1"/>
  <c r="M713" i="1"/>
  <c r="F215" i="9" s="1"/>
  <c r="Y736" i="1"/>
  <c r="M701" i="1"/>
  <c r="Y767" i="1" s="1"/>
  <c r="M669" i="1"/>
  <c r="Y735" i="1" s="1"/>
  <c r="M689" i="1"/>
  <c r="C119" i="9" s="1"/>
  <c r="I87" i="9"/>
  <c r="G23" i="9"/>
  <c r="Y738" i="1"/>
  <c r="E151" i="9"/>
  <c r="M706" i="1"/>
  <c r="K715" i="1"/>
  <c r="Y769" i="1"/>
  <c r="J681" i="10"/>
  <c r="J687" i="10"/>
  <c r="J641" i="10"/>
  <c r="J695" i="10"/>
  <c r="J711" i="10"/>
  <c r="J698" i="10"/>
  <c r="J693" i="10"/>
  <c r="J668" i="10"/>
  <c r="J680" i="10"/>
  <c r="J631" i="10"/>
  <c r="J712" i="10"/>
  <c r="J640" i="10"/>
  <c r="J700" i="10"/>
  <c r="J674" i="10"/>
  <c r="J696" i="10"/>
  <c r="J630" i="10"/>
  <c r="J676" i="10"/>
  <c r="J702" i="10"/>
  <c r="J710" i="10"/>
  <c r="J669" i="10"/>
  <c r="J684" i="10"/>
  <c r="J686" i="10"/>
  <c r="J683" i="10"/>
  <c r="J672" i="10"/>
  <c r="J709" i="10"/>
  <c r="J638" i="10"/>
  <c r="J682" i="10"/>
  <c r="J706" i="10"/>
  <c r="J715" i="10"/>
  <c r="J643" i="10"/>
  <c r="J685" i="10"/>
  <c r="J691" i="10"/>
  <c r="J705" i="10"/>
  <c r="J675" i="10"/>
  <c r="J708" i="10"/>
  <c r="J697" i="10"/>
  <c r="J689" i="10"/>
  <c r="J707" i="10"/>
  <c r="J688" i="10"/>
  <c r="J667" i="10"/>
  <c r="J637" i="10"/>
  <c r="J633" i="10"/>
  <c r="J699" i="10"/>
  <c r="J645" i="10"/>
  <c r="J678" i="10"/>
  <c r="J692" i="10"/>
  <c r="J673" i="10"/>
  <c r="J642" i="10"/>
  <c r="J679" i="10"/>
  <c r="J677" i="10"/>
  <c r="J671" i="10"/>
  <c r="J635" i="10"/>
  <c r="J704" i="10"/>
  <c r="J644" i="10"/>
  <c r="J634" i="10"/>
  <c r="J690" i="10"/>
  <c r="J694" i="10"/>
  <c r="J639" i="10"/>
  <c r="J703" i="10"/>
  <c r="J646" i="10"/>
  <c r="J670" i="10"/>
  <c r="J632" i="10"/>
  <c r="J701" i="10"/>
  <c r="J636" i="10"/>
  <c r="H119" i="9" l="1"/>
  <c r="F151" i="9"/>
  <c r="Y761" i="1"/>
  <c r="Y741" i="1"/>
  <c r="Y740" i="1"/>
  <c r="Y771" i="1"/>
  <c r="C87" i="9"/>
  <c r="D215" i="9"/>
  <c r="G151" i="9"/>
  <c r="H23" i="9"/>
  <c r="Y759" i="1"/>
  <c r="D87" i="9"/>
  <c r="Y745" i="1"/>
  <c r="Y742" i="1"/>
  <c r="Y747" i="1"/>
  <c r="Y776" i="1"/>
  <c r="E87" i="9"/>
  <c r="Y770" i="1"/>
  <c r="Y775" i="1"/>
  <c r="M715" i="1"/>
  <c r="D23" i="9"/>
  <c r="Y752" i="1"/>
  <c r="Y744" i="1"/>
  <c r="G183" i="9"/>
  <c r="D119" i="9"/>
  <c r="Y753" i="1"/>
  <c r="H87" i="9"/>
  <c r="Y763" i="1"/>
  <c r="E55" i="9"/>
  <c r="F23" i="9"/>
  <c r="I151" i="9"/>
  <c r="Y734" i="1"/>
  <c r="Y779" i="1"/>
  <c r="Y774" i="1"/>
  <c r="Y762" i="1"/>
  <c r="H151" i="9"/>
  <c r="Y746" i="1"/>
  <c r="E119" i="9"/>
  <c r="Y755" i="1"/>
  <c r="Y772" i="1"/>
  <c r="F183" i="9"/>
  <c r="L646" i="10"/>
  <c r="J714" i="10"/>
  <c r="K643" i="10"/>
  <c r="L697" i="10"/>
  <c r="L707" i="10"/>
  <c r="L681" i="10"/>
  <c r="L690" i="10"/>
  <c r="L691" i="10"/>
  <c r="L712" i="10"/>
  <c r="L671" i="10"/>
  <c r="L701" i="10"/>
  <c r="L706" i="10"/>
  <c r="L685" i="10"/>
  <c r="L674" i="10"/>
  <c r="L699" i="10"/>
  <c r="L675" i="10"/>
  <c r="L672" i="10"/>
  <c r="L710" i="10"/>
  <c r="L684" i="10"/>
  <c r="L704" i="10"/>
  <c r="L689" i="10"/>
  <c r="L677" i="10"/>
  <c r="L694" i="10"/>
  <c r="L695" i="10"/>
  <c r="L709" i="10"/>
  <c r="L682" i="10"/>
  <c r="L679" i="10"/>
  <c r="L670" i="10"/>
  <c r="L692" i="10"/>
  <c r="L698" i="10"/>
  <c r="L668" i="10"/>
  <c r="L696" i="10"/>
  <c r="L693" i="10"/>
  <c r="L676" i="10"/>
  <c r="L667" i="10"/>
  <c r="L715" i="10"/>
  <c r="L669" i="10"/>
  <c r="L688" i="10"/>
  <c r="L686" i="10"/>
  <c r="L687" i="10"/>
  <c r="L680" i="10"/>
  <c r="L702" i="10"/>
  <c r="L705" i="10"/>
  <c r="L673" i="10"/>
  <c r="L683" i="10"/>
  <c r="L711" i="10"/>
  <c r="L678" i="10"/>
  <c r="L708" i="10"/>
  <c r="L700" i="10"/>
  <c r="L703" i="10"/>
  <c r="Y815" i="1" l="1"/>
  <c r="L714" i="10"/>
  <c r="K690" i="10"/>
  <c r="M690" i="10" s="1"/>
  <c r="Z756" i="10" s="1"/>
  <c r="K703" i="10"/>
  <c r="K707" i="10"/>
  <c r="M707" i="10" s="1"/>
  <c r="Z773" i="10" s="1"/>
  <c r="K697" i="10"/>
  <c r="M697" i="10" s="1"/>
  <c r="Z763" i="10" s="1"/>
  <c r="K706" i="10"/>
  <c r="M706" i="10" s="1"/>
  <c r="Z772" i="10" s="1"/>
  <c r="K680" i="10"/>
  <c r="M680" i="10" s="1"/>
  <c r="Z746" i="10" s="1"/>
  <c r="K668" i="10"/>
  <c r="M668" i="10" s="1"/>
  <c r="Z734" i="10" s="1"/>
  <c r="K671" i="10"/>
  <c r="M671" i="10" s="1"/>
  <c r="Z737" i="10" s="1"/>
  <c r="K672" i="10"/>
  <c r="M672" i="10" s="1"/>
  <c r="Z738" i="10" s="1"/>
  <c r="K673" i="10"/>
  <c r="M673" i="10" s="1"/>
  <c r="Z739" i="10" s="1"/>
  <c r="K712" i="10"/>
  <c r="M712" i="10" s="1"/>
  <c r="Z778" i="10" s="1"/>
  <c r="K704" i="10"/>
  <c r="M704" i="10" s="1"/>
  <c r="Z770" i="10" s="1"/>
  <c r="K670" i="10"/>
  <c r="M670" i="10" s="1"/>
  <c r="Z736" i="10" s="1"/>
  <c r="K700" i="10"/>
  <c r="M700" i="10" s="1"/>
  <c r="Z766" i="10" s="1"/>
  <c r="K687" i="10"/>
  <c r="M687" i="10" s="1"/>
  <c r="Z753" i="10" s="1"/>
  <c r="K698" i="10"/>
  <c r="M698" i="10" s="1"/>
  <c r="Z764" i="10" s="1"/>
  <c r="K696" i="10"/>
  <c r="M696" i="10" s="1"/>
  <c r="Z762" i="10" s="1"/>
  <c r="K699" i="10"/>
  <c r="M699" i="10" s="1"/>
  <c r="Z765" i="10" s="1"/>
  <c r="K678" i="10"/>
  <c r="M678" i="10" s="1"/>
  <c r="Z744" i="10" s="1"/>
  <c r="K702" i="10"/>
  <c r="K689" i="10"/>
  <c r="M689" i="10" s="1"/>
  <c r="Z755" i="10" s="1"/>
  <c r="K677" i="10"/>
  <c r="M677" i="10" s="1"/>
  <c r="Z743" i="10" s="1"/>
  <c r="K711" i="10"/>
  <c r="M711" i="10" s="1"/>
  <c r="Z777" i="10" s="1"/>
  <c r="K683" i="10"/>
  <c r="M683" i="10" s="1"/>
  <c r="Z749" i="10" s="1"/>
  <c r="K686" i="10"/>
  <c r="M686" i="10" s="1"/>
  <c r="Z752" i="10" s="1"/>
  <c r="K675" i="10"/>
  <c r="M675" i="10" s="1"/>
  <c r="Z741" i="10" s="1"/>
  <c r="K715" i="10"/>
  <c r="K669" i="10"/>
  <c r="M669" i="10" s="1"/>
  <c r="Z735" i="10" s="1"/>
  <c r="K684" i="10"/>
  <c r="M684" i="10" s="1"/>
  <c r="Z750" i="10" s="1"/>
  <c r="K709" i="10"/>
  <c r="M709" i="10" s="1"/>
  <c r="Z775" i="10" s="1"/>
  <c r="K685" i="10"/>
  <c r="M685" i="10" s="1"/>
  <c r="Z751" i="10" s="1"/>
  <c r="K674" i="10"/>
  <c r="M674" i="10" s="1"/>
  <c r="Z740" i="10" s="1"/>
  <c r="K694" i="10"/>
  <c r="M694" i="10" s="1"/>
  <c r="Z760" i="10" s="1"/>
  <c r="K692" i="10"/>
  <c r="M692" i="10" s="1"/>
  <c r="Z758" i="10" s="1"/>
  <c r="K667" i="10"/>
  <c r="M667" i="10" s="1"/>
  <c r="K695" i="10"/>
  <c r="M695" i="10" s="1"/>
  <c r="Z761" i="10" s="1"/>
  <c r="K676" i="10"/>
  <c r="M676" i="10" s="1"/>
  <c r="Z742" i="10" s="1"/>
  <c r="K693" i="10"/>
  <c r="M693" i="10" s="1"/>
  <c r="Z759" i="10" s="1"/>
  <c r="K681" i="10"/>
  <c r="M681" i="10" s="1"/>
  <c r="Z747" i="10" s="1"/>
  <c r="K710" i="10"/>
  <c r="M710" i="10" s="1"/>
  <c r="Z776" i="10" s="1"/>
  <c r="K705" i="10"/>
  <c r="M705" i="10" s="1"/>
  <c r="Z771" i="10" s="1"/>
  <c r="K708" i="10"/>
  <c r="M708" i="10" s="1"/>
  <c r="Z774" i="10" s="1"/>
  <c r="K691" i="10"/>
  <c r="M691" i="10" s="1"/>
  <c r="Z757" i="10" s="1"/>
  <c r="K701" i="10"/>
  <c r="M701" i="10" s="1"/>
  <c r="Z767" i="10" s="1"/>
  <c r="K682" i="10"/>
  <c r="M682" i="10" s="1"/>
  <c r="Z748" i="10" s="1"/>
  <c r="K679" i="10"/>
  <c r="M679" i="10" s="1"/>
  <c r="Z745" i="10" s="1"/>
  <c r="K688" i="10"/>
  <c r="M688" i="10" s="1"/>
  <c r="Z754" i="10" s="1"/>
  <c r="M703" i="10"/>
  <c r="Z769" i="10" s="1"/>
  <c r="M702" i="10"/>
  <c r="Z768" i="10" s="1"/>
  <c r="Z733" i="10" l="1"/>
  <c r="Z814" i="10" s="1"/>
  <c r="M714" i="10"/>
  <c r="K714" i="10"/>
</calcChain>
</file>

<file path=xl/sharedStrings.xml><?xml version="1.0" encoding="utf-8"?>
<sst xmlns="http://schemas.openxmlformats.org/spreadsheetml/2006/main" count="4948" uniqueCount="1284">
  <si>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</si>
  <si>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</si>
  <si>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</si>
  <si>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</si>
  <si>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</si>
  <si>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</si>
  <si>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</si>
  <si>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</si>
  <si>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</si>
  <si>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</si>
  <si>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</si>
  <si>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</si>
  <si>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</si>
  <si>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</si>
  <si>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</si>
  <si>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</si>
  <si>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</si>
  <si>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</si>
  <si>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</si>
  <si>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</si>
  <si>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</si>
  <si>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</si>
  <si>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</si>
  <si>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</si>
  <si>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</si>
  <si>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</si>
  <si>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</si>
  <si>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</si>
  <si>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</si>
  <si>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</si>
  <si>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</si>
  <si>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</si>
  <si>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</si>
  <si>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</si>
  <si>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</si>
  <si>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</si>
  <si>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</si>
  <si>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</si>
  <si>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</si>
  <si>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</si>
  <si>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</si>
  <si>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</si>
  <si>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</si>
  <si>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</si>
  <si>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</si>
  <si>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</si>
  <si>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</si>
  <si>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</si>
  <si>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</si>
  <si>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</si>
  <si>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</si>
  <si>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</si>
  <si>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</si>
  <si>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</si>
  <si>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</si>
  <si>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</si>
  <si>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</si>
  <si>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</si>
  <si>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</si>
  <si>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</si>
  <si>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</si>
  <si>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</si>
  <si>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</si>
  <si>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</si>
  <si>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</si>
  <si>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</si>
  <si>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</si>
  <si>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</si>
  <si>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</si>
  <si>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</si>
  <si>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</si>
  <si>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</si>
  <si>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</si>
  <si>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</si>
  <si>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</si>
  <si>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</si>
  <si>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</si>
  <si>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</si>
  <si>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</si>
  <si>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</si>
  <si>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</si>
  <si>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</si>
  <si>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</si>
  <si>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</si>
  <si>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</si>
  <si>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</si>
  <si>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</si>
  <si>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</si>
  <si>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</si>
  <si>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</si>
  <si>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</si>
  <si>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</si>
  <si>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</si>
  <si>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</si>
  <si>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</si>
  <si>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</si>
  <si>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</si>
  <si>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</si>
  <si>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</si>
  <si>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</si>
  <si>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</si>
  <si>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</si>
  <si>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</si>
  <si>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</si>
  <si>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</si>
  <si>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</si>
  <si>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</si>
  <si>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</si>
  <si>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</si>
  <si>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</si>
  <si>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</si>
  <si>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</si>
  <si>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</si>
  <si>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</si>
  <si>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</si>
  <si>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</si>
  <si>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</si>
  <si>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</si>
  <si>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</si>
  <si>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</si>
  <si>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</si>
  <si>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</si>
  <si>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</si>
  <si>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</si>
  <si>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</si>
  <si>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</si>
  <si>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</si>
  <si>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</si>
  <si>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</si>
  <si>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</si>
  <si>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</si>
  <si>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</si>
  <si>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</si>
  <si>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</si>
  <si>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</si>
  <si>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</si>
  <si>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</si>
  <si>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</si>
  <si>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</si>
  <si>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</si>
  <si>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</si>
  <si>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</si>
  <si>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</si>
  <si>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</si>
  <si>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</si>
  <si>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</si>
  <si>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</si>
  <si>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</si>
  <si>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</si>
  <si>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</si>
  <si>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</si>
  <si>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</si>
  <si>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</si>
  <si>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</si>
  <si>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</si>
  <si>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</si>
  <si>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</si>
  <si>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</si>
  <si>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</si>
  <si>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</si>
  <si>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</si>
  <si>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</si>
  <si>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</si>
  <si>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</si>
  <si>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</si>
  <si>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</si>
  <si>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</si>
  <si>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</si>
  <si>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</si>
  <si>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</si>
  <si>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</si>
  <si>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</si>
  <si>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</si>
  <si>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</si>
  <si>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</si>
  <si>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</si>
  <si>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</si>
  <si>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</si>
  <si>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</si>
  <si>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</si>
  <si>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</si>
  <si>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</si>
  <si>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</si>
  <si>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</si>
  <si>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</si>
  <si>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</si>
  <si>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</si>
  <si>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</si>
  <si>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</si>
  <si>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</si>
  <si>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</si>
  <si>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</si>
  <si>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</si>
  <si>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</si>
  <si>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</si>
  <si>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</si>
  <si>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</si>
  <si>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</si>
  <si>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</si>
  <si>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</si>
  <si>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</si>
  <si>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</si>
  <si>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</si>
  <si>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</si>
  <si>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</si>
  <si>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</si>
  <si>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</si>
  <si>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</si>
  <si>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</si>
  <si>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</si>
  <si>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</si>
  <si>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</si>
  <si>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</si>
  <si>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</si>
  <si>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</si>
  <si>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</si>
  <si>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</si>
  <si>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</si>
  <si>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</si>
  <si>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</si>
  <si>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</si>
  <si>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</si>
  <si>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</si>
  <si>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</si>
  <si>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</si>
  <si>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</si>
  <si>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</si>
  <si>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</si>
  <si>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</si>
  <si>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</si>
  <si>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</si>
  <si>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</si>
  <si>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</si>
  <si>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</si>
  <si>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</si>
  <si>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</si>
  <si>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</si>
  <si>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</si>
  <si>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</si>
  <si>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</si>
  <si>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</si>
  <si>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</si>
  <si>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</si>
  <si>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</si>
  <si>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</si>
  <si>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</si>
  <si>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</si>
  <si>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</si>
  <si>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</si>
  <si>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</si>
  <si>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</si>
  <si>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</si>
  <si>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</si>
  <si>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</si>
  <si>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</si>
  <si>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</si>
  <si>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</si>
  <si>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</si>
  <si>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</si>
  <si>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</si>
  <si>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</si>
  <si>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</si>
  <si>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</si>
  <si>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</si>
  <si>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</si>
  <si>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</si>
  <si>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</si>
  <si>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</si>
  <si>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</si>
  <si>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</si>
  <si>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</si>
  <si>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</si>
  <si>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</si>
  <si>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</si>
  <si>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</si>
  <si>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</si>
  <si>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</si>
  <si>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</si>
  <si>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</si>
  <si>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</si>
  <si>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</si>
  <si>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</si>
  <si>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</si>
  <si>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</si>
  <si>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</si>
  <si>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</si>
  <si>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</si>
  <si>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</si>
  <si>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</si>
  <si>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</si>
  <si>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</si>
  <si>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</si>
  <si>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</si>
  <si>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</si>
  <si>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</si>
  <si>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</si>
  <si>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</si>
  <si>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</si>
  <si>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</si>
  <si>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</si>
  <si>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</si>
  <si>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</si>
  <si>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</si>
  <si>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</si>
  <si>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</si>
  <si>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</si>
  <si>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</si>
  <si>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</si>
  <si>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</si>
  <si>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</si>
  <si>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</si>
  <si>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</si>
  <si>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</si>
  <si>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</si>
  <si>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</si>
  <si>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</si>
  <si>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</si>
  <si>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</si>
  <si>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</si>
  <si>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</si>
  <si>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</si>
  <si>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</si>
  <si>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</si>
  <si>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</si>
  <si>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</si>
  <si>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</si>
  <si>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</si>
  <si>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</si>
  <si>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</si>
  <si>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</si>
  <si>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</si>
  <si>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</si>
  <si>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</si>
  <si>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</si>
  <si>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</si>
  <si>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</si>
  <si>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</si>
  <si>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</si>
  <si>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</si>
  <si>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</si>
  <si>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</si>
  <si>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</si>
  <si>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</si>
  <si>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</si>
  <si>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</si>
  <si>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</si>
  <si>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</si>
  <si>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</si>
  <si>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</si>
  <si>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</si>
  <si>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</si>
  <si>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</si>
  <si>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</si>
  <si>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</si>
  <si>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</si>
  <si>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</si>
  <si>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</si>
  <si>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</si>
  <si>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</si>
  <si>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</si>
  <si>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</si>
  <si>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</si>
  <si>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</si>
  <si>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</si>
  <si>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</si>
  <si>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</si>
  <si>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</si>
  <si>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</si>
  <si>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</si>
  <si>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</si>
  <si>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</si>
  <si>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</si>
  <si>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</si>
  <si>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</si>
  <si>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</si>
  <si>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</si>
  <si>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</si>
  <si>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</si>
  <si>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</si>
  <si>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</si>
  <si>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</si>
  <si>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</si>
  <si>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</si>
  <si>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</si>
  <si>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</si>
  <si>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</si>
  <si>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</si>
  <si>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</si>
  <si>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</si>
  <si>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</si>
  <si>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</si>
  <si>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</si>
  <si>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</si>
  <si>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</si>
  <si>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</si>
  <si>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</si>
  <si>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</si>
  <si>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</si>
  <si>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</si>
  <si>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</si>
  <si>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</si>
  <si>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</si>
  <si>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</si>
  <si>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</si>
  <si>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</si>
  <si>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</si>
  <si>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</si>
  <si>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</si>
  <si>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</si>
  <si>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</si>
  <si>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</si>
  <si>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</si>
  <si>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</si>
  <si>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</si>
  <si>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</si>
  <si>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</si>
  <si>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</si>
  <si>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</si>
  <si>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</si>
  <si>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</si>
  <si>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</si>
  <si>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</si>
  <si>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</si>
  <si>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</si>
  <si>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</si>
  <si>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</si>
  <si>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</si>
  <si>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</si>
  <si>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</si>
  <si>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</si>
  <si>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</si>
  <si>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</si>
  <si>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</si>
  <si>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</si>
  <si>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</si>
  <si>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</si>
  <si>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</si>
  <si>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</si>
  <si>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</si>
  <si>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</si>
  <si>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</si>
  <si>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</si>
  <si>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</si>
  <si>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</si>
  <si>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</si>
  <si>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</si>
  <si>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</si>
  <si>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</si>
  <si>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</si>
  <si>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</si>
  <si>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</si>
  <si>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</si>
  <si>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</si>
  <si>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</si>
  <si>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</si>
  <si>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</si>
  <si>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</si>
  <si>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</si>
  <si>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</si>
  <si>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</si>
  <si>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</si>
  <si>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</si>
  <si>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</si>
  <si>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</si>
  <si>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</si>
  <si>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</si>
  <si>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</si>
  <si>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</si>
  <si>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</si>
  <si>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</si>
  <si>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</si>
  <si>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</si>
  <si>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</si>
  <si>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</si>
  <si>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</si>
  <si>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</si>
  <si>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</si>
  <si>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</si>
  <si>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</si>
  <si>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</si>
  <si>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</si>
  <si>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</si>
  <si>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</si>
  <si>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</si>
  <si>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</si>
  <si>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</si>
  <si>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</si>
  <si>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</si>
  <si>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</si>
  <si>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</si>
  <si>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</si>
  <si>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</si>
  <si>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</si>
  <si>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</si>
  <si>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</si>
  <si>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</si>
  <si>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</si>
  <si>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</si>
  <si>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</si>
  <si>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</si>
  <si>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</si>
  <si>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</si>
  <si>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</si>
  <si>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</si>
  <si>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</si>
  <si>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</si>
  <si>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</si>
  <si>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</si>
  <si>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</si>
  <si>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</si>
  <si>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</si>
  <si>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</si>
  <si>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</si>
  <si>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</si>
  <si>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</si>
  <si>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</si>
  <si>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</si>
  <si>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</si>
  <si>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</si>
  <si>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</si>
  <si>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</si>
  <si>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</si>
  <si>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</si>
  <si>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</si>
  <si>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</si>
  <si>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</si>
  <si>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</si>
  <si>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</si>
  <si>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</si>
  <si>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</si>
  <si>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</si>
  <si>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</si>
  <si>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</si>
  <si>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</si>
  <si>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</si>
  <si>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</si>
  <si>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</si>
  <si>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</si>
  <si>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</si>
  <si>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</si>
  <si>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</si>
  <si>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</si>
  <si>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</si>
  <si>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</si>
  <si>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</si>
  <si>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</si>
  <si>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</si>
  <si>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</si>
  <si>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</si>
  <si>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</si>
  <si>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</si>
  <si>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</si>
  <si>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</si>
  <si>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</si>
  <si>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</si>
  <si>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</si>
  <si>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</si>
  <si>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</si>
  <si>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</si>
  <si>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</si>
  <si>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</si>
  <si>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</si>
  <si>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</si>
  <si>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</si>
  <si>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</si>
  <si>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</si>
  <si>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</si>
  <si>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</si>
  <si>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</si>
  <si>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</si>
  <si>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</si>
  <si>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</si>
  <si>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</si>
  <si>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</si>
  <si>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</si>
  <si>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</si>
  <si>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</si>
  <si>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</si>
  <si>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</si>
  <si>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</si>
  <si>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</si>
  <si>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</si>
  <si>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</si>
  <si>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</si>
  <si>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</si>
  <si>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</si>
  <si>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</si>
  <si>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</si>
  <si>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</si>
  <si>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</si>
  <si>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</si>
  <si>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</si>
  <si>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</si>
  <si>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</si>
  <si>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</si>
  <si>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</si>
  <si>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</si>
  <si>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</si>
  <si>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</si>
  <si>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</si>
  <si>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</si>
  <si>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</si>
  <si>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</si>
  <si>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</si>
  <si>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</si>
  <si>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</si>
  <si>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</si>
  <si>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</si>
  <si>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</si>
  <si>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</si>
  <si>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</si>
  <si>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</si>
  <si>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</si>
  <si>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</si>
  <si>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</si>
  <si>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</si>
  <si>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</si>
  <si>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</si>
  <si>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</si>
  <si>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</si>
  <si>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</si>
  <si>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</si>
  <si>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</si>
  <si>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</si>
  <si>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</si>
  <si>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</si>
  <si>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</si>
  <si>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</si>
  <si>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</si>
  <si>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</si>
  <si>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</si>
  <si>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</si>
  <si>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</si>
  <si>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</si>
  <si>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</si>
  <si>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</si>
  <si>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</si>
  <si>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</si>
  <si>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</si>
  <si>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</si>
  <si>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</si>
  <si>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</si>
  <si>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</si>
  <si>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</si>
  <si>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</si>
  <si>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</si>
  <si>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</si>
  <si>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</si>
  <si>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</si>
  <si>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</si>
  <si>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</si>
  <si>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</si>
  <si>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</si>
  <si>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</si>
  <si>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</si>
  <si>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</si>
  <si>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</si>
  <si>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</si>
  <si>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</si>
  <si>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</si>
  <si>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</si>
  <si>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</si>
  <si>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</si>
  <si>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</si>
  <si>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</si>
  <si>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</si>
  <si>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</si>
  <si>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</si>
  <si>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</si>
  <si>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</si>
  <si>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</si>
  <si>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</si>
  <si>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</si>
  <si>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</si>
  <si>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</si>
  <si>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</si>
  <si>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</si>
  <si>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</si>
  <si>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</si>
  <si>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</si>
  <si>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</si>
  <si>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</si>
  <si>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</si>
  <si>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</si>
  <si>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</si>
  <si>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</si>
  <si>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</si>
  <si>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</si>
  <si>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</si>
  <si>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</si>
  <si>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</si>
  <si>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</si>
  <si>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</si>
  <si>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</si>
  <si>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</si>
  <si>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</si>
  <si>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</si>
  <si>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</si>
  <si>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</si>
  <si>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</si>
  <si>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</si>
  <si>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</si>
  <si>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</si>
  <si>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</si>
  <si>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</si>
  <si>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</si>
  <si>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</si>
  <si>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</si>
  <si>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</si>
  <si>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</si>
  <si>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</si>
  <si>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</si>
  <si>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</si>
  <si>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</si>
  <si>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</si>
  <si>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</si>
  <si>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</si>
  <si>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</si>
  <si>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</si>
  <si>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</si>
  <si>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</si>
  <si>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</si>
  <si>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</si>
  <si>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</si>
  <si>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</si>
  <si>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</si>
  <si>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</si>
  <si>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</si>
  <si>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</si>
  <si>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</si>
  <si>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</si>
  <si>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</si>
  <si>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</si>
  <si>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</si>
  <si>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</si>
  <si>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</si>
  <si>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</si>
  <si>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</si>
  <si>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</si>
  <si>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</si>
  <si>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</si>
  <si>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</si>
  <si>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</si>
  <si>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</si>
  <si>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</si>
  <si>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</si>
  <si>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</si>
  <si>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</si>
  <si>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</si>
  <si>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</si>
  <si>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</si>
  <si>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</si>
  <si>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</si>
  <si>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</si>
  <si>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</si>
  <si>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</si>
  <si>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</si>
  <si>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</si>
  <si>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</si>
  <si>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</si>
  <si>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</si>
  <si>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</si>
  <si>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</si>
  <si>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</si>
  <si>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</si>
  <si>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</si>
  <si>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</si>
  <si>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</si>
  <si>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</si>
  <si>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</si>
  <si>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</si>
  <si>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</si>
  <si>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</si>
  <si>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</si>
  <si>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</si>
  <si>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</si>
  <si>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</si>
  <si>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</si>
  <si>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</si>
  <si>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</si>
  <si>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</si>
  <si>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</si>
  <si>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</si>
  <si>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</si>
  <si>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</si>
  <si>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</si>
  <si>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</si>
  <si>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</si>
  <si>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</si>
  <si>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</si>
  <si>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</si>
  <si>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</si>
  <si>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</si>
  <si>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</si>
  <si>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</si>
  <si>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</si>
  <si>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</si>
  <si>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</si>
  <si>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</si>
  <si>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</si>
  <si>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</si>
  <si>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</si>
  <si>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</si>
  <si>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</si>
  <si>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</si>
  <si>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</si>
  <si>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</si>
  <si>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</si>
  <si>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</si>
  <si>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</si>
  <si>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</si>
  <si>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</si>
  <si>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</si>
  <si>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</si>
  <si>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</si>
  <si>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</si>
  <si>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</si>
  <si>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</si>
  <si>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</si>
  <si>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</si>
  <si>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</si>
  <si>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</si>
  <si>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</si>
  <si>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</si>
  <si>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</si>
  <si>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</si>
  <si>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</si>
  <si>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</si>
  <si>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</si>
  <si>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</si>
  <si>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</si>
  <si>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</si>
  <si>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</si>
  <si>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</si>
  <si>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</si>
  <si>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</si>
  <si>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</si>
  <si>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</si>
  <si>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</si>
  <si>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</si>
  <si>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</si>
  <si>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</si>
  <si>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</si>
  <si>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</si>
  <si>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</si>
  <si>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</si>
  <si>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</si>
  <si>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</si>
  <si>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</si>
  <si>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</si>
  <si>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</si>
  <si>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</si>
  <si>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</si>
  <si>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</si>
  <si>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</si>
  <si>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</si>
  <si>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</si>
  <si>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</si>
  <si>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</si>
  <si>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</si>
  <si>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</si>
  <si>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</si>
  <si>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</si>
  <si>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</si>
  <si>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</si>
  <si>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</si>
  <si>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</si>
  <si>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</si>
  <si>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</si>
  <si>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</si>
  <si>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</si>
  <si>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</si>
  <si>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</si>
  <si>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</si>
  <si>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</si>
  <si>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</si>
  <si>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</si>
  <si>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</si>
  <si>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</si>
  <si>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</si>
  <si>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</si>
  <si>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</si>
  <si>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</si>
  <si>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</si>
  <si>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</si>
  <si>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</si>
  <si>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</si>
  <si>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</si>
  <si>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</si>
  <si>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</si>
  <si>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</si>
  <si>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</si>
  <si>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</si>
  <si>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</si>
  <si>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</si>
  <si>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</si>
  <si>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</si>
  <si>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</si>
  <si>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</si>
  <si>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</si>
  <si>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</si>
  <si>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</si>
  <si>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</si>
  <si>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</si>
  <si>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</si>
  <si>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</si>
  <si>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</si>
  <si>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</si>
  <si>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</si>
  <si>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</si>
  <si>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</si>
  <si>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</si>
  <si>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</si>
  <si>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</si>
  <si>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</si>
  <si>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</si>
  <si>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</si>
  <si>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</si>
  <si>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</si>
  <si>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</si>
  <si>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</si>
  <si>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</si>
  <si>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</si>
  <si>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</si>
  <si>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</si>
  <si>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</si>
  <si>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</si>
  <si>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</si>
  <si>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</si>
  <si>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</si>
  <si>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</si>
  <si>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</si>
  <si>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</si>
  <si>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</si>
  <si>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</si>
  <si>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</si>
  <si>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</si>
  <si>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</si>
  <si>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</si>
  <si>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</si>
  <si>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</si>
  <si>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</si>
  <si>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</si>
  <si>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</si>
  <si>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</si>
  <si>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</si>
  <si>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</si>
  <si>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</si>
  <si>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</si>
  <si>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</si>
  <si>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</si>
  <si>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</si>
  <si>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</si>
  <si>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</si>
  <si>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</si>
  <si>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</si>
  <si>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</si>
  <si>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</si>
  <si>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</si>
  <si>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</si>
  <si>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</si>
  <si>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</si>
  <si>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</si>
  <si>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</si>
  <si>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</si>
  <si>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</si>
  <si>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</si>
  <si>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</si>
  <si>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</si>
  <si>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</si>
  <si>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</si>
  <si>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</si>
  <si>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</si>
  <si>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</si>
  <si>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</si>
  <si>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</si>
  <si>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</si>
  <si>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</si>
  <si>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</si>
  <si>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</si>
  <si>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</si>
  <si>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</si>
  <si>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</si>
  <si>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</si>
  <si>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</si>
  <si>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</si>
  <si>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</si>
  <si>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</si>
  <si>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</si>
  <si>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</si>
  <si>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</si>
  <si>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</si>
  <si>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</si>
  <si>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</si>
  <si>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</si>
  <si>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</si>
  <si>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</si>
  <si>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</si>
  <si>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</si>
  <si>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</si>
  <si>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</si>
  <si>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</si>
  <si>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</si>
  <si>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</si>
  <si>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</si>
  <si>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</si>
  <si>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</si>
  <si>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</si>
  <si>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</si>
  <si>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</si>
  <si>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</si>
  <si>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</si>
  <si>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</si>
  <si>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</si>
  <si>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</si>
  <si>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</si>
  <si>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</si>
  <si>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</si>
  <si>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</si>
  <si>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</si>
  <si>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</si>
  <si>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</si>
  <si>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</si>
  <si>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</si>
  <si>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</si>
  <si>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</si>
  <si>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</si>
  <si>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</si>
  <si>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</si>
  <si>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</si>
  <si>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</si>
  <si>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</si>
  <si>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</si>
  <si>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</si>
  <si>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</si>
  <si>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</si>
  <si>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</si>
  <si>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</si>
  <si>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</si>
  <si>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</si>
  <si>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</si>
  <si>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</si>
  <si>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</si>
  <si>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</si>
  <si>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</si>
  <si>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</si>
  <si>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</si>
  <si>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</si>
  <si>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</si>
  <si>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</si>
  <si>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</si>
  <si>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</si>
  <si>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</si>
  <si>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</si>
  <si>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</si>
  <si>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</si>
  <si>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</si>
  <si>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</si>
  <si>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</si>
  <si>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</si>
  <si>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</si>
  <si>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</si>
  <si>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</si>
  <si>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</si>
  <si>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</si>
  <si>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</si>
  <si>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</si>
  <si>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</si>
  <si>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</si>
  <si>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</si>
  <si>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</si>
  <si>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</si>
  <si>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</si>
  <si>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</si>
  <si>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</si>
  <si>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</si>
  <si>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</si>
  <si>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</si>
  <si>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</si>
  <si>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</si>
  <si>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</si>
  <si>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</si>
  <si>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</si>
  <si>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</si>
  <si>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</si>
  <si>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</si>
  <si>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</si>
  <si>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</si>
  <si>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</si>
  <si>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</si>
  <si>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</si>
  <si>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</si>
  <si>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</si>
  <si>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</si>
  <si>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</si>
  <si>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</si>
  <si>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</si>
  <si>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</si>
  <si>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</si>
  <si>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</si>
  <si>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</si>
  <si>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</si>
  <si>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</si>
  <si>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</si>
  <si>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</si>
  <si>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</si>
  <si>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</si>
  <si>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</si>
  <si>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</si>
  <si>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</si>
  <si>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</si>
  <si>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</si>
  <si>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</si>
  <si>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</si>
  <si>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</si>
  <si>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</si>
  <si>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</si>
  <si>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</si>
  <si>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</si>
  <si>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</si>
  <si>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</si>
  <si>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</si>
  <si>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</si>
  <si>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</si>
  <si>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</si>
  <si>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</si>
  <si>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</si>
  <si>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</si>
  <si>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</si>
  <si>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</si>
  <si>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</si>
  <si>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</si>
  <si>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</si>
  <si>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</si>
  <si>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</si>
  <si>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</si>
  <si>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</si>
  <si>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</si>
  <si>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</si>
  <si>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</si>
  <si>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</si>
  <si>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</si>
  <si>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</si>
  <si>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</si>
  <si>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</si>
  <si>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</si>
  <si>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</si>
  <si>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</si>
  <si>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</si>
  <si>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</si>
  <si>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</si>
  <si>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</si>
  <si>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</si>
  <si>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</si>
  <si>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</si>
  <si>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</si>
  <si>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</si>
  <si>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</si>
  <si>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</si>
  <si>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</si>
  <si>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</si>
  <si>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</si>
  <si>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</si>
  <si>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</si>
  <si>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</si>
  <si>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</si>
  <si>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</si>
  <si>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</si>
  <si>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</si>
  <si>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</si>
  <si>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</si>
  <si>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</si>
  <si>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</si>
  <si>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</si>
  <si>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</si>
  <si>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</si>
  <si>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</si>
  <si>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</si>
  <si>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</si>
  <si>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</si>
  <si>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</si>
  <si>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</si>
  <si>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</si>
  <si>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</si>
  <si>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</si>
  <si>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</si>
  <si>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</si>
  <si>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</si>
  <si>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</si>
  <si>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</si>
  <si>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</si>
  <si>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</si>
  <si>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</si>
  <si>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</si>
  <si>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</si>
  <si>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</si>
  <si>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</si>
  <si>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</si>
  <si>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</si>
  <si>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</si>
  <si>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</si>
  <si>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</si>
  <si>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</si>
  <si>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</si>
  <si>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</si>
  <si>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</si>
  <si>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</si>
  <si>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</si>
  <si>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</si>
  <si>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</si>
  <si>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</si>
  <si>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</si>
  <si>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</si>
  <si>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</si>
  <si>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</si>
  <si>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</si>
  <si>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</si>
  <si>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</si>
  <si>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</si>
  <si>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</si>
  <si>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</si>
  <si>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</si>
  <si>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</si>
  <si>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</si>
  <si>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</si>
  <si>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</si>
  <si>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</si>
  <si>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</si>
  <si>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</si>
  <si>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</si>
  <si>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</si>
  <si>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</si>
  <si>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</si>
  <si>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</si>
  <si>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</si>
  <si>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</si>
  <si>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</si>
  <si>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</si>
  <si>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</si>
  <si>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</si>
  <si>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</si>
  <si>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</si>
  <si>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</si>
  <si>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</si>
  <si>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</si>
  <si>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</si>
  <si>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</si>
  <si>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</si>
  <si>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</si>
  <si>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</si>
  <si>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</si>
  <si>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</si>
  <si>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</si>
  <si>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</si>
  <si>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</si>
  <si>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</si>
  <si>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</si>
  <si>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</si>
  <si>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</si>
  <si>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</si>
  <si>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</si>
  <si>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</si>
  <si>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</si>
  <si>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</si>
  <si>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</si>
  <si>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</si>
  <si>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</si>
  <si>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</si>
  <si>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</si>
  <si>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</si>
  <si>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</si>
  <si>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12/31/2021</t>
  </si>
  <si>
    <t>Forks Community Hospital</t>
  </si>
  <si>
    <t>530 Bogachiel Way</t>
  </si>
  <si>
    <t>Forks, WA 98331</t>
  </si>
  <si>
    <t>Clallam</t>
  </si>
  <si>
    <t>Heidi Anderson</t>
  </si>
  <si>
    <t>Paul Babcock</t>
  </si>
  <si>
    <t>Daisy Anderson</t>
  </si>
  <si>
    <t xml:space="preserve">(360)374-6271 </t>
  </si>
  <si>
    <t>(360)374-5220</t>
  </si>
  <si>
    <t>054</t>
  </si>
  <si>
    <t>12/31/2020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</si>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</sst>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7" fontId="0" fillId="0" borderId="0" xfId="0"/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3" borderId="0" xfId="0" applyNumberFormat="1" applyFont="1" applyFill="1" applyProtection="1"/>
    <xf numFmtId="39" fontId="3" fillId="0" borderId="0" xfId="0" applyNumberFormat="1" applyFont="1" applyProtection="1"/>
    <xf numFmtId="37" fontId="3" fillId="0" borderId="0" xfId="0" quotePrefix="1" applyFont="1" applyAlignment="1" applyProtection="1">
      <alignment horizontal="left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7" fontId="3" fillId="0" borderId="0" xfId="0" applyFont="1" applyProtection="1">
      <protection locked="0"/>
    </xf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49" fontId="9" fillId="4" borderId="1" xfId="0" quotePrefix="1" applyNumberFormat="1" applyFont="1" applyFill="1" applyBorder="1" applyAlignme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76" transitionEvaluation="1" transitionEntry="1" codeName="Sheet1">
    <pageSetUpPr autoPageBreaks="0" fitToPage="1"/>
  </sheetPr>
  <dimension ref="A1:CF817"/>
  <sheetViews>
    <sheetView showGridLines="0" tabSelected="1" topLeftCell="A476" zoomScale="75" zoomScaleNormal="75" workbookViewId="0">
      <selection activeCell="F496" sqref="F49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1260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1266</v>
      </c>
      <c r="C16" s="236"/>
      <c r="F16" s="291" t="s">
        <v>1261</v>
      </c>
    </row>
    <row r="17" spans="1:6" ht="12.75" customHeight="1" x14ac:dyDescent="0.3">
      <c r="A17" s="180" t="s">
        <v>1230</v>
      </c>
      <c r="C17" s="291" t="s">
        <v>1261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">
      <c r="A21" s="199"/>
      <c r="C21" s="236"/>
    </row>
    <row r="22" spans="1:6" ht="12.65" customHeight="1" x14ac:dyDescent="0.3">
      <c r="A22" s="240" t="s">
        <v>1256</v>
      </c>
      <c r="B22" s="241"/>
      <c r="C22" s="242"/>
      <c r="D22" s="240"/>
      <c r="E22" s="240"/>
    </row>
    <row r="23" spans="1:6" ht="12.65" customHeight="1" x14ac:dyDescent="0.3">
      <c r="B23" s="199"/>
      <c r="C23" s="236"/>
    </row>
    <row r="24" spans="1:6" ht="12.65" customHeight="1" x14ac:dyDescent="0.3">
      <c r="A24" s="243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5623900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512410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592944</v>
      </c>
      <c r="L48" s="195">
        <f>ROUND(((B48/CE61)*L61),0)</f>
        <v>85782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56928</v>
      </c>
      <c r="P48" s="195">
        <f>ROUND(((B48/CE61)*P61),0)</f>
        <v>147201</v>
      </c>
      <c r="Q48" s="195">
        <f>ROUND(((B48/CE61)*Q61),0)</f>
        <v>1806</v>
      </c>
      <c r="R48" s="195">
        <f>ROUND(((B48/CE61)*R61),0)</f>
        <v>129737</v>
      </c>
      <c r="S48" s="195">
        <f>ROUND(((B48/CE61)*S61),0)</f>
        <v>19115</v>
      </c>
      <c r="T48" s="195">
        <f>ROUND(((B48/CE61)*T61),0)</f>
        <v>0</v>
      </c>
      <c r="U48" s="195">
        <f>ROUND(((B48/CE61)*U61),0)</f>
        <v>182303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337712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74183</v>
      </c>
      <c r="AC48" s="195">
        <f>ROUND(((B48/CE61)*AC61),0)</f>
        <v>27673</v>
      </c>
      <c r="AD48" s="195">
        <f>ROUND(((B48/CE61)*AD61),0)</f>
        <v>0</v>
      </c>
      <c r="AE48" s="195">
        <f>ROUND(((B48/CE61)*AE61),0)</f>
        <v>194550</v>
      </c>
      <c r="AF48" s="195">
        <f>ROUND(((B48/CE61)*AF61),0)</f>
        <v>0</v>
      </c>
      <c r="AG48" s="195">
        <f>ROUND(((B48/CE61)*AG61),0)</f>
        <v>166122</v>
      </c>
      <c r="AH48" s="195">
        <f>ROUND(((B48/CE61)*AH61),0)</f>
        <v>73040</v>
      </c>
      <c r="AI48" s="195">
        <f>ROUND(((B48/CE61)*AI61),0)</f>
        <v>35352</v>
      </c>
      <c r="AJ48" s="195">
        <f>ROUND(((B48/CE61)*AJ61),0)</f>
        <v>1057262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341207</v>
      </c>
      <c r="AV48" s="195">
        <f>ROUND(((B48/CE61)*AV61),0)</f>
        <v>54009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160311</v>
      </c>
      <c r="AZ48" s="195">
        <f>ROUND(((B48/CE61)*AZ61),0)</f>
        <v>0</v>
      </c>
      <c r="BA48" s="195">
        <f>ROUND(((B48/CE61)*BA61),0)</f>
        <v>6606</v>
      </c>
      <c r="BB48" s="195">
        <f>ROUND(((B48/CE61)*BB61),0)</f>
        <v>37616</v>
      </c>
      <c r="BC48" s="195">
        <f>ROUND(((B48/CE61)*BC61),0)</f>
        <v>0</v>
      </c>
      <c r="BD48" s="195">
        <f>ROUND(((B48/CE61)*BD61),0)</f>
        <v>51031</v>
      </c>
      <c r="BE48" s="195">
        <f>ROUND(((B48/CE61)*BE61),0)</f>
        <v>130630</v>
      </c>
      <c r="BF48" s="195">
        <f>ROUND(((B48/CE61)*BF61),0)</f>
        <v>166455</v>
      </c>
      <c r="BG48" s="195">
        <f>ROUND(((B48/CE61)*BG61),0)</f>
        <v>0</v>
      </c>
      <c r="BH48" s="195">
        <f>ROUND(((B48/CE61)*BH61),0)</f>
        <v>92356</v>
      </c>
      <c r="BI48" s="195">
        <f>ROUND(((B48/CE61)*BI61),0)</f>
        <v>0</v>
      </c>
      <c r="BJ48" s="195">
        <f>ROUND(((B48/CE61)*BJ61),0)</f>
        <v>73536</v>
      </c>
      <c r="BK48" s="195">
        <f>ROUND(((B48/CE61)*BK61),0)</f>
        <v>228730</v>
      </c>
      <c r="BL48" s="195">
        <f>ROUND(((B48/CE61)*BL61),0)</f>
        <v>84557</v>
      </c>
      <c r="BM48" s="195">
        <f>ROUND(((B48/CE61)*BM61),0)</f>
        <v>0</v>
      </c>
      <c r="BN48" s="195">
        <f>ROUND(((B48/CE61)*BN61),0)</f>
        <v>186049</v>
      </c>
      <c r="BO48" s="195">
        <f>ROUND(((B48/CE61)*BO61),0)</f>
        <v>8807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30318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62250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57399</v>
      </c>
      <c r="BZ48" s="195">
        <f>ROUND(((B48/CE61)*BZ61),0)</f>
        <v>0</v>
      </c>
      <c r="CA48" s="195">
        <f>ROUND(((B48/CE61)*CA61),0)</f>
        <v>5380</v>
      </c>
      <c r="CB48" s="195">
        <f>ROUND(((B48/CE61)*CB61),0)</f>
        <v>94807</v>
      </c>
      <c r="CC48" s="195">
        <f>ROUND(((B48/CE61)*CC61),0)</f>
        <v>57724</v>
      </c>
      <c r="CD48" s="195"/>
      <c r="CE48" s="195">
        <f>SUM(C48:CD48)</f>
        <v>5623898</v>
      </c>
    </row>
    <row r="49" spans="1:84" ht="12.65" customHeight="1" x14ac:dyDescent="0.3">
      <c r="A49" s="175" t="s">
        <v>206</v>
      </c>
      <c r="B49" s="195">
        <f>B47+B48</f>
        <v>5623900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829810</v>
      </c>
      <c r="C51" s="184"/>
      <c r="D51" s="184"/>
      <c r="E51" s="184">
        <v>120781</v>
      </c>
      <c r="F51" s="184"/>
      <c r="G51" s="184"/>
      <c r="H51" s="184"/>
      <c r="I51" s="184"/>
      <c r="J51" s="184">
        <v>12</v>
      </c>
      <c r="K51" s="184">
        <v>42962</v>
      </c>
      <c r="L51" s="184">
        <v>0</v>
      </c>
      <c r="M51" s="184"/>
      <c r="N51" s="184"/>
      <c r="O51" s="184">
        <v>7055</v>
      </c>
      <c r="P51" s="184">
        <v>119188</v>
      </c>
      <c r="Q51" s="184">
        <v>0</v>
      </c>
      <c r="R51" s="184">
        <v>10124</v>
      </c>
      <c r="S51" s="184">
        <v>0</v>
      </c>
      <c r="T51" s="184"/>
      <c r="U51" s="184">
        <f>61601+680</f>
        <v>62281</v>
      </c>
      <c r="V51" s="184"/>
      <c r="W51" s="184"/>
      <c r="X51" s="184">
        <v>0</v>
      </c>
      <c r="Y51" s="184">
        <f>94115+1654+71+15</f>
        <v>95855</v>
      </c>
      <c r="Z51" s="184"/>
      <c r="AA51" s="184"/>
      <c r="AB51" s="184">
        <v>8452</v>
      </c>
      <c r="AC51" s="184">
        <v>6387</v>
      </c>
      <c r="AD51" s="184"/>
      <c r="AE51" s="184">
        <v>7054</v>
      </c>
      <c r="AF51" s="184"/>
      <c r="AG51" s="184">
        <v>28996</v>
      </c>
      <c r="AH51" s="184">
        <f>141125-21</f>
        <v>141104</v>
      </c>
      <c r="AI51" s="184"/>
      <c r="AJ51" s="184">
        <f>8536+10222+7579</f>
        <v>26337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>
        <f>373</f>
        <v>373</v>
      </c>
      <c r="AV51" s="184">
        <f>11555+7260</f>
        <v>18815</v>
      </c>
      <c r="AW51" s="184"/>
      <c r="AX51" s="184"/>
      <c r="AY51" s="184">
        <v>10689</v>
      </c>
      <c r="AZ51" s="184"/>
      <c r="BA51" s="184">
        <v>8177</v>
      </c>
      <c r="BB51" s="184"/>
      <c r="BC51" s="184"/>
      <c r="BD51" s="184"/>
      <c r="BE51" s="184">
        <v>6764</v>
      </c>
      <c r="BF51" s="184">
        <v>1584</v>
      </c>
      <c r="BG51" s="184"/>
      <c r="BH51" s="184">
        <v>85508</v>
      </c>
      <c r="BI51" s="184"/>
      <c r="BJ51" s="184"/>
      <c r="BK51" s="184"/>
      <c r="BL51" s="184">
        <v>24</v>
      </c>
      <c r="BM51" s="184"/>
      <c r="BN51" s="184">
        <v>17866</v>
      </c>
      <c r="BO51" s="184"/>
      <c r="BP51" s="184"/>
      <c r="BQ51" s="184"/>
      <c r="BR51" s="184"/>
      <c r="BS51" s="184"/>
      <c r="BT51" s="184"/>
      <c r="BU51" s="184"/>
      <c r="BV51" s="184">
        <v>16</v>
      </c>
      <c r="BW51" s="184"/>
      <c r="BX51" s="184"/>
      <c r="BY51" s="184"/>
      <c r="BZ51" s="184"/>
      <c r="CA51" s="184"/>
      <c r="CB51" s="184"/>
      <c r="CC51" s="184">
        <v>3400</v>
      </c>
      <c r="CD51" s="195"/>
      <c r="CE51" s="195">
        <f>SUM(C51:CD51)</f>
        <v>829804</v>
      </c>
    </row>
    <row r="52" spans="1:84" ht="12.65" customHeight="1" x14ac:dyDescent="0.3">
      <c r="A52" s="171" t="s">
        <v>208</v>
      </c>
      <c r="B52" s="184">
        <v>351278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16570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1045</v>
      </c>
      <c r="K52" s="195">
        <f>ROUND((B52/(CE76+CF76)*K76),0)</f>
        <v>15119</v>
      </c>
      <c r="L52" s="195">
        <f>ROUND((B52/(CE76+CF76)*L76),0)</f>
        <v>10859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3290</v>
      </c>
      <c r="P52" s="195">
        <f>ROUND((B52/(CE76+CF76)*P76),0)</f>
        <v>37663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9445</v>
      </c>
      <c r="T52" s="195">
        <f>ROUND((B52/(CE76+CF76)*T76),0)</f>
        <v>0</v>
      </c>
      <c r="U52" s="195">
        <f>ROUND((B52/(CE76+CF76)*U76),0)</f>
        <v>7882</v>
      </c>
      <c r="V52" s="195">
        <f>ROUND((B52/(CE76+CF76)*V76),0)</f>
        <v>1476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15582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2465</v>
      </c>
      <c r="AC52" s="195">
        <f>ROUND((B52/(CE76+CF76)*AC76),0)</f>
        <v>4704</v>
      </c>
      <c r="AD52" s="195">
        <f>ROUND((B52/(CE76+CF76)*AD76),0)</f>
        <v>0</v>
      </c>
      <c r="AE52" s="195">
        <f>ROUND((B52/(CE76+CF76)*AE76),0)</f>
        <v>18741</v>
      </c>
      <c r="AF52" s="195">
        <f>ROUND((B52/(CE76+CF76)*AF76),0)</f>
        <v>0</v>
      </c>
      <c r="AG52" s="195">
        <f>ROUND((B52/(CE76+CF76)*AG76),0)</f>
        <v>9865</v>
      </c>
      <c r="AH52" s="195">
        <f>ROUND((B52/(CE76+CF76)*AH76),0)</f>
        <v>10321</v>
      </c>
      <c r="AI52" s="195">
        <f>ROUND((B52/(CE76+CF76)*AI76),0)</f>
        <v>0</v>
      </c>
      <c r="AJ52" s="195">
        <f>ROUND((B52/(CE76+CF76)*AJ76),0)</f>
        <v>75601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11948</v>
      </c>
      <c r="AV52" s="195">
        <f>ROUND((B52/(CE76+CF76)*AV76),0)</f>
        <v>5642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6593</v>
      </c>
      <c r="AZ52" s="195">
        <f>ROUND((B52/(CE76+CF76)*AZ76),0)</f>
        <v>4604</v>
      </c>
      <c r="BA52" s="195">
        <f>ROUND((B52/(CE76+CF76)*BA76),0)</f>
        <v>4673</v>
      </c>
      <c r="BB52" s="195">
        <f>ROUND((B52/(CE76+CF76)*BB76),0)</f>
        <v>626</v>
      </c>
      <c r="BC52" s="195">
        <f>ROUND((B52/(CE76+CF76)*BC76),0)</f>
        <v>0</v>
      </c>
      <c r="BD52" s="195">
        <f>ROUND((B52/(CE76+CF76)*BD76),0)</f>
        <v>626</v>
      </c>
      <c r="BE52" s="195">
        <f>ROUND((B52/(CE76+CF76)*BE76),0)</f>
        <v>11034</v>
      </c>
      <c r="BF52" s="195">
        <f>ROUND((B52/(CE76+CF76)*BF76),0)</f>
        <v>719</v>
      </c>
      <c r="BG52" s="195">
        <f>ROUND((B52/(CE76+CF76)*BG76),0)</f>
        <v>0</v>
      </c>
      <c r="BH52" s="195">
        <f>ROUND((B52/(CE76+CF76)*BH76),0)</f>
        <v>2227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11535</v>
      </c>
      <c r="BL52" s="195">
        <f>ROUND((B52/(CE76+CF76)*BL76),0)</f>
        <v>926</v>
      </c>
      <c r="BM52" s="195">
        <f>ROUND((B52/(CE76+CF76)*BM76),0)</f>
        <v>0</v>
      </c>
      <c r="BN52" s="195">
        <f>ROUND((B52/(CE76+CF76)*BN76),0)</f>
        <v>41817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2540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3828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1314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351280</v>
      </c>
    </row>
    <row r="53" spans="1:84" ht="12.65" customHeight="1" x14ac:dyDescent="0.3">
      <c r="A53" s="175" t="s">
        <v>206</v>
      </c>
      <c r="B53" s="195">
        <f>B51+B52</f>
        <v>1181088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">
      <c r="A59" s="171" t="s">
        <v>233</v>
      </c>
      <c r="B59" s="175"/>
      <c r="C59" s="184"/>
      <c r="D59" s="184"/>
      <c r="E59" s="184">
        <v>715</v>
      </c>
      <c r="F59" s="184"/>
      <c r="G59" s="184"/>
      <c r="H59" s="184"/>
      <c r="I59" s="184"/>
      <c r="J59" s="184">
        <v>78</v>
      </c>
      <c r="K59" s="184">
        <v>6793</v>
      </c>
      <c r="L59" s="184">
        <v>753</v>
      </c>
      <c r="M59" s="184"/>
      <c r="N59" s="184"/>
      <c r="O59" s="184">
        <v>78</v>
      </c>
      <c r="P59" s="185">
        <f>1981+7776</f>
        <v>9757</v>
      </c>
      <c r="Q59" s="185">
        <f>847+6817</f>
        <v>7664</v>
      </c>
      <c r="R59" s="185">
        <f>2077+15396</f>
        <v>17473</v>
      </c>
      <c r="S59" s="251"/>
      <c r="T59" s="251"/>
      <c r="U59" s="224">
        <v>66530</v>
      </c>
      <c r="V59" s="185"/>
      <c r="W59" s="185">
        <v>3810</v>
      </c>
      <c r="X59" s="185">
        <v>10102</v>
      </c>
      <c r="Y59" s="185">
        <f>2027+2962+1538+150</f>
        <v>6677</v>
      </c>
      <c r="Z59" s="185"/>
      <c r="AA59" s="185">
        <v>406</v>
      </c>
      <c r="AB59" s="251"/>
      <c r="AC59" s="185">
        <v>427</v>
      </c>
      <c r="AD59" s="185"/>
      <c r="AE59" s="185">
        <f>1154+5123</f>
        <v>6277</v>
      </c>
      <c r="AF59" s="185"/>
      <c r="AG59" s="185">
        <v>4621</v>
      </c>
      <c r="AH59" s="185">
        <v>909</v>
      </c>
      <c r="AI59" s="185">
        <v>543</v>
      </c>
      <c r="AJ59" s="185">
        <f>2696+11270+2358</f>
        <v>16324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10061</v>
      </c>
      <c r="AV59" s="251"/>
      <c r="AW59" s="251"/>
      <c r="AX59" s="251"/>
      <c r="AY59" s="185">
        <v>95955</v>
      </c>
      <c r="AZ59" s="185"/>
      <c r="BA59" s="251"/>
      <c r="BB59" s="251"/>
      <c r="BC59" s="251"/>
      <c r="BD59" s="251"/>
      <c r="BE59" s="295">
        <v>56157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">
      <c r="A60" s="253" t="s">
        <v>234</v>
      </c>
      <c r="B60" s="175"/>
      <c r="C60" s="186"/>
      <c r="D60" s="187"/>
      <c r="E60" s="187">
        <v>18.809999999999999</v>
      </c>
      <c r="F60" s="223"/>
      <c r="G60" s="187"/>
      <c r="H60" s="187"/>
      <c r="I60" s="187"/>
      <c r="J60" s="223">
        <v>0</v>
      </c>
      <c r="K60" s="187">
        <v>29.94</v>
      </c>
      <c r="L60" s="187">
        <v>2.74</v>
      </c>
      <c r="M60" s="187"/>
      <c r="N60" s="187"/>
      <c r="O60" s="187">
        <v>0.84</v>
      </c>
      <c r="P60" s="221">
        <v>4.26</v>
      </c>
      <c r="Q60" s="221">
        <v>0.05</v>
      </c>
      <c r="R60" s="221">
        <v>1.07</v>
      </c>
      <c r="S60" s="221">
        <v>1.85</v>
      </c>
      <c r="T60" s="221"/>
      <c r="U60" s="221">
        <v>8.94</v>
      </c>
      <c r="V60" s="221"/>
      <c r="W60" s="221"/>
      <c r="X60" s="221"/>
      <c r="Y60" s="221">
        <v>9.85</v>
      </c>
      <c r="Z60" s="221"/>
      <c r="AA60" s="221"/>
      <c r="AB60" s="221">
        <v>2.09</v>
      </c>
      <c r="AC60" s="221">
        <f>1.04</f>
        <v>1.04</v>
      </c>
      <c r="AD60" s="221"/>
      <c r="AE60" s="221">
        <v>9.24</v>
      </c>
      <c r="AF60" s="221"/>
      <c r="AG60" s="221">
        <f>1.05+4.06</f>
        <v>5.1099999999999994</v>
      </c>
      <c r="AH60" s="221">
        <v>4.4800000000000004</v>
      </c>
      <c r="AI60" s="221">
        <v>1.1299999999999999</v>
      </c>
      <c r="AJ60" s="221">
        <f>4.26+26.66+3.08</f>
        <v>34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f>15.22+0.74+2.58</f>
        <v>18.54</v>
      </c>
      <c r="AV60" s="221">
        <f>1.04+1.5</f>
        <v>2.54</v>
      </c>
      <c r="AW60" s="221"/>
      <c r="AX60" s="221"/>
      <c r="AY60" s="221">
        <v>11.36</v>
      </c>
      <c r="AZ60" s="221"/>
      <c r="BA60" s="221">
        <v>0.57999999999999996</v>
      </c>
      <c r="BB60" s="221">
        <v>1.4</v>
      </c>
      <c r="BC60" s="221"/>
      <c r="BD60" s="221">
        <v>2.87</v>
      </c>
      <c r="BE60" s="221">
        <v>6.31</v>
      </c>
      <c r="BF60" s="221">
        <v>13.47</v>
      </c>
      <c r="BG60" s="221"/>
      <c r="BH60" s="221">
        <v>3.7</v>
      </c>
      <c r="BI60" s="221"/>
      <c r="BJ60" s="221">
        <v>4.18</v>
      </c>
      <c r="BK60" s="221">
        <v>15.24</v>
      </c>
      <c r="BL60" s="221">
        <v>5.87</v>
      </c>
      <c r="BM60" s="221"/>
      <c r="BN60" s="221">
        <v>5.0999999999999996</v>
      </c>
      <c r="BO60" s="221">
        <v>0.5</v>
      </c>
      <c r="BP60" s="221"/>
      <c r="BQ60" s="221"/>
      <c r="BR60" s="221">
        <v>2.2999999999999998</v>
      </c>
      <c r="BS60" s="221"/>
      <c r="BT60" s="221"/>
      <c r="BU60" s="221"/>
      <c r="BV60" s="221">
        <v>4.2699999999999996</v>
      </c>
      <c r="BW60" s="221"/>
      <c r="BX60" s="221"/>
      <c r="BY60" s="221">
        <v>1.98</v>
      </c>
      <c r="BZ60" s="221"/>
      <c r="CA60" s="221">
        <v>0.2</v>
      </c>
      <c r="CB60" s="221">
        <f>3.16</f>
        <v>3.16</v>
      </c>
      <c r="CC60" s="221">
        <f>0.06+2.7+0.35</f>
        <v>3.1100000000000003</v>
      </c>
      <c r="CD60" s="252" t="s">
        <v>221</v>
      </c>
      <c r="CE60" s="254">
        <f t="shared" ref="CE60:CE70" si="0">SUM(C60:CD60)</f>
        <v>242.12000000000003</v>
      </c>
    </row>
    <row r="61" spans="1:84" ht="12.65" customHeight="1" x14ac:dyDescent="0.3">
      <c r="A61" s="171" t="s">
        <v>235</v>
      </c>
      <c r="B61" s="175"/>
      <c r="C61" s="184"/>
      <c r="D61" s="184"/>
      <c r="E61" s="184">
        <v>1659541.8</v>
      </c>
      <c r="F61" s="185"/>
      <c r="G61" s="184"/>
      <c r="H61" s="184"/>
      <c r="I61" s="185"/>
      <c r="J61" s="185">
        <v>0</v>
      </c>
      <c r="K61" s="185">
        <v>1920369.18</v>
      </c>
      <c r="L61" s="185">
        <v>277821.40000000002</v>
      </c>
      <c r="M61" s="184"/>
      <c r="N61" s="184"/>
      <c r="O61" s="184">
        <v>184373.11</v>
      </c>
      <c r="P61" s="185">
        <v>476739.25</v>
      </c>
      <c r="Q61" s="185">
        <v>5848.73</v>
      </c>
      <c r="R61" s="185">
        <v>420177.72</v>
      </c>
      <c r="S61" s="185">
        <v>61907.05</v>
      </c>
      <c r="T61" s="185"/>
      <c r="U61" s="185">
        <v>590423.92000000004</v>
      </c>
      <c r="V61" s="185"/>
      <c r="W61" s="185"/>
      <c r="X61" s="185"/>
      <c r="Y61" s="185">
        <v>1093748.72</v>
      </c>
      <c r="Z61" s="185"/>
      <c r="AA61" s="185"/>
      <c r="AB61" s="185">
        <v>240256</v>
      </c>
      <c r="AC61" s="185">
        <v>89625.38</v>
      </c>
      <c r="AD61" s="185"/>
      <c r="AE61" s="185">
        <v>630090.51</v>
      </c>
      <c r="AF61" s="185"/>
      <c r="AG61" s="185">
        <f>114488+423532</f>
        <v>538020</v>
      </c>
      <c r="AH61" s="185">
        <v>236555.19</v>
      </c>
      <c r="AI61" s="185">
        <v>114494</v>
      </c>
      <c r="AJ61" s="185">
        <f>389811.75+2607248.33+427095.28</f>
        <v>3424155.3600000003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f>904998.19+49626.36+150444.08</f>
        <v>1105068.6299999999</v>
      </c>
      <c r="AV61" s="185">
        <f>92531.43+82386.73</f>
        <v>174918.15999999997</v>
      </c>
      <c r="AW61" s="185"/>
      <c r="AX61" s="185"/>
      <c r="AY61" s="185">
        <v>519199.18</v>
      </c>
      <c r="AZ61" s="185"/>
      <c r="BA61" s="185">
        <v>21396.43</v>
      </c>
      <c r="BB61" s="185">
        <v>121828.43</v>
      </c>
      <c r="BC61" s="185"/>
      <c r="BD61" s="185">
        <v>165275.12</v>
      </c>
      <c r="BE61" s="185">
        <v>423070.15</v>
      </c>
      <c r="BF61" s="185">
        <v>539098.26</v>
      </c>
      <c r="BG61" s="185"/>
      <c r="BH61" s="185">
        <v>299113.26</v>
      </c>
      <c r="BI61" s="185"/>
      <c r="BJ61" s="185">
        <v>238161.28</v>
      </c>
      <c r="BK61" s="185">
        <v>740789.13</v>
      </c>
      <c r="BL61" s="185">
        <v>273855.01</v>
      </c>
      <c r="BM61" s="185"/>
      <c r="BN61" s="185">
        <v>602555.89</v>
      </c>
      <c r="BO61" s="185">
        <v>28524.400000000001</v>
      </c>
      <c r="BP61" s="185"/>
      <c r="BQ61" s="185"/>
      <c r="BR61" s="185">
        <v>98192.5</v>
      </c>
      <c r="BS61" s="185"/>
      <c r="BT61" s="185"/>
      <c r="BU61" s="185"/>
      <c r="BV61" s="185">
        <v>201607.87</v>
      </c>
      <c r="BW61" s="185"/>
      <c r="BX61" s="185"/>
      <c r="BY61" s="185">
        <v>185896.85</v>
      </c>
      <c r="BZ61" s="185"/>
      <c r="CA61" s="185">
        <v>17424.509999999998</v>
      </c>
      <c r="CB61" s="185">
        <f>307051.26</f>
        <v>307051.26</v>
      </c>
      <c r="CC61" s="185">
        <f>16621.73+152770.9+17559.38</f>
        <v>186952.01</v>
      </c>
      <c r="CD61" s="252" t="s">
        <v>221</v>
      </c>
      <c r="CE61" s="195">
        <f t="shared" si="0"/>
        <v>18214125.650000002</v>
      </c>
      <c r="CF61" s="255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512410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592944</v>
      </c>
      <c r="L62" s="195">
        <f t="shared" si="1"/>
        <v>85782</v>
      </c>
      <c r="M62" s="195">
        <f t="shared" si="1"/>
        <v>0</v>
      </c>
      <c r="N62" s="195">
        <f t="shared" si="1"/>
        <v>0</v>
      </c>
      <c r="O62" s="195">
        <f t="shared" si="1"/>
        <v>56928</v>
      </c>
      <c r="P62" s="195">
        <f t="shared" si="1"/>
        <v>147201</v>
      </c>
      <c r="Q62" s="195">
        <f t="shared" si="1"/>
        <v>1806</v>
      </c>
      <c r="R62" s="195">
        <f t="shared" si="1"/>
        <v>129737</v>
      </c>
      <c r="S62" s="195">
        <f t="shared" si="1"/>
        <v>19115</v>
      </c>
      <c r="T62" s="195">
        <f t="shared" si="1"/>
        <v>0</v>
      </c>
      <c r="U62" s="195">
        <f t="shared" si="1"/>
        <v>182303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337712</v>
      </c>
      <c r="Z62" s="195">
        <f t="shared" si="1"/>
        <v>0</v>
      </c>
      <c r="AA62" s="195">
        <f t="shared" si="1"/>
        <v>0</v>
      </c>
      <c r="AB62" s="195">
        <f t="shared" si="1"/>
        <v>74183</v>
      </c>
      <c r="AC62" s="195">
        <f t="shared" si="1"/>
        <v>27673</v>
      </c>
      <c r="AD62" s="195">
        <f t="shared" si="1"/>
        <v>0</v>
      </c>
      <c r="AE62" s="195">
        <f t="shared" si="1"/>
        <v>194550</v>
      </c>
      <c r="AF62" s="195">
        <f t="shared" si="1"/>
        <v>0</v>
      </c>
      <c r="AG62" s="195">
        <f t="shared" si="1"/>
        <v>166122</v>
      </c>
      <c r="AH62" s="195">
        <f t="shared" si="1"/>
        <v>73040</v>
      </c>
      <c r="AI62" s="195">
        <f t="shared" si="1"/>
        <v>35352</v>
      </c>
      <c r="AJ62" s="195">
        <f t="shared" si="1"/>
        <v>1057262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341207</v>
      </c>
      <c r="AV62" s="195">
        <f t="shared" si="1"/>
        <v>54009</v>
      </c>
      <c r="AW62" s="195">
        <f t="shared" si="1"/>
        <v>0</v>
      </c>
      <c r="AX62" s="195">
        <f t="shared" si="1"/>
        <v>0</v>
      </c>
      <c r="AY62" s="195">
        <f>ROUND(AY47+AY48,0)</f>
        <v>160311</v>
      </c>
      <c r="AZ62" s="195">
        <f>ROUND(AZ47+AZ48,0)</f>
        <v>0</v>
      </c>
      <c r="BA62" s="195">
        <f>ROUND(BA47+BA48,0)</f>
        <v>6606</v>
      </c>
      <c r="BB62" s="195">
        <f t="shared" si="1"/>
        <v>37616</v>
      </c>
      <c r="BC62" s="195">
        <f t="shared" si="1"/>
        <v>0</v>
      </c>
      <c r="BD62" s="195">
        <f t="shared" si="1"/>
        <v>51031</v>
      </c>
      <c r="BE62" s="195">
        <f t="shared" si="1"/>
        <v>130630</v>
      </c>
      <c r="BF62" s="195">
        <f t="shared" si="1"/>
        <v>166455</v>
      </c>
      <c r="BG62" s="195">
        <f t="shared" si="1"/>
        <v>0</v>
      </c>
      <c r="BH62" s="195">
        <f t="shared" si="1"/>
        <v>92356</v>
      </c>
      <c r="BI62" s="195">
        <f t="shared" si="1"/>
        <v>0</v>
      </c>
      <c r="BJ62" s="195">
        <f t="shared" si="1"/>
        <v>73536</v>
      </c>
      <c r="BK62" s="195">
        <f t="shared" si="1"/>
        <v>228730</v>
      </c>
      <c r="BL62" s="195">
        <f t="shared" si="1"/>
        <v>84557</v>
      </c>
      <c r="BM62" s="195">
        <f t="shared" si="1"/>
        <v>0</v>
      </c>
      <c r="BN62" s="195">
        <f t="shared" si="1"/>
        <v>186049</v>
      </c>
      <c r="BO62" s="195">
        <f t="shared" ref="BO62:CC62" si="2">ROUND(BO47+BO48,0)</f>
        <v>8807</v>
      </c>
      <c r="BP62" s="195">
        <f t="shared" si="2"/>
        <v>0</v>
      </c>
      <c r="BQ62" s="195">
        <f t="shared" si="2"/>
        <v>0</v>
      </c>
      <c r="BR62" s="195">
        <f t="shared" si="2"/>
        <v>30318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62250</v>
      </c>
      <c r="BW62" s="195">
        <f t="shared" si="2"/>
        <v>0</v>
      </c>
      <c r="BX62" s="195">
        <f t="shared" si="2"/>
        <v>0</v>
      </c>
      <c r="BY62" s="195">
        <f t="shared" si="2"/>
        <v>57399</v>
      </c>
      <c r="BZ62" s="195">
        <f t="shared" si="2"/>
        <v>0</v>
      </c>
      <c r="CA62" s="195">
        <f t="shared" si="2"/>
        <v>5380</v>
      </c>
      <c r="CB62" s="195">
        <f t="shared" si="2"/>
        <v>94807</v>
      </c>
      <c r="CC62" s="195">
        <f t="shared" si="2"/>
        <v>57724</v>
      </c>
      <c r="CD62" s="252" t="s">
        <v>221</v>
      </c>
      <c r="CE62" s="195">
        <f t="shared" si="0"/>
        <v>5623898</v>
      </c>
      <c r="CF62" s="255"/>
    </row>
    <row r="63" spans="1:84" ht="12.65" customHeight="1" x14ac:dyDescent="0.3">
      <c r="A63" s="171" t="s">
        <v>236</v>
      </c>
      <c r="B63" s="175"/>
      <c r="C63" s="184"/>
      <c r="D63" s="184"/>
      <c r="E63" s="184">
        <v>429129</v>
      </c>
      <c r="F63" s="185"/>
      <c r="G63" s="184"/>
      <c r="H63" s="184"/>
      <c r="I63" s="185"/>
      <c r="J63" s="185">
        <v>0</v>
      </c>
      <c r="K63" s="185">
        <v>73318</v>
      </c>
      <c r="L63" s="185">
        <v>0</v>
      </c>
      <c r="M63" s="184"/>
      <c r="N63" s="184"/>
      <c r="O63" s="184">
        <v>243757</v>
      </c>
      <c r="P63" s="185">
        <v>361</v>
      </c>
      <c r="Q63" s="185">
        <v>0</v>
      </c>
      <c r="R63" s="185">
        <v>0</v>
      </c>
      <c r="S63" s="185">
        <v>0</v>
      </c>
      <c r="T63" s="185"/>
      <c r="U63" s="185">
        <v>322564</v>
      </c>
      <c r="V63" s="185"/>
      <c r="W63" s="185">
        <v>143054</v>
      </c>
      <c r="X63" s="185"/>
      <c r="Y63" s="185">
        <v>0</v>
      </c>
      <c r="Z63" s="185"/>
      <c r="AA63" s="185">
        <v>61600</v>
      </c>
      <c r="AB63" s="185">
        <v>49052</v>
      </c>
      <c r="AC63" s="185"/>
      <c r="AD63" s="185"/>
      <c r="AE63" s="185">
        <v>76063</v>
      </c>
      <c r="AF63" s="185"/>
      <c r="AG63" s="185">
        <v>894169</v>
      </c>
      <c r="AH63" s="185"/>
      <c r="AI63" s="185"/>
      <c r="AJ63" s="185">
        <f>23+304622+23</f>
        <v>304668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f>18500</f>
        <v>18500</v>
      </c>
      <c r="AV63" s="185">
        <f>58746+19915</f>
        <v>78661</v>
      </c>
      <c r="AW63" s="185"/>
      <c r="AX63" s="185"/>
      <c r="AY63" s="185">
        <v>2457</v>
      </c>
      <c r="AZ63" s="185"/>
      <c r="BA63" s="185"/>
      <c r="BB63" s="185">
        <v>199</v>
      </c>
      <c r="BC63" s="185"/>
      <c r="BD63" s="185"/>
      <c r="BE63" s="185"/>
      <c r="BF63" s="185"/>
      <c r="BG63" s="185"/>
      <c r="BH63" s="185"/>
      <c r="BI63" s="185"/>
      <c r="BJ63" s="185">
        <v>191378</v>
      </c>
      <c r="BK63" s="185">
        <v>30</v>
      </c>
      <c r="BL63" s="185">
        <v>17</v>
      </c>
      <c r="BM63" s="185"/>
      <c r="BN63" s="185">
        <v>62623</v>
      </c>
      <c r="BO63" s="185"/>
      <c r="BP63" s="185"/>
      <c r="BQ63" s="185"/>
      <c r="BR63" s="185">
        <v>96773</v>
      </c>
      <c r="BS63" s="185"/>
      <c r="BT63" s="185"/>
      <c r="BU63" s="185"/>
      <c r="BV63" s="185">
        <v>32774</v>
      </c>
      <c r="BW63" s="185"/>
      <c r="BX63" s="185"/>
      <c r="BY63" s="185"/>
      <c r="BZ63" s="185"/>
      <c r="CA63" s="185"/>
      <c r="CB63" s="185">
        <v>3521</v>
      </c>
      <c r="CC63" s="185">
        <f>23920+312</f>
        <v>24232</v>
      </c>
      <c r="CD63" s="252" t="s">
        <v>221</v>
      </c>
      <c r="CE63" s="195">
        <f t="shared" si="0"/>
        <v>3108900</v>
      </c>
      <c r="CF63" s="255"/>
    </row>
    <row r="64" spans="1:84" ht="12.65" customHeight="1" x14ac:dyDescent="0.3">
      <c r="A64" s="171" t="s">
        <v>237</v>
      </c>
      <c r="B64" s="175"/>
      <c r="C64" s="184"/>
      <c r="D64" s="184"/>
      <c r="E64" s="185">
        <v>71640</v>
      </c>
      <c r="F64" s="185"/>
      <c r="G64" s="184"/>
      <c r="H64" s="184"/>
      <c r="I64" s="185"/>
      <c r="J64" s="185">
        <v>2471</v>
      </c>
      <c r="K64" s="185">
        <v>88275</v>
      </c>
      <c r="L64" s="185">
        <v>0</v>
      </c>
      <c r="M64" s="184"/>
      <c r="N64" s="184"/>
      <c r="O64" s="184">
        <v>6979</v>
      </c>
      <c r="P64" s="185">
        <v>113119</v>
      </c>
      <c r="Q64" s="185">
        <v>0</v>
      </c>
      <c r="R64" s="185">
        <v>14760</v>
      </c>
      <c r="S64" s="185">
        <v>86168</v>
      </c>
      <c r="T64" s="185"/>
      <c r="U64" s="185">
        <f>1157909+196</f>
        <v>1158105</v>
      </c>
      <c r="V64" s="185"/>
      <c r="W64" s="185">
        <v>2903</v>
      </c>
      <c r="X64" s="185">
        <v>13850</v>
      </c>
      <c r="Y64" s="185">
        <f>10161+4270+5258</f>
        <v>19689</v>
      </c>
      <c r="Z64" s="185"/>
      <c r="AA64" s="185">
        <v>13339</v>
      </c>
      <c r="AB64" s="185">
        <v>947889</v>
      </c>
      <c r="AC64" s="185">
        <f>7718+344</f>
        <v>8062</v>
      </c>
      <c r="AD64" s="185"/>
      <c r="AE64" s="185">
        <v>17099</v>
      </c>
      <c r="AF64" s="185"/>
      <c r="AG64" s="185">
        <v>54066</v>
      </c>
      <c r="AH64" s="185">
        <v>43916</v>
      </c>
      <c r="AI64" s="185"/>
      <c r="AJ64" s="185">
        <f>24814+157429+17699</f>
        <v>199942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>
        <f>10360+2826</f>
        <v>13186</v>
      </c>
      <c r="AV64" s="185">
        <f>4225+6204</f>
        <v>10429</v>
      </c>
      <c r="AW64" s="185"/>
      <c r="AX64" s="185"/>
      <c r="AY64" s="185">
        <v>238877</v>
      </c>
      <c r="AZ64" s="185"/>
      <c r="BA64" s="185">
        <v>14035</v>
      </c>
      <c r="BB64" s="185">
        <v>1298</v>
      </c>
      <c r="BC64" s="185"/>
      <c r="BD64" s="185">
        <v>2125</v>
      </c>
      <c r="BE64" s="185">
        <v>73293</v>
      </c>
      <c r="BF64" s="185">
        <v>73445</v>
      </c>
      <c r="BG64" s="185"/>
      <c r="BH64" s="185">
        <v>19881</v>
      </c>
      <c r="BI64" s="185"/>
      <c r="BJ64" s="185">
        <v>4459</v>
      </c>
      <c r="BK64" s="185">
        <v>18066</v>
      </c>
      <c r="BL64" s="185">
        <v>13759</v>
      </c>
      <c r="BM64" s="185"/>
      <c r="BN64" s="185">
        <v>35922</v>
      </c>
      <c r="BO64" s="185">
        <v>743</v>
      </c>
      <c r="BP64" s="185"/>
      <c r="BQ64" s="185"/>
      <c r="BR64" s="185">
        <v>5735</v>
      </c>
      <c r="BS64" s="185"/>
      <c r="BT64" s="185"/>
      <c r="BU64" s="185"/>
      <c r="BV64" s="185">
        <v>8274</v>
      </c>
      <c r="BW64" s="185"/>
      <c r="BX64" s="185"/>
      <c r="BY64" s="185">
        <v>1176</v>
      </c>
      <c r="BZ64" s="185"/>
      <c r="CA64" s="185">
        <v>1450</v>
      </c>
      <c r="CB64" s="185">
        <f>318</f>
        <v>318</v>
      </c>
      <c r="CC64" s="185">
        <f>258722+56315+13579</f>
        <v>328616</v>
      </c>
      <c r="CD64" s="252" t="s">
        <v>221</v>
      </c>
      <c r="CE64" s="195">
        <f t="shared" si="0"/>
        <v>3727359</v>
      </c>
      <c r="CF64" s="255"/>
    </row>
    <row r="65" spans="1:84" ht="12.65" customHeight="1" x14ac:dyDescent="0.3">
      <c r="A65" s="171" t="s">
        <v>238</v>
      </c>
      <c r="B65" s="175"/>
      <c r="C65" s="184"/>
      <c r="D65" s="184"/>
      <c r="E65" s="184">
        <v>1540</v>
      </c>
      <c r="F65" s="184"/>
      <c r="G65" s="184"/>
      <c r="H65" s="184"/>
      <c r="I65" s="185"/>
      <c r="J65" s="184">
        <v>0</v>
      </c>
      <c r="K65" s="185">
        <v>598</v>
      </c>
      <c r="L65" s="185">
        <v>0</v>
      </c>
      <c r="M65" s="184"/>
      <c r="N65" s="184"/>
      <c r="O65" s="184">
        <v>0</v>
      </c>
      <c r="P65" s="185">
        <v>11486</v>
      </c>
      <c r="Q65" s="185">
        <v>0</v>
      </c>
      <c r="R65" s="185">
        <v>0</v>
      </c>
      <c r="S65" s="185">
        <v>0</v>
      </c>
      <c r="T65" s="185"/>
      <c r="U65" s="185">
        <v>835</v>
      </c>
      <c r="V65" s="185"/>
      <c r="W65" s="185"/>
      <c r="X65" s="185"/>
      <c r="Y65" s="185">
        <v>1688</v>
      </c>
      <c r="Z65" s="185"/>
      <c r="AA65" s="185"/>
      <c r="AB65" s="185">
        <v>2467</v>
      </c>
      <c r="AC65" s="185"/>
      <c r="AD65" s="185"/>
      <c r="AE65" s="185">
        <v>565</v>
      </c>
      <c r="AF65" s="185"/>
      <c r="AG65" s="185">
        <v>1299</v>
      </c>
      <c r="AH65" s="185">
        <v>16200</v>
      </c>
      <c r="AI65" s="185"/>
      <c r="AJ65" s="185">
        <f>19104+27897+26178</f>
        <v>73179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f>8937+9899</f>
        <v>18836</v>
      </c>
      <c r="AV65" s="185">
        <f>675+675</f>
        <v>1350</v>
      </c>
      <c r="AW65" s="185"/>
      <c r="AX65" s="185"/>
      <c r="AY65" s="185">
        <v>0</v>
      </c>
      <c r="AZ65" s="185"/>
      <c r="BA65" s="185"/>
      <c r="BB65" s="185">
        <v>770</v>
      </c>
      <c r="BC65" s="185"/>
      <c r="BD65" s="185">
        <v>901</v>
      </c>
      <c r="BE65" s="185">
        <v>338021</v>
      </c>
      <c r="BF65" s="185">
        <v>45</v>
      </c>
      <c r="BG65" s="185"/>
      <c r="BH65" s="185">
        <v>3841</v>
      </c>
      <c r="BI65" s="185"/>
      <c r="BJ65" s="185">
        <v>494</v>
      </c>
      <c r="BK65" s="185">
        <v>1026</v>
      </c>
      <c r="BL65" s="185">
        <v>1495</v>
      </c>
      <c r="BM65" s="185"/>
      <c r="BN65" s="185">
        <v>9657</v>
      </c>
      <c r="BO65" s="185"/>
      <c r="BP65" s="185"/>
      <c r="BQ65" s="185"/>
      <c r="BR65" s="185">
        <v>812</v>
      </c>
      <c r="BS65" s="185"/>
      <c r="BT65" s="185"/>
      <c r="BU65" s="185"/>
      <c r="BV65" s="185">
        <v>597</v>
      </c>
      <c r="BW65" s="185"/>
      <c r="BX65" s="185"/>
      <c r="BY65" s="185">
        <v>133</v>
      </c>
      <c r="BZ65" s="185"/>
      <c r="CA65" s="185"/>
      <c r="CB65" s="185"/>
      <c r="CC65" s="185">
        <v>1119</v>
      </c>
      <c r="CD65" s="252" t="s">
        <v>221</v>
      </c>
      <c r="CE65" s="195">
        <f t="shared" si="0"/>
        <v>488954</v>
      </c>
      <c r="CF65" s="255"/>
    </row>
    <row r="66" spans="1:84" ht="12.65" customHeight="1" x14ac:dyDescent="0.3">
      <c r="A66" s="171" t="s">
        <v>239</v>
      </c>
      <c r="B66" s="175"/>
      <c r="C66" s="184"/>
      <c r="D66" s="184"/>
      <c r="E66" s="184">
        <v>54685</v>
      </c>
      <c r="F66" s="184"/>
      <c r="G66" s="184"/>
      <c r="H66" s="184"/>
      <c r="I66" s="184"/>
      <c r="J66" s="184">
        <v>85</v>
      </c>
      <c r="K66" s="185">
        <v>12236</v>
      </c>
      <c r="L66" s="185">
        <v>0</v>
      </c>
      <c r="M66" s="184"/>
      <c r="N66" s="184"/>
      <c r="O66" s="185">
        <v>895</v>
      </c>
      <c r="P66" s="185">
        <v>28261</v>
      </c>
      <c r="Q66" s="185">
        <v>0</v>
      </c>
      <c r="R66" s="185">
        <v>4545</v>
      </c>
      <c r="S66" s="184">
        <v>874</v>
      </c>
      <c r="T66" s="184"/>
      <c r="U66" s="185">
        <f>42553+18108</f>
        <v>60661</v>
      </c>
      <c r="V66" s="185"/>
      <c r="W66" s="185"/>
      <c r="X66" s="185">
        <v>65168</v>
      </c>
      <c r="Y66" s="185">
        <f>157881+16389+34279</f>
        <v>208549</v>
      </c>
      <c r="Z66" s="185"/>
      <c r="AA66" s="185">
        <v>254</v>
      </c>
      <c r="AB66" s="185">
        <v>102808</v>
      </c>
      <c r="AC66" s="185">
        <v>1763</v>
      </c>
      <c r="AD66" s="185"/>
      <c r="AE66" s="185">
        <v>2408</v>
      </c>
      <c r="AF66" s="185"/>
      <c r="AG66" s="185">
        <v>11126</v>
      </c>
      <c r="AH66" s="185">
        <v>33793</v>
      </c>
      <c r="AI66" s="185"/>
      <c r="AJ66" s="185">
        <f>6138+48233+1997</f>
        <v>56368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>
        <f>80582+552+422</f>
        <v>81556</v>
      </c>
      <c r="AV66" s="185">
        <v>6666</v>
      </c>
      <c r="AW66" s="185"/>
      <c r="AX66" s="185"/>
      <c r="AY66" s="185">
        <v>4048</v>
      </c>
      <c r="AZ66" s="185"/>
      <c r="BA66" s="185">
        <v>97212</v>
      </c>
      <c r="BB66" s="185"/>
      <c r="BC66" s="185"/>
      <c r="BD66" s="185">
        <v>-14605</v>
      </c>
      <c r="BE66" s="185">
        <v>186738</v>
      </c>
      <c r="BF66" s="185">
        <v>15937</v>
      </c>
      <c r="BG66" s="185"/>
      <c r="BH66" s="185">
        <v>381922</v>
      </c>
      <c r="BI66" s="185"/>
      <c r="BJ66" s="185">
        <v>47210</v>
      </c>
      <c r="BK66" s="185">
        <v>145084</v>
      </c>
      <c r="BL66" s="185">
        <v>1397</v>
      </c>
      <c r="BM66" s="185"/>
      <c r="BN66" s="185">
        <f>138561-255</f>
        <v>138306</v>
      </c>
      <c r="BO66" s="185"/>
      <c r="BP66" s="185"/>
      <c r="BQ66" s="185"/>
      <c r="BR66" s="185">
        <v>40475</v>
      </c>
      <c r="BS66" s="185"/>
      <c r="BT66" s="185"/>
      <c r="BU66" s="185"/>
      <c r="BV66" s="185">
        <v>18042</v>
      </c>
      <c r="BW66" s="185"/>
      <c r="BX66" s="185"/>
      <c r="BY66" s="185"/>
      <c r="BZ66" s="185"/>
      <c r="CA66" s="185"/>
      <c r="CB66" s="185">
        <v>25181</v>
      </c>
      <c r="CC66" s="185">
        <f>45524+29363+998</f>
        <v>75885</v>
      </c>
      <c r="CD66" s="252" t="s">
        <v>221</v>
      </c>
      <c r="CE66" s="195">
        <f t="shared" si="0"/>
        <v>1895533</v>
      </c>
      <c r="CF66" s="255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137351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1057</v>
      </c>
      <c r="K67" s="195">
        <f t="shared" si="3"/>
        <v>58081</v>
      </c>
      <c r="L67" s="195">
        <f t="shared" si="3"/>
        <v>10859</v>
      </c>
      <c r="M67" s="195">
        <f t="shared" si="3"/>
        <v>0</v>
      </c>
      <c r="N67" s="195">
        <f t="shared" si="3"/>
        <v>0</v>
      </c>
      <c r="O67" s="195">
        <f t="shared" si="3"/>
        <v>10345</v>
      </c>
      <c r="P67" s="195">
        <f t="shared" si="3"/>
        <v>156851</v>
      </c>
      <c r="Q67" s="195">
        <f t="shared" si="3"/>
        <v>0</v>
      </c>
      <c r="R67" s="195">
        <f t="shared" si="3"/>
        <v>10124</v>
      </c>
      <c r="S67" s="195">
        <f t="shared" si="3"/>
        <v>9445</v>
      </c>
      <c r="T67" s="195">
        <f t="shared" si="3"/>
        <v>0</v>
      </c>
      <c r="U67" s="195">
        <f t="shared" si="3"/>
        <v>70163</v>
      </c>
      <c r="V67" s="195">
        <f t="shared" si="3"/>
        <v>1476</v>
      </c>
      <c r="W67" s="195">
        <f t="shared" si="3"/>
        <v>0</v>
      </c>
      <c r="X67" s="195">
        <f t="shared" si="3"/>
        <v>0</v>
      </c>
      <c r="Y67" s="195">
        <f t="shared" si="3"/>
        <v>111437</v>
      </c>
      <c r="Z67" s="195">
        <f t="shared" si="3"/>
        <v>0</v>
      </c>
      <c r="AA67" s="195">
        <f t="shared" si="3"/>
        <v>0</v>
      </c>
      <c r="AB67" s="195">
        <f t="shared" si="3"/>
        <v>10917</v>
      </c>
      <c r="AC67" s="195">
        <f t="shared" si="3"/>
        <v>11091</v>
      </c>
      <c r="AD67" s="195">
        <f t="shared" si="3"/>
        <v>0</v>
      </c>
      <c r="AE67" s="195">
        <f t="shared" si="3"/>
        <v>25795</v>
      </c>
      <c r="AF67" s="195">
        <f t="shared" si="3"/>
        <v>0</v>
      </c>
      <c r="AG67" s="195">
        <f t="shared" si="3"/>
        <v>38861</v>
      </c>
      <c r="AH67" s="195">
        <f t="shared" si="3"/>
        <v>151425</v>
      </c>
      <c r="AI67" s="195">
        <f t="shared" si="3"/>
        <v>0</v>
      </c>
      <c r="AJ67" s="195">
        <f t="shared" si="3"/>
        <v>101938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12321</v>
      </c>
      <c r="AV67" s="195">
        <f t="shared" si="3"/>
        <v>24457</v>
      </c>
      <c r="AW67" s="195">
        <f t="shared" si="3"/>
        <v>0</v>
      </c>
      <c r="AX67" s="195">
        <f t="shared" si="3"/>
        <v>0</v>
      </c>
      <c r="AY67" s="195">
        <f t="shared" si="3"/>
        <v>17282</v>
      </c>
      <c r="AZ67" s="195">
        <f>ROUND(AZ51+AZ52,0)</f>
        <v>4604</v>
      </c>
      <c r="BA67" s="195">
        <f>ROUND(BA51+BA52,0)</f>
        <v>12850</v>
      </c>
      <c r="BB67" s="195">
        <f t="shared" si="3"/>
        <v>626</v>
      </c>
      <c r="BC67" s="195">
        <f t="shared" si="3"/>
        <v>0</v>
      </c>
      <c r="BD67" s="195">
        <f t="shared" si="3"/>
        <v>626</v>
      </c>
      <c r="BE67" s="195">
        <f t="shared" si="3"/>
        <v>17798</v>
      </c>
      <c r="BF67" s="195">
        <f t="shared" si="3"/>
        <v>2303</v>
      </c>
      <c r="BG67" s="195">
        <f t="shared" si="3"/>
        <v>0</v>
      </c>
      <c r="BH67" s="195">
        <f t="shared" si="3"/>
        <v>87735</v>
      </c>
      <c r="BI67" s="195">
        <f t="shared" si="3"/>
        <v>0</v>
      </c>
      <c r="BJ67" s="195">
        <f t="shared" si="3"/>
        <v>0</v>
      </c>
      <c r="BK67" s="195">
        <f t="shared" si="3"/>
        <v>11535</v>
      </c>
      <c r="BL67" s="195">
        <f t="shared" si="3"/>
        <v>950</v>
      </c>
      <c r="BM67" s="195">
        <f t="shared" si="3"/>
        <v>0</v>
      </c>
      <c r="BN67" s="195">
        <f t="shared" si="3"/>
        <v>59683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2540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3844</v>
      </c>
      <c r="BW67" s="195">
        <f t="shared" si="4"/>
        <v>0</v>
      </c>
      <c r="BX67" s="195">
        <f t="shared" si="4"/>
        <v>0</v>
      </c>
      <c r="BY67" s="195">
        <f t="shared" si="4"/>
        <v>1314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3400</v>
      </c>
      <c r="CD67" s="252" t="s">
        <v>221</v>
      </c>
      <c r="CE67" s="195">
        <f t="shared" si="0"/>
        <v>1181084</v>
      </c>
      <c r="CF67" s="255"/>
    </row>
    <row r="68" spans="1:84" ht="12.65" customHeight="1" x14ac:dyDescent="0.3">
      <c r="A68" s="171" t="s">
        <v>240</v>
      </c>
      <c r="B68" s="175"/>
      <c r="C68" s="184"/>
      <c r="D68" s="184"/>
      <c r="E68" s="184">
        <v>1506</v>
      </c>
      <c r="F68" s="184"/>
      <c r="G68" s="184"/>
      <c r="H68" s="184"/>
      <c r="I68" s="184"/>
      <c r="J68" s="184">
        <v>0</v>
      </c>
      <c r="K68" s="185">
        <v>2880</v>
      </c>
      <c r="L68" s="185">
        <v>0</v>
      </c>
      <c r="M68" s="184"/>
      <c r="N68" s="184"/>
      <c r="O68" s="184">
        <v>0</v>
      </c>
      <c r="P68" s="185">
        <v>0</v>
      </c>
      <c r="Q68" s="185">
        <v>0</v>
      </c>
      <c r="R68" s="185">
        <v>0</v>
      </c>
      <c r="S68" s="185">
        <v>0</v>
      </c>
      <c r="T68" s="185"/>
      <c r="U68" s="185">
        <v>23135</v>
      </c>
      <c r="V68" s="185"/>
      <c r="W68" s="185"/>
      <c r="X68" s="185"/>
      <c r="Y68" s="185">
        <v>0</v>
      </c>
      <c r="Z68" s="185"/>
      <c r="AA68" s="185"/>
      <c r="AB68" s="185">
        <v>40407</v>
      </c>
      <c r="AC68" s="185"/>
      <c r="AD68" s="185"/>
      <c r="AE68" s="185"/>
      <c r="AF68" s="185"/>
      <c r="AG68" s="185"/>
      <c r="AH68" s="185">
        <v>4146</v>
      </c>
      <c r="AI68" s="185"/>
      <c r="AJ68" s="185">
        <f>637+664</f>
        <v>1301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150</v>
      </c>
      <c r="AW68" s="185"/>
      <c r="AX68" s="185"/>
      <c r="AY68" s="185"/>
      <c r="AZ68" s="185"/>
      <c r="BA68" s="185"/>
      <c r="BB68" s="185"/>
      <c r="BC68" s="185"/>
      <c r="BD68" s="185"/>
      <c r="BE68" s="185">
        <v>20270</v>
      </c>
      <c r="BF68" s="185"/>
      <c r="BG68" s="185"/>
      <c r="BH68" s="185"/>
      <c r="BI68" s="185"/>
      <c r="BJ68" s="185"/>
      <c r="BK68" s="185"/>
      <c r="BL68" s="185">
        <v>3833</v>
      </c>
      <c r="BM68" s="185"/>
      <c r="BN68" s="185">
        <v>59368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994</v>
      </c>
      <c r="CD68" s="252" t="s">
        <v>221</v>
      </c>
      <c r="CE68" s="195">
        <f t="shared" si="0"/>
        <v>157990</v>
      </c>
      <c r="CF68" s="255"/>
    </row>
    <row r="69" spans="1:84" ht="12.65" customHeight="1" x14ac:dyDescent="0.3">
      <c r="A69" s="171" t="s">
        <v>241</v>
      </c>
      <c r="B69" s="175"/>
      <c r="C69" s="184"/>
      <c r="D69" s="184"/>
      <c r="E69" s="185">
        <f>16510-11740</f>
        <v>4770</v>
      </c>
      <c r="F69" s="185"/>
      <c r="G69" s="184"/>
      <c r="H69" s="184"/>
      <c r="I69" s="185"/>
      <c r="J69" s="185">
        <v>0</v>
      </c>
      <c r="K69" s="185">
        <v>-3863</v>
      </c>
      <c r="L69" s="185">
        <v>0</v>
      </c>
      <c r="M69" s="184"/>
      <c r="N69" s="184"/>
      <c r="O69" s="184">
        <v>5247</v>
      </c>
      <c r="P69" s="185">
        <v>2245</v>
      </c>
      <c r="Q69" s="185">
        <v>0</v>
      </c>
      <c r="R69" s="224">
        <f>17733-6617</f>
        <v>11116</v>
      </c>
      <c r="S69" s="185">
        <v>795</v>
      </c>
      <c r="T69" s="184"/>
      <c r="U69" s="185">
        <v>8718</v>
      </c>
      <c r="V69" s="185"/>
      <c r="W69" s="184"/>
      <c r="X69" s="185"/>
      <c r="Y69" s="185">
        <f>20307+19-11408</f>
        <v>8918</v>
      </c>
      <c r="Z69" s="185"/>
      <c r="AA69" s="185"/>
      <c r="AB69" s="185">
        <v>12427</v>
      </c>
      <c r="AC69" s="185"/>
      <c r="AD69" s="185"/>
      <c r="AE69" s="185">
        <v>8112</v>
      </c>
      <c r="AF69" s="185"/>
      <c r="AG69" s="185">
        <f>13660+30639-30639</f>
        <v>13660</v>
      </c>
      <c r="AH69" s="185">
        <v>21702</v>
      </c>
      <c r="AI69" s="185"/>
      <c r="AJ69" s="185">
        <f>8482+156832+11404-3547-117601-6601</f>
        <v>48969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>
        <f>26727+750</f>
        <v>27477</v>
      </c>
      <c r="AV69" s="185">
        <f>634+1605</f>
        <v>2239</v>
      </c>
      <c r="AW69" s="185"/>
      <c r="AX69" s="185"/>
      <c r="AY69" s="185">
        <v>2454</v>
      </c>
      <c r="AZ69" s="185"/>
      <c r="BA69" s="185">
        <v>43</v>
      </c>
      <c r="BB69" s="185">
        <v>520</v>
      </c>
      <c r="BC69" s="185"/>
      <c r="BD69" s="185">
        <v>3186</v>
      </c>
      <c r="BE69" s="185">
        <v>4664</v>
      </c>
      <c r="BF69" s="185">
        <v>2354</v>
      </c>
      <c r="BG69" s="185"/>
      <c r="BH69" s="224">
        <v>61975</v>
      </c>
      <c r="BI69" s="185"/>
      <c r="BJ69" s="185">
        <v>21438</v>
      </c>
      <c r="BK69" s="185">
        <v>27027</v>
      </c>
      <c r="BL69" s="185">
        <v>614</v>
      </c>
      <c r="BM69" s="185"/>
      <c r="BN69" s="185">
        <f>15+170187</f>
        <v>170202</v>
      </c>
      <c r="BO69" s="185"/>
      <c r="BP69" s="185"/>
      <c r="BQ69" s="185"/>
      <c r="BR69" s="185">
        <v>16716</v>
      </c>
      <c r="BS69" s="185"/>
      <c r="BT69" s="185"/>
      <c r="BU69" s="185"/>
      <c r="BV69" s="185">
        <v>24147</v>
      </c>
      <c r="BW69" s="185"/>
      <c r="BX69" s="185"/>
      <c r="BY69" s="185">
        <v>3480</v>
      </c>
      <c r="BZ69" s="185"/>
      <c r="CA69" s="185">
        <v>591</v>
      </c>
      <c r="CB69" s="185">
        <v>13081</v>
      </c>
      <c r="CC69" s="185">
        <f>100+9117+12944</f>
        <v>22161</v>
      </c>
      <c r="CD69" s="188">
        <v>1296887</v>
      </c>
      <c r="CE69" s="195">
        <f t="shared" si="0"/>
        <v>1844072</v>
      </c>
      <c r="CF69" s="255"/>
    </row>
    <row r="70" spans="1:84" ht="12.65" customHeight="1" x14ac:dyDescent="0.3">
      <c r="A70" s="171" t="s">
        <v>242</v>
      </c>
      <c r="B70" s="175"/>
      <c r="C70" s="184"/>
      <c r="D70" s="184"/>
      <c r="E70" s="184">
        <v>0</v>
      </c>
      <c r="F70" s="185"/>
      <c r="G70" s="184"/>
      <c r="H70" s="184"/>
      <c r="I70" s="184"/>
      <c r="J70" s="185">
        <v>0</v>
      </c>
      <c r="K70" s="185">
        <v>0</v>
      </c>
      <c r="L70" s="185">
        <v>0</v>
      </c>
      <c r="M70" s="184"/>
      <c r="N70" s="184"/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/>
      <c r="U70" s="185">
        <v>0</v>
      </c>
      <c r="V70" s="184"/>
      <c r="W70" s="184"/>
      <c r="X70" s="185"/>
      <c r="Y70" s="185">
        <v>0</v>
      </c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1140235</v>
      </c>
      <c r="CE70" s="195">
        <f t="shared" si="0"/>
        <v>1140235</v>
      </c>
      <c r="CF70" s="255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2872572.8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3613</v>
      </c>
      <c r="K71" s="195">
        <f t="shared" si="5"/>
        <v>2744838.1799999997</v>
      </c>
      <c r="L71" s="195">
        <f t="shared" si="5"/>
        <v>374462.4</v>
      </c>
      <c r="M71" s="195">
        <f t="shared" si="5"/>
        <v>0</v>
      </c>
      <c r="N71" s="195">
        <f t="shared" si="5"/>
        <v>0</v>
      </c>
      <c r="O71" s="195">
        <f t="shared" si="5"/>
        <v>508524.11</v>
      </c>
      <c r="P71" s="195">
        <f t="shared" si="5"/>
        <v>936263.25</v>
      </c>
      <c r="Q71" s="195">
        <f t="shared" si="5"/>
        <v>7654.73</v>
      </c>
      <c r="R71" s="195">
        <f t="shared" si="5"/>
        <v>590459.72</v>
      </c>
      <c r="S71" s="195">
        <f t="shared" si="5"/>
        <v>178304.05</v>
      </c>
      <c r="T71" s="195">
        <f t="shared" si="5"/>
        <v>0</v>
      </c>
      <c r="U71" s="195">
        <f t="shared" si="5"/>
        <v>2416907.92</v>
      </c>
      <c r="V71" s="195">
        <f t="shared" si="5"/>
        <v>1476</v>
      </c>
      <c r="W71" s="195">
        <f t="shared" si="5"/>
        <v>145957</v>
      </c>
      <c r="X71" s="195">
        <f t="shared" si="5"/>
        <v>79018</v>
      </c>
      <c r="Y71" s="195">
        <f t="shared" si="5"/>
        <v>1781741.72</v>
      </c>
      <c r="Z71" s="195">
        <f t="shared" si="5"/>
        <v>0</v>
      </c>
      <c r="AA71" s="195">
        <f t="shared" si="5"/>
        <v>75193</v>
      </c>
      <c r="AB71" s="195">
        <f t="shared" si="5"/>
        <v>1480406</v>
      </c>
      <c r="AC71" s="195">
        <f t="shared" si="5"/>
        <v>138214.38</v>
      </c>
      <c r="AD71" s="195">
        <f t="shared" si="5"/>
        <v>0</v>
      </c>
      <c r="AE71" s="195">
        <f t="shared" si="5"/>
        <v>954682.51</v>
      </c>
      <c r="AF71" s="195">
        <f t="shared" si="5"/>
        <v>0</v>
      </c>
      <c r="AG71" s="195">
        <f t="shared" si="5"/>
        <v>1717323</v>
      </c>
      <c r="AH71" s="195">
        <f t="shared" si="5"/>
        <v>580777.18999999994</v>
      </c>
      <c r="AI71" s="195">
        <f t="shared" si="5"/>
        <v>149846</v>
      </c>
      <c r="AJ71" s="195">
        <f t="shared" ref="AJ71:BO71" si="6">SUM(AJ61:AJ69)-AJ70</f>
        <v>5267782.3600000003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1618151.63</v>
      </c>
      <c r="AV71" s="195">
        <f t="shared" si="6"/>
        <v>352879.16</v>
      </c>
      <c r="AW71" s="195">
        <f t="shared" si="6"/>
        <v>0</v>
      </c>
      <c r="AX71" s="195">
        <f t="shared" si="6"/>
        <v>0</v>
      </c>
      <c r="AY71" s="195">
        <f t="shared" si="6"/>
        <v>944628.17999999993</v>
      </c>
      <c r="AZ71" s="195">
        <f t="shared" si="6"/>
        <v>4604</v>
      </c>
      <c r="BA71" s="195">
        <f t="shared" si="6"/>
        <v>152142.43</v>
      </c>
      <c r="BB71" s="195">
        <f t="shared" si="6"/>
        <v>162857.43</v>
      </c>
      <c r="BC71" s="195">
        <f t="shared" si="6"/>
        <v>0</v>
      </c>
      <c r="BD71" s="195">
        <f t="shared" si="6"/>
        <v>208539.12</v>
      </c>
      <c r="BE71" s="195">
        <f t="shared" si="6"/>
        <v>1194484.1499999999</v>
      </c>
      <c r="BF71" s="195">
        <f t="shared" si="6"/>
        <v>799637.26</v>
      </c>
      <c r="BG71" s="195">
        <f t="shared" si="6"/>
        <v>0</v>
      </c>
      <c r="BH71" s="195">
        <f>SUM(BH61:BH69)-BH70</f>
        <v>946823.26</v>
      </c>
      <c r="BI71" s="195">
        <f t="shared" si="6"/>
        <v>0</v>
      </c>
      <c r="BJ71" s="195">
        <f t="shared" si="6"/>
        <v>576676.28</v>
      </c>
      <c r="BK71" s="195">
        <f t="shared" si="6"/>
        <v>1172287.1299999999</v>
      </c>
      <c r="BL71" s="195">
        <f t="shared" si="6"/>
        <v>380477.01</v>
      </c>
      <c r="BM71" s="195">
        <f t="shared" si="6"/>
        <v>0</v>
      </c>
      <c r="BN71" s="195">
        <f t="shared" si="6"/>
        <v>1324365.8900000001</v>
      </c>
      <c r="BO71" s="195">
        <f t="shared" si="6"/>
        <v>38074.400000000001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291561.5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351535.87</v>
      </c>
      <c r="BW71" s="195">
        <f t="shared" si="7"/>
        <v>0</v>
      </c>
      <c r="BX71" s="195">
        <f t="shared" si="7"/>
        <v>0</v>
      </c>
      <c r="BY71" s="195">
        <f t="shared" si="7"/>
        <v>249398.85</v>
      </c>
      <c r="BZ71" s="195">
        <f t="shared" si="7"/>
        <v>0</v>
      </c>
      <c r="CA71" s="195">
        <f t="shared" si="7"/>
        <v>24845.51</v>
      </c>
      <c r="CB71" s="195">
        <f t="shared" si="7"/>
        <v>443959.26</v>
      </c>
      <c r="CC71" s="195">
        <f t="shared" si="7"/>
        <v>701083.01</v>
      </c>
      <c r="CD71" s="248">
        <f>CD69-CD70</f>
        <v>156652</v>
      </c>
      <c r="CE71" s="195">
        <f>SUM(CE61:CE69)-CE70</f>
        <v>35101680.650000006</v>
      </c>
      <c r="CF71" s="255"/>
    </row>
    <row r="72" spans="1:84" ht="12.65" customHeight="1" x14ac:dyDescent="0.3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f>307533.06+343389+218139</f>
        <v>869061.06</v>
      </c>
      <c r="CF72" s="255"/>
    </row>
    <row r="73" spans="1:84" ht="12.65" customHeight="1" x14ac:dyDescent="0.3">
      <c r="A73" s="171" t="s">
        <v>245</v>
      </c>
      <c r="B73" s="175"/>
      <c r="C73" s="184"/>
      <c r="D73" s="184"/>
      <c r="E73" s="185">
        <v>2771772</v>
      </c>
      <c r="F73" s="185"/>
      <c r="G73" s="184"/>
      <c r="H73" s="184"/>
      <c r="I73" s="185"/>
      <c r="J73" s="185">
        <v>98957</v>
      </c>
      <c r="K73" s="185">
        <v>2007475</v>
      </c>
      <c r="L73" s="185">
        <v>1248516</v>
      </c>
      <c r="M73" s="184"/>
      <c r="N73" s="184"/>
      <c r="O73" s="184">
        <v>182356</v>
      </c>
      <c r="P73" s="185">
        <v>367784</v>
      </c>
      <c r="Q73" s="185">
        <v>11122</v>
      </c>
      <c r="R73" s="185">
        <v>273483</v>
      </c>
      <c r="S73" s="185">
        <v>88428</v>
      </c>
      <c r="T73" s="185"/>
      <c r="U73" s="185">
        <f>562862+97249</f>
        <v>660111</v>
      </c>
      <c r="V73" s="185"/>
      <c r="W73" s="185">
        <v>18133</v>
      </c>
      <c r="X73" s="185">
        <v>263923</v>
      </c>
      <c r="Y73" s="185">
        <f>80656+98729</f>
        <v>179385</v>
      </c>
      <c r="Z73" s="185"/>
      <c r="AA73" s="185">
        <v>6082</v>
      </c>
      <c r="AB73" s="185">
        <v>809057</v>
      </c>
      <c r="AC73" s="185">
        <v>65660</v>
      </c>
      <c r="AD73" s="185"/>
      <c r="AE73" s="185">
        <v>278609</v>
      </c>
      <c r="AF73" s="185"/>
      <c r="AG73" s="185"/>
      <c r="AH73" s="185">
        <v>52785</v>
      </c>
      <c r="AI73" s="185">
        <v>138137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42310</f>
        <v>42310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9564085</v>
      </c>
      <c r="CF73" s="255"/>
    </row>
    <row r="74" spans="1:84" ht="12.65" customHeight="1" x14ac:dyDescent="0.3">
      <c r="A74" s="171" t="s">
        <v>246</v>
      </c>
      <c r="B74" s="175"/>
      <c r="C74" s="184"/>
      <c r="D74" s="184"/>
      <c r="E74" s="185">
        <v>452040</v>
      </c>
      <c r="F74" s="185"/>
      <c r="G74" s="184"/>
      <c r="H74" s="184"/>
      <c r="I74" s="184"/>
      <c r="J74" s="185">
        <v>1311</v>
      </c>
      <c r="K74" s="185">
        <v>3958</v>
      </c>
      <c r="L74" s="185">
        <f>287+99526</f>
        <v>99813</v>
      </c>
      <c r="M74" s="184"/>
      <c r="N74" s="184"/>
      <c r="O74" s="184">
        <f>36531</f>
        <v>36531</v>
      </c>
      <c r="P74" s="185">
        <v>1697078</v>
      </c>
      <c r="Q74" s="185">
        <v>179015</v>
      </c>
      <c r="R74" s="185">
        <f>1247979+181366</f>
        <v>1429345</v>
      </c>
      <c r="S74" s="185">
        <f>215819+68955</f>
        <v>284774</v>
      </c>
      <c r="T74" s="185"/>
      <c r="U74" s="185">
        <f>6770745+2194066+15050+21800</f>
        <v>9001661</v>
      </c>
      <c r="V74" s="185"/>
      <c r="W74" s="185">
        <f>1195449+25465</f>
        <v>1220914</v>
      </c>
      <c r="X74" s="185">
        <f>1797999+3118083</f>
        <v>4916082</v>
      </c>
      <c r="Y74" s="185">
        <f>886898+1264012+1415860+704925+464995+71820+9288</f>
        <v>4817798</v>
      </c>
      <c r="Z74" s="185"/>
      <c r="AA74" s="185">
        <v>276192</v>
      </c>
      <c r="AB74" s="185">
        <f>2974106+455749</f>
        <v>3429855</v>
      </c>
      <c r="AC74" s="185">
        <f>25725+3713</f>
        <v>29438</v>
      </c>
      <c r="AD74" s="185"/>
      <c r="AE74" s="185">
        <f>3318797+2690</f>
        <v>3321487</v>
      </c>
      <c r="AF74" s="185"/>
      <c r="AG74" s="185">
        <f>704491+7498284</f>
        <v>8202775</v>
      </c>
      <c r="AH74" s="185">
        <f>86621+746678</f>
        <v>833299</v>
      </c>
      <c r="AI74" s="185">
        <f>988517+28989</f>
        <v>1017506</v>
      </c>
      <c r="AJ74" s="185">
        <f>764139+4294665+623627</f>
        <v>5682431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f>657644+52800+393034+4</f>
        <v>1103482</v>
      </c>
      <c r="AV74" s="185">
        <f>200785+372081+338587+1553937</f>
        <v>2465390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50502175</v>
      </c>
      <c r="CF74" s="255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3223812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100268</v>
      </c>
      <c r="K75" s="195">
        <f t="shared" si="9"/>
        <v>2011433</v>
      </c>
      <c r="L75" s="195">
        <f t="shared" si="9"/>
        <v>1348329</v>
      </c>
      <c r="M75" s="195">
        <f t="shared" si="9"/>
        <v>0</v>
      </c>
      <c r="N75" s="195">
        <f t="shared" si="9"/>
        <v>0</v>
      </c>
      <c r="O75" s="195">
        <f t="shared" si="9"/>
        <v>218887</v>
      </c>
      <c r="P75" s="195">
        <f t="shared" si="9"/>
        <v>2064862</v>
      </c>
      <c r="Q75" s="195">
        <f t="shared" si="9"/>
        <v>190137</v>
      </c>
      <c r="R75" s="195">
        <f t="shared" si="9"/>
        <v>1702828</v>
      </c>
      <c r="S75" s="195">
        <f t="shared" si="9"/>
        <v>373202</v>
      </c>
      <c r="T75" s="195">
        <f t="shared" si="9"/>
        <v>0</v>
      </c>
      <c r="U75" s="195">
        <f t="shared" si="9"/>
        <v>9661772</v>
      </c>
      <c r="V75" s="195">
        <f t="shared" si="9"/>
        <v>0</v>
      </c>
      <c r="W75" s="195">
        <f t="shared" si="9"/>
        <v>1239047</v>
      </c>
      <c r="X75" s="195">
        <f t="shared" si="9"/>
        <v>5180005</v>
      </c>
      <c r="Y75" s="195">
        <f t="shared" si="9"/>
        <v>4997183</v>
      </c>
      <c r="Z75" s="195">
        <f t="shared" si="9"/>
        <v>0</v>
      </c>
      <c r="AA75" s="195">
        <f t="shared" si="9"/>
        <v>282274</v>
      </c>
      <c r="AB75" s="195">
        <f t="shared" si="9"/>
        <v>4238912</v>
      </c>
      <c r="AC75" s="195">
        <f t="shared" si="9"/>
        <v>95098</v>
      </c>
      <c r="AD75" s="195">
        <f t="shared" si="9"/>
        <v>0</v>
      </c>
      <c r="AE75" s="195">
        <f t="shared" si="9"/>
        <v>3600096</v>
      </c>
      <c r="AF75" s="195">
        <f t="shared" si="9"/>
        <v>0</v>
      </c>
      <c r="AG75" s="195">
        <f t="shared" si="9"/>
        <v>8202775</v>
      </c>
      <c r="AH75" s="195">
        <f t="shared" si="9"/>
        <v>886084</v>
      </c>
      <c r="AI75" s="195">
        <f t="shared" si="9"/>
        <v>1155643</v>
      </c>
      <c r="AJ75" s="195">
        <f t="shared" si="9"/>
        <v>5682431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1103482</v>
      </c>
      <c r="AV75" s="195">
        <f t="shared" si="9"/>
        <v>2507700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60066260</v>
      </c>
      <c r="CF75" s="255"/>
    </row>
    <row r="76" spans="1:84" ht="12.65" customHeight="1" x14ac:dyDescent="0.3">
      <c r="A76" s="171" t="s">
        <v>248</v>
      </c>
      <c r="B76" s="175"/>
      <c r="C76" s="294"/>
      <c r="D76" s="294"/>
      <c r="E76" s="295">
        <v>2649</v>
      </c>
      <c r="F76" s="295"/>
      <c r="G76" s="294"/>
      <c r="H76" s="294"/>
      <c r="I76" s="295"/>
      <c r="J76" s="295">
        <v>167</v>
      </c>
      <c r="K76" s="295">
        <v>2417</v>
      </c>
      <c r="L76" s="295">
        <v>1736</v>
      </c>
      <c r="M76" s="295"/>
      <c r="N76" s="295"/>
      <c r="O76" s="295">
        <v>526</v>
      </c>
      <c r="P76" s="295">
        <v>6021</v>
      </c>
      <c r="Q76" s="295"/>
      <c r="R76" s="295"/>
      <c r="S76" s="295">
        <v>1510</v>
      </c>
      <c r="T76" s="295"/>
      <c r="U76" s="295">
        <v>1260</v>
      </c>
      <c r="V76" s="295">
        <v>236</v>
      </c>
      <c r="W76" s="295"/>
      <c r="X76" s="295"/>
      <c r="Y76" s="295">
        <v>2491</v>
      </c>
      <c r="Z76" s="295"/>
      <c r="AA76" s="295"/>
      <c r="AB76" s="295">
        <v>394</v>
      </c>
      <c r="AC76" s="295">
        <v>752</v>
      </c>
      <c r="AD76" s="295"/>
      <c r="AE76" s="295">
        <v>2996</v>
      </c>
      <c r="AF76" s="295"/>
      <c r="AG76" s="295">
        <v>1577</v>
      </c>
      <c r="AH76" s="295">
        <v>1650</v>
      </c>
      <c r="AI76" s="295"/>
      <c r="AJ76" s="295">
        <v>12086</v>
      </c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>
        <v>1910</v>
      </c>
      <c r="AV76" s="295">
        <v>902</v>
      </c>
      <c r="AW76" s="295"/>
      <c r="AX76" s="295"/>
      <c r="AY76" s="295">
        <v>1054</v>
      </c>
      <c r="AZ76" s="295">
        <v>736</v>
      </c>
      <c r="BA76" s="295">
        <v>747</v>
      </c>
      <c r="BB76" s="295">
        <v>100</v>
      </c>
      <c r="BC76" s="295"/>
      <c r="BD76" s="295">
        <v>100</v>
      </c>
      <c r="BE76" s="295">
        <v>1764</v>
      </c>
      <c r="BF76" s="295">
        <v>115</v>
      </c>
      <c r="BG76" s="295"/>
      <c r="BH76" s="295">
        <v>356</v>
      </c>
      <c r="BI76" s="295"/>
      <c r="BJ76" s="295"/>
      <c r="BK76" s="295">
        <v>1844</v>
      </c>
      <c r="BL76" s="295">
        <v>148</v>
      </c>
      <c r="BM76" s="295"/>
      <c r="BN76" s="295">
        <v>6685</v>
      </c>
      <c r="BO76" s="295"/>
      <c r="BP76" s="295"/>
      <c r="BQ76" s="295"/>
      <c r="BR76" s="295">
        <v>406</v>
      </c>
      <c r="BS76" s="295"/>
      <c r="BT76" s="295"/>
      <c r="BU76" s="295"/>
      <c r="BV76" s="295">
        <v>612</v>
      </c>
      <c r="BW76" s="295"/>
      <c r="BX76" s="295"/>
      <c r="BY76" s="295">
        <v>210</v>
      </c>
      <c r="BZ76" s="295"/>
      <c r="CA76" s="295"/>
      <c r="CB76" s="295"/>
      <c r="CC76" s="295"/>
      <c r="CD76" s="252" t="s">
        <v>221</v>
      </c>
      <c r="CE76" s="195">
        <f t="shared" si="8"/>
        <v>56157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/>
      <c r="D77" s="184"/>
      <c r="E77" s="184">
        <v>5481</v>
      </c>
      <c r="F77" s="184"/>
      <c r="G77" s="184"/>
      <c r="H77" s="184"/>
      <c r="I77" s="184"/>
      <c r="J77" s="184"/>
      <c r="K77" s="184">
        <v>20257</v>
      </c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25738</v>
      </c>
      <c r="CF77" s="195">
        <f>AY59-CE77</f>
        <v>70217</v>
      </c>
    </row>
    <row r="78" spans="1:84" ht="12.65" customHeight="1" x14ac:dyDescent="0.3">
      <c r="A78" s="171" t="s">
        <v>250</v>
      </c>
      <c r="B78" s="175"/>
      <c r="C78" s="184"/>
      <c r="D78" s="184"/>
      <c r="E78" s="184">
        <v>2912</v>
      </c>
      <c r="F78" s="184"/>
      <c r="G78" s="184"/>
      <c r="H78" s="184"/>
      <c r="I78" s="184"/>
      <c r="J78" s="184">
        <v>169</v>
      </c>
      <c r="K78" s="184">
        <v>4992</v>
      </c>
      <c r="L78" s="184"/>
      <c r="M78" s="184"/>
      <c r="N78" s="184"/>
      <c r="O78" s="184"/>
      <c r="P78" s="184"/>
      <c r="Q78" s="184"/>
      <c r="R78" s="184"/>
      <c r="S78" s="184">
        <v>140.4</v>
      </c>
      <c r="T78" s="184"/>
      <c r="U78" s="184">
        <v>452.4</v>
      </c>
      <c r="V78" s="184"/>
      <c r="W78" s="184"/>
      <c r="X78" s="184">
        <v>205.4</v>
      </c>
      <c r="Y78" s="184">
        <f>286+101.4+803.4+91</f>
        <v>1281.8</v>
      </c>
      <c r="Z78" s="184"/>
      <c r="AA78" s="184"/>
      <c r="AB78" s="184">
        <v>130</v>
      </c>
      <c r="AC78" s="184">
        <v>169</v>
      </c>
      <c r="AD78" s="184"/>
      <c r="AE78" s="184">
        <v>400.4</v>
      </c>
      <c r="AF78" s="184"/>
      <c r="AG78" s="184">
        <v>2158</v>
      </c>
      <c r="AH78" s="184">
        <v>182</v>
      </c>
      <c r="AI78" s="184"/>
      <c r="AJ78" s="184">
        <f>832+2210+858</f>
        <v>3900</v>
      </c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>
        <v>338</v>
      </c>
      <c r="AV78" s="184">
        <v>130</v>
      </c>
      <c r="AW78" s="184"/>
      <c r="AX78" s="252" t="s">
        <v>221</v>
      </c>
      <c r="AY78" s="252" t="s">
        <v>221</v>
      </c>
      <c r="AZ78" s="252" t="s">
        <v>221</v>
      </c>
      <c r="BA78" s="184">
        <v>2496</v>
      </c>
      <c r="BB78" s="184">
        <v>65</v>
      </c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/>
      <c r="BI78" s="184"/>
      <c r="BJ78" s="252" t="s">
        <v>221</v>
      </c>
      <c r="BK78" s="184">
        <v>371.8</v>
      </c>
      <c r="BL78" s="184">
        <v>273</v>
      </c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>
        <v>65</v>
      </c>
      <c r="BW78" s="184"/>
      <c r="BX78" s="184"/>
      <c r="BY78" s="184">
        <v>109.2</v>
      </c>
      <c r="BZ78" s="184"/>
      <c r="CA78" s="184"/>
      <c r="CB78" s="184">
        <v>65</v>
      </c>
      <c r="CC78" s="252" t="s">
        <v>221</v>
      </c>
      <c r="CD78" s="252" t="s">
        <v>221</v>
      </c>
      <c r="CE78" s="195">
        <f t="shared" si="8"/>
        <v>21005.399999999998</v>
      </c>
      <c r="CF78" s="195"/>
    </row>
    <row r="79" spans="1:84" ht="12.65" customHeight="1" x14ac:dyDescent="0.3">
      <c r="A79" s="171" t="s">
        <v>251</v>
      </c>
      <c r="B79" s="175"/>
      <c r="C79" s="225"/>
      <c r="D79" s="225"/>
      <c r="E79" s="184">
        <v>11055</v>
      </c>
      <c r="F79" s="184"/>
      <c r="G79" s="184"/>
      <c r="H79" s="184"/>
      <c r="I79" s="184"/>
      <c r="J79" s="184">
        <v>116</v>
      </c>
      <c r="K79" s="184">
        <v>70076</v>
      </c>
      <c r="L79" s="184">
        <v>11362</v>
      </c>
      <c r="M79" s="184"/>
      <c r="N79" s="184"/>
      <c r="O79" s="184">
        <v>2652</v>
      </c>
      <c r="P79" s="184">
        <v>2988</v>
      </c>
      <c r="Q79" s="184">
        <v>1004</v>
      </c>
      <c r="R79" s="184"/>
      <c r="S79" s="184"/>
      <c r="T79" s="184"/>
      <c r="U79" s="184"/>
      <c r="V79" s="184"/>
      <c r="W79" s="184">
        <v>235</v>
      </c>
      <c r="X79" s="184">
        <v>1696</v>
      </c>
      <c r="Y79" s="184">
        <v>409</v>
      </c>
      <c r="Z79" s="184"/>
      <c r="AA79" s="184">
        <v>27</v>
      </c>
      <c r="AB79" s="184"/>
      <c r="AC79" s="184">
        <v>160</v>
      </c>
      <c r="AD79" s="184"/>
      <c r="AE79" s="184">
        <v>6192</v>
      </c>
      <c r="AF79" s="184"/>
      <c r="AG79" s="184">
        <v>11341</v>
      </c>
      <c r="AH79" s="184">
        <v>6107</v>
      </c>
      <c r="AI79" s="184">
        <v>8291</v>
      </c>
      <c r="AJ79" s="184">
        <v>992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134703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/>
      <c r="D80" s="187"/>
      <c r="E80" s="187">
        <f>SUM(8+8+2895.49+8491.08+2060.66+2577.73+1172.53)/2080</f>
        <v>8.2757163461538443</v>
      </c>
      <c r="F80" s="187"/>
      <c r="G80" s="187"/>
      <c r="H80" s="187"/>
      <c r="I80" s="187"/>
      <c r="J80" s="187"/>
      <c r="K80" s="187">
        <f>SUM(2064+2171+8803.88+4258.95)/2080</f>
        <v>8.3162644230769214</v>
      </c>
      <c r="L80" s="187">
        <f>SUM(116.58+2644.78+1658.18+944.47+400.52)/2080</f>
        <v>2.7714086538461542</v>
      </c>
      <c r="M80" s="187"/>
      <c r="N80" s="187"/>
      <c r="O80" s="187">
        <f>SUM(164.54+588.02+618.51+328.75)/2080</f>
        <v>0.81722115384615379</v>
      </c>
      <c r="P80" s="187">
        <f>SUM(1840+3.25+587.09+398.46+354.75)/2080</f>
        <v>1.5305528846153846</v>
      </c>
      <c r="Q80" s="187">
        <f>SUM(16+66.25)/2080</f>
        <v>3.9543269230769229E-2</v>
      </c>
      <c r="R80" s="187">
        <v>1.07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SUM(22.75+407.25+484.95+778.81+323.27+210.8)/2080</f>
        <v>1.0710721153846154</v>
      </c>
      <c r="AH80" s="187"/>
      <c r="AI80" s="187">
        <f>SUM(46.59+1062.87+667.66+393.63+170.27)/2080</f>
        <v>1.1254903846153845</v>
      </c>
      <c r="AJ80" s="187">
        <f>SUM(49.5+319.5+2077.75+4508.3+2398.25+656.5+2608.5+151+35.25+1276.2)/2080</f>
        <v>6.7695913461538462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31.786860576923079</v>
      </c>
      <c r="CF80" s="258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5" t="s">
        <v>1271</v>
      </c>
      <c r="D82" s="259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1281</v>
      </c>
      <c r="D83" s="259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5" customHeight="1" x14ac:dyDescent="0.3">
      <c r="A85" s="173" t="s">
        <v>1251</v>
      </c>
      <c r="B85" s="172"/>
      <c r="C85" s="274" t="s">
        <v>1273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1279</v>
      </c>
      <c r="D92" s="259"/>
      <c r="E92" s="175"/>
    </row>
    <row r="93" spans="1:5" ht="12.65" customHeight="1" x14ac:dyDescent="0.3">
      <c r="A93" s="173" t="s">
        <v>264</v>
      </c>
      <c r="B93" s="172" t="s">
        <v>256</v>
      </c>
      <c r="C93" s="273" t="s">
        <v>1280</v>
      </c>
      <c r="D93" s="259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60" t="s">
        <v>266</v>
      </c>
      <c r="B96" s="260"/>
      <c r="C96" s="260"/>
      <c r="D96" s="260"/>
      <c r="E96" s="260"/>
    </row>
    <row r="97" spans="1:5" ht="12.65" customHeight="1" x14ac:dyDescent="0.3">
      <c r="A97" s="173" t="s">
        <v>267</v>
      </c>
      <c r="B97" s="172" t="s">
        <v>256</v>
      </c>
      <c r="C97" s="189" t="s">
        <v>1283</v>
      </c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 t="s">
        <v>1275</v>
      </c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60" t="s">
        <v>269</v>
      </c>
      <c r="B100" s="260"/>
      <c r="C100" s="260"/>
      <c r="D100" s="260"/>
      <c r="E100" s="260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60" t="s">
        <v>271</v>
      </c>
      <c r="B103" s="260"/>
      <c r="C103" s="260"/>
      <c r="D103" s="260"/>
      <c r="E103" s="260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210</v>
      </c>
      <c r="D111" s="174">
        <v>715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>
        <f>66+5</f>
        <v>71</v>
      </c>
      <c r="D112" s="174">
        <f>6793+753</f>
        <v>7546</v>
      </c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44</v>
      </c>
      <c r="D114" s="174">
        <v>78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17</v>
      </c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/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20</v>
      </c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37</v>
      </c>
    </row>
    <row r="128" spans="1:5" ht="12.65" customHeight="1" x14ac:dyDescent="0.3">
      <c r="A128" s="173" t="s">
        <v>292</v>
      </c>
      <c r="B128" s="172" t="s">
        <v>256</v>
      </c>
      <c r="C128" s="189">
        <v>37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123</v>
      </c>
      <c r="C138" s="189">
        <v>20</v>
      </c>
      <c r="D138" s="174">
        <v>67</v>
      </c>
      <c r="E138" s="175">
        <f>SUM(B138:D138)</f>
        <v>210</v>
      </c>
    </row>
    <row r="139" spans="1:6" ht="12.65" customHeight="1" x14ac:dyDescent="0.3">
      <c r="A139" s="173" t="s">
        <v>215</v>
      </c>
      <c r="B139" s="174">
        <v>418</v>
      </c>
      <c r="C139" s="189">
        <v>57</v>
      </c>
      <c r="D139" s="174">
        <v>240</v>
      </c>
      <c r="E139" s="175">
        <f>SUM(B139:D139)</f>
        <v>715</v>
      </c>
    </row>
    <row r="140" spans="1:6" ht="12.65" customHeight="1" x14ac:dyDescent="0.3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">
      <c r="A141" s="173" t="s">
        <v>245</v>
      </c>
      <c r="B141" s="174">
        <v>2329783.67</v>
      </c>
      <c r="C141" s="189">
        <f>948461.67+928144.97</f>
        <v>1876606.6400000001</v>
      </c>
      <c r="D141" s="174">
        <f>271411.65+11511.63+2118+883+1034832.89+91232.1+7848.22+39223.76+115917.08-270783</f>
        <v>1304195.33</v>
      </c>
      <c r="E141" s="175">
        <f>SUM(B141:D141)</f>
        <v>5510585.6400000006</v>
      </c>
      <c r="F141" s="199"/>
    </row>
    <row r="142" spans="1:6" ht="12.65" customHeight="1" x14ac:dyDescent="0.3">
      <c r="A142" s="173" t="s">
        <v>246</v>
      </c>
      <c r="B142" s="174">
        <f>15233322.83+1159327+327000+373584+31340</f>
        <v>17124573.829999998</v>
      </c>
      <c r="C142" s="189">
        <f>3545656.53+7148304.56+1174595+567979+135692+29037+89722+15116+388993+49382</f>
        <v>13144477.09</v>
      </c>
      <c r="D142" s="174">
        <v>20233124</v>
      </c>
      <c r="E142" s="175">
        <f>SUM(B142:D142)</f>
        <v>50502174.920000002</v>
      </c>
      <c r="F142" s="199"/>
    </row>
    <row r="143" spans="1:6" ht="12.65" customHeight="1" x14ac:dyDescent="0.3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>
        <v>55</v>
      </c>
      <c r="C144" s="189">
        <v>2</v>
      </c>
      <c r="D144" s="174">
        <f>11+3</f>
        <v>14</v>
      </c>
      <c r="E144" s="175">
        <f>SUM(B144:D144)</f>
        <v>71</v>
      </c>
    </row>
    <row r="145" spans="1:5" ht="12.65" customHeight="1" x14ac:dyDescent="0.3">
      <c r="A145" s="173" t="s">
        <v>215</v>
      </c>
      <c r="B145" s="174">
        <v>638</v>
      </c>
      <c r="C145" s="189">
        <v>4775</v>
      </c>
      <c r="D145" s="174">
        <f>115+2018</f>
        <v>2133</v>
      </c>
      <c r="E145" s="175">
        <f>SUM(B145:D145)</f>
        <v>7546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>
        <f>1731496.13</f>
        <v>1731496.13</v>
      </c>
      <c r="C147" s="189">
        <f>1635.23+225866.42+1451105</f>
        <v>1678606.65</v>
      </c>
      <c r="D147" s="174">
        <f>7219.7+69399.17+10408.14+36285+520085</f>
        <v>643397.01</v>
      </c>
      <c r="E147" s="175">
        <f>SUM(B147:D147)</f>
        <v>4053499.79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60" t="s">
        <v>306</v>
      </c>
      <c r="B164" s="260"/>
      <c r="C164" s="260"/>
      <c r="D164" s="260"/>
      <c r="E164" s="260"/>
    </row>
    <row r="165" spans="1:5" ht="11.5" customHeight="1" x14ac:dyDescent="0.3">
      <c r="A165" s="173" t="s">
        <v>307</v>
      </c>
      <c r="B165" s="172" t="s">
        <v>256</v>
      </c>
      <c r="C165" s="189">
        <f>256498</f>
        <v>256498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-7343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189387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f>3255529+3</f>
        <v>3255532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313">
        <f>6771+730175+823753</f>
        <v>1560699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f>24636+102419</f>
        <v>127055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242072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5623900</v>
      </c>
      <c r="E173" s="175"/>
    </row>
    <row r="174" spans="1:5" ht="11.5" customHeight="1" x14ac:dyDescent="0.3">
      <c r="A174" s="260" t="s">
        <v>314</v>
      </c>
      <c r="B174" s="260"/>
      <c r="C174" s="260"/>
      <c r="D174" s="260"/>
      <c r="E174" s="260"/>
    </row>
    <row r="175" spans="1:5" ht="11.5" customHeight="1" x14ac:dyDescent="0.3">
      <c r="A175" s="173" t="s">
        <v>315</v>
      </c>
      <c r="B175" s="172" t="s">
        <v>256</v>
      </c>
      <c r="C175" s="189">
        <v>59368.01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f>157990-C175</f>
        <v>98621.989999999991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157990</v>
      </c>
      <c r="E177" s="175"/>
    </row>
    <row r="178" spans="1:5" ht="11.5" customHeight="1" x14ac:dyDescent="0.3">
      <c r="A178" s="260" t="s">
        <v>317</v>
      </c>
      <c r="B178" s="260"/>
      <c r="C178" s="260"/>
      <c r="D178" s="260"/>
      <c r="E178" s="260"/>
    </row>
    <row r="179" spans="1:5" ht="11.5" customHeight="1" x14ac:dyDescent="0.3">
      <c r="A179" s="173" t="s">
        <v>318</v>
      </c>
      <c r="B179" s="172" t="s">
        <v>256</v>
      </c>
      <c r="C179" s="189">
        <f>11740+6617+11408+30639+3547+117601+6601</f>
        <v>188153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313">
        <f>284333</f>
        <v>284333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472486</v>
      </c>
      <c r="E181" s="175"/>
    </row>
    <row r="182" spans="1:5" ht="11.5" customHeight="1" x14ac:dyDescent="0.3">
      <c r="A182" s="260" t="s">
        <v>320</v>
      </c>
      <c r="B182" s="260"/>
      <c r="C182" s="260"/>
      <c r="D182" s="260"/>
      <c r="E182" s="260"/>
    </row>
    <row r="183" spans="1:5" ht="11.5" customHeight="1" x14ac:dyDescent="0.3">
      <c r="A183" s="173" t="s">
        <v>321</v>
      </c>
      <c r="B183" s="172" t="s">
        <v>256</v>
      </c>
      <c r="C183" s="189">
        <v>68345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339037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407382</v>
      </c>
      <c r="E186" s="175"/>
    </row>
    <row r="187" spans="1:5" ht="11.5" customHeight="1" x14ac:dyDescent="0.3">
      <c r="A187" s="260" t="s">
        <v>323</v>
      </c>
      <c r="B187" s="260"/>
      <c r="C187" s="260"/>
      <c r="D187" s="260"/>
      <c r="E187" s="260"/>
    </row>
    <row r="188" spans="1:5" ht="11.5" customHeight="1" x14ac:dyDescent="0.3">
      <c r="A188" s="173" t="s">
        <v>324</v>
      </c>
      <c r="B188" s="172" t="s">
        <v>256</v>
      </c>
      <c r="C188" s="189">
        <v>48507</v>
      </c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f>368513</f>
        <v>368513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417020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378503.29</v>
      </c>
      <c r="C195" s="189">
        <v>132253.89000000001</v>
      </c>
      <c r="D195" s="174"/>
      <c r="E195" s="175">
        <f t="shared" ref="E195:E203" si="10">SUM(B195:C195)-D195</f>
        <v>510757.18</v>
      </c>
    </row>
    <row r="196" spans="1:8" ht="12.65" customHeight="1" x14ac:dyDescent="0.3">
      <c r="A196" s="173" t="s">
        <v>333</v>
      </c>
      <c r="B196" s="174">
        <v>935265.77</v>
      </c>
      <c r="C196" s="189"/>
      <c r="D196" s="174"/>
      <c r="E196" s="175">
        <f t="shared" si="10"/>
        <v>935265.77</v>
      </c>
    </row>
    <row r="197" spans="1:8" ht="12.65" customHeight="1" x14ac:dyDescent="0.3">
      <c r="A197" s="173" t="s">
        <v>334</v>
      </c>
      <c r="B197" s="174">
        <f>669866.97+14904583.87</f>
        <v>15574450.84</v>
      </c>
      <c r="C197" s="189">
        <v>4727959</v>
      </c>
      <c r="D197" s="174"/>
      <c r="E197" s="175">
        <f t="shared" si="10"/>
        <v>20302409.84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16271558.140000001</v>
      </c>
      <c r="C200" s="189">
        <v>1185322</v>
      </c>
      <c r="D200" s="174"/>
      <c r="E200" s="175">
        <f t="shared" si="10"/>
        <v>17456880.140000001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168256.55</v>
      </c>
      <c r="C203" s="189">
        <v>837723</v>
      </c>
      <c r="D203" s="174"/>
      <c r="E203" s="175">
        <f t="shared" si="10"/>
        <v>1005979.55</v>
      </c>
    </row>
    <row r="204" spans="1:8" ht="12.65" customHeight="1" x14ac:dyDescent="0.3">
      <c r="A204" s="173" t="s">
        <v>203</v>
      </c>
      <c r="B204" s="175">
        <f>SUM(B195:B203)</f>
        <v>33328034.59</v>
      </c>
      <c r="C204" s="191">
        <f>SUM(C195:C203)</f>
        <v>6883257.8899999997</v>
      </c>
      <c r="D204" s="175">
        <f>SUM(D195:D203)</f>
        <v>0</v>
      </c>
      <c r="E204" s="175">
        <f>SUM(E195:E203)</f>
        <v>40211292.479999997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">
      <c r="A209" s="173" t="s">
        <v>333</v>
      </c>
      <c r="B209" s="174">
        <v>842382.49</v>
      </c>
      <c r="C209" s="189">
        <f>25546.4-331</f>
        <v>25215.4</v>
      </c>
      <c r="D209" s="174"/>
      <c r="E209" s="175">
        <f t="shared" ref="E209:E216" si="11">SUM(B209:C209)-D209</f>
        <v>867597.89</v>
      </c>
      <c r="H209" s="262"/>
    </row>
    <row r="210" spans="1:8" ht="12.65" customHeight="1" x14ac:dyDescent="0.3">
      <c r="A210" s="173" t="s">
        <v>334</v>
      </c>
      <c r="B210" s="174">
        <f>669043.48+11672492.42</f>
        <v>12341535.9</v>
      </c>
      <c r="C210" s="189">
        <f>658.84+325072.32+93041</f>
        <v>418772.16000000003</v>
      </c>
      <c r="D210" s="174"/>
      <c r="E210" s="175">
        <f t="shared" si="11"/>
        <v>12760308.060000001</v>
      </c>
      <c r="H210" s="262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62"/>
    </row>
    <row r="213" spans="1:8" ht="12.65" customHeight="1" x14ac:dyDescent="0.3">
      <c r="A213" s="173" t="s">
        <v>337</v>
      </c>
      <c r="B213" s="174">
        <v>14106477.060000001</v>
      </c>
      <c r="C213" s="189">
        <f>740694.42-3598</f>
        <v>737096.42</v>
      </c>
      <c r="D213" s="174"/>
      <c r="E213" s="175">
        <f t="shared" si="11"/>
        <v>14843573.48</v>
      </c>
      <c r="H213" s="262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62"/>
    </row>
    <row r="217" spans="1:8" ht="12.65" customHeight="1" x14ac:dyDescent="0.3">
      <c r="A217" s="173" t="s">
        <v>203</v>
      </c>
      <c r="B217" s="175">
        <f>SUM(B208:B216)</f>
        <v>27290395.450000003</v>
      </c>
      <c r="C217" s="191">
        <f>SUM(C208:C216)</f>
        <v>1181083.98</v>
      </c>
      <c r="D217" s="175">
        <f>SUM(D208:D216)</f>
        <v>0</v>
      </c>
      <c r="E217" s="175">
        <f>SUM(E208:E216)</f>
        <v>28471479.43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56" t="s">
        <v>1257</v>
      </c>
      <c r="C220" s="356"/>
      <c r="D220" s="208"/>
      <c r="E220" s="208"/>
    </row>
    <row r="221" spans="1:8" ht="12.65" customHeight="1" x14ac:dyDescent="0.3">
      <c r="A221" s="275" t="s">
        <v>1257</v>
      </c>
      <c r="B221" s="208"/>
      <c r="C221" s="189">
        <v>794281.91</v>
      </c>
      <c r="D221" s="172">
        <f>C221</f>
        <v>794281.91</v>
      </c>
      <c r="E221" s="208"/>
    </row>
    <row r="222" spans="1:8" ht="12.65" customHeight="1" x14ac:dyDescent="0.3">
      <c r="A222" s="260" t="s">
        <v>343</v>
      </c>
      <c r="B222" s="260"/>
      <c r="C222" s="260"/>
      <c r="D222" s="260"/>
      <c r="E222" s="260"/>
    </row>
    <row r="223" spans="1:8" ht="12.65" customHeight="1" x14ac:dyDescent="0.3">
      <c r="A223" s="173" t="s">
        <v>344</v>
      </c>
      <c r="B223" s="172" t="s">
        <v>256</v>
      </c>
      <c r="C223" s="189">
        <f>10407352-491867</f>
        <v>9915485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f>7606472+209633</f>
        <v>7816105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f>552783+40172</f>
        <v>592955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f>184929+2338</f>
        <v>187267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f>4509335+1093589</f>
        <v>5602924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-2176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24112560</v>
      </c>
      <c r="E229" s="175"/>
    </row>
    <row r="230" spans="1:5" ht="12.65" customHeight="1" x14ac:dyDescent="0.3">
      <c r="A230" s="260" t="s">
        <v>351</v>
      </c>
      <c r="B230" s="260"/>
      <c r="C230" s="260"/>
      <c r="D230" s="260"/>
      <c r="E230" s="260"/>
    </row>
    <row r="231" spans="1:5" ht="12.65" customHeight="1" x14ac:dyDescent="0.3">
      <c r="A231" s="171" t="s">
        <v>352</v>
      </c>
      <c r="B231" s="172" t="s">
        <v>256</v>
      </c>
      <c r="C231" s="189">
        <f>156+110</f>
        <v>266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42531.11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f>566541-C233</f>
        <v>524009.89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566541</v>
      </c>
      <c r="E236" s="175"/>
    </row>
    <row r="237" spans="1:5" ht="12.65" customHeight="1" x14ac:dyDescent="0.3">
      <c r="A237" s="260" t="s">
        <v>356</v>
      </c>
      <c r="B237" s="260"/>
      <c r="C237" s="260"/>
      <c r="D237" s="260"/>
      <c r="E237" s="260"/>
    </row>
    <row r="238" spans="1:5" ht="12.65" customHeight="1" x14ac:dyDescent="0.3">
      <c r="A238" s="173" t="s">
        <v>357</v>
      </c>
      <c r="B238" s="172" t="s">
        <v>256</v>
      </c>
      <c r="C238" s="189">
        <f>2385+20015</f>
        <v>22400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f>351959+276</f>
        <v>352235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374635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25848017.91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60" t="s">
        <v>361</v>
      </c>
      <c r="B249" s="260"/>
      <c r="C249" s="260"/>
      <c r="D249" s="260"/>
      <c r="E249" s="260"/>
    </row>
    <row r="250" spans="1:5" ht="12.4" customHeight="1" x14ac:dyDescent="0.3">
      <c r="A250" s="173" t="s">
        <v>362</v>
      </c>
      <c r="B250" s="172" t="s">
        <v>256</v>
      </c>
      <c r="C250" s="189">
        <f>12884604+3787736+8695</f>
        <v>16681035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10834982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5111669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>
        <f>131792+18108+11431</f>
        <v>161331</v>
      </c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656439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303636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23525754</v>
      </c>
      <c r="E260" s="175"/>
    </row>
    <row r="261" spans="1:5" ht="11.25" customHeight="1" x14ac:dyDescent="0.3">
      <c r="A261" s="260" t="s">
        <v>372</v>
      </c>
      <c r="B261" s="260"/>
      <c r="C261" s="260"/>
      <c r="D261" s="260"/>
      <c r="E261" s="260"/>
    </row>
    <row r="262" spans="1:5" ht="12.4" customHeight="1" x14ac:dyDescent="0.3">
      <c r="A262" s="173" t="s">
        <v>362</v>
      </c>
      <c r="B262" s="172" t="s">
        <v>256</v>
      </c>
      <c r="C262" s="189">
        <v>7068446</v>
      </c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7068446</v>
      </c>
      <c r="E265" s="175"/>
    </row>
    <row r="266" spans="1:5" ht="11.25" customHeight="1" x14ac:dyDescent="0.3">
      <c r="A266" s="260" t="s">
        <v>375</v>
      </c>
      <c r="B266" s="260"/>
      <c r="C266" s="260"/>
      <c r="D266" s="260"/>
      <c r="E266" s="260"/>
    </row>
    <row r="267" spans="1:5" ht="12.4" customHeight="1" x14ac:dyDescent="0.3">
      <c r="A267" s="173" t="s">
        <v>332</v>
      </c>
      <c r="B267" s="172" t="s">
        <v>256</v>
      </c>
      <c r="C267" s="189">
        <f>1446023-935266</f>
        <v>510757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935266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20302410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313">
        <v>17456880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1005980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40211293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28471479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11739814</v>
      </c>
      <c r="E277" s="175"/>
    </row>
    <row r="278" spans="1:5" ht="12.65" customHeight="1" x14ac:dyDescent="0.3">
      <c r="A278" s="260" t="s">
        <v>382</v>
      </c>
      <c r="B278" s="260"/>
      <c r="C278" s="260"/>
      <c r="D278" s="260"/>
      <c r="E278" s="260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58465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58465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60" t="s">
        <v>387</v>
      </c>
      <c r="B285" s="260"/>
      <c r="C285" s="260"/>
      <c r="D285" s="260"/>
      <c r="E285" s="260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42392479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60" t="s">
        <v>395</v>
      </c>
      <c r="B303" s="260"/>
      <c r="C303" s="260"/>
      <c r="D303" s="260"/>
      <c r="E303" s="260"/>
    </row>
    <row r="304" spans="1:5" ht="12.65" customHeight="1" x14ac:dyDescent="0.3">
      <c r="A304" s="173" t="s">
        <v>396</v>
      </c>
      <c r="B304" s="172" t="s">
        <v>256</v>
      </c>
      <c r="C304" s="189">
        <f>118865+866369</f>
        <v>985234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684156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f>608646+90984+1779867+50583</f>
        <v>2530080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f>42822+14331</f>
        <v>57153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351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3217956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1012385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8486964</v>
      </c>
      <c r="E314" s="175"/>
    </row>
    <row r="315" spans="1:5" ht="12.65" customHeight="1" x14ac:dyDescent="0.3">
      <c r="A315" s="260" t="s">
        <v>406</v>
      </c>
      <c r="B315" s="260"/>
      <c r="C315" s="260"/>
      <c r="D315" s="260"/>
      <c r="E315" s="260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980350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980350</v>
      </c>
      <c r="E319" s="175"/>
    </row>
    <row r="320" spans="1:5" ht="12.65" customHeight="1" x14ac:dyDescent="0.3">
      <c r="A320" s="260" t="s">
        <v>411</v>
      </c>
      <c r="B320" s="260"/>
      <c r="C320" s="260"/>
      <c r="D320" s="260"/>
      <c r="E320" s="260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447577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16095000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4815175.4000000004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21357752.399999999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21357752.399999999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11567412.4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42392478.799999997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42392479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60" t="s">
        <v>427</v>
      </c>
      <c r="B358" s="260"/>
      <c r="C358" s="260"/>
      <c r="D358" s="260"/>
      <c r="E358" s="260"/>
    </row>
    <row r="359" spans="1:5" ht="12.65" customHeight="1" x14ac:dyDescent="0.3">
      <c r="A359" s="173" t="s">
        <v>428</v>
      </c>
      <c r="B359" s="172" t="s">
        <v>256</v>
      </c>
      <c r="C359" s="189">
        <v>9564085.3499999996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f>26464598+17251668+6785909</f>
        <v>50502175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60066260.350000001</v>
      </c>
      <c r="E361" s="175"/>
    </row>
    <row r="362" spans="1:5" ht="12.65" customHeight="1" x14ac:dyDescent="0.3">
      <c r="A362" s="260" t="s">
        <v>431</v>
      </c>
      <c r="B362" s="260"/>
      <c r="C362" s="260"/>
      <c r="D362" s="260"/>
      <c r="E362" s="260"/>
    </row>
    <row r="363" spans="1:5" ht="12.65" customHeight="1" x14ac:dyDescent="0.3">
      <c r="A363" s="173" t="s">
        <v>1257</v>
      </c>
      <c r="B363" s="260"/>
      <c r="C363" s="189">
        <v>794282</v>
      </c>
      <c r="D363" s="175"/>
      <c r="E363" s="260"/>
    </row>
    <row r="364" spans="1:5" ht="12.65" customHeight="1" x14ac:dyDescent="0.3">
      <c r="A364" s="173" t="s">
        <v>432</v>
      </c>
      <c r="B364" s="172" t="s">
        <v>256</v>
      </c>
      <c r="C364" s="189">
        <v>24112560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566541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374635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25848018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34218242.350000001</v>
      </c>
      <c r="E368" s="175"/>
    </row>
    <row r="369" spans="1:5" ht="12.65" customHeight="1" x14ac:dyDescent="0.3">
      <c r="A369" s="260" t="s">
        <v>436</v>
      </c>
      <c r="B369" s="260"/>
      <c r="C369" s="260"/>
      <c r="D369" s="260"/>
      <c r="E369" s="260"/>
    </row>
    <row r="370" spans="1:5" ht="12.65" customHeight="1" x14ac:dyDescent="0.3">
      <c r="A370" s="173" t="s">
        <v>437</v>
      </c>
      <c r="B370" s="172" t="s">
        <v>256</v>
      </c>
      <c r="C370" s="189">
        <v>1140235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f>307533.06+343389.36+218139</f>
        <v>869061.41999999993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2009296.42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36227538.770000003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60" t="s">
        <v>441</v>
      </c>
      <c r="B377" s="260"/>
      <c r="C377" s="260"/>
      <c r="D377" s="260"/>
      <c r="E377" s="260"/>
    </row>
    <row r="378" spans="1:5" ht="12.65" customHeight="1" x14ac:dyDescent="0.3">
      <c r="A378" s="173" t="s">
        <v>442</v>
      </c>
      <c r="B378" s="172" t="s">
        <v>256</v>
      </c>
      <c r="C378" s="189">
        <v>18214125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5623900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f>3108900</f>
        <v>3108900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f>2952121.92+775233.9</f>
        <v>3727355.82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488953.02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1895532.88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f>1229591-48507</f>
        <v>1181084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157989.85999999999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f>472485.33</f>
        <v>472485.33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407382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f>368513+48507</f>
        <v>417020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-22+1427074.76-C387-C386</f>
        <v>547185.42999999993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36241913.339999996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-14374.569999992847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f>65425.14+7593184+35.75-406455.66+140</f>
        <v>7252329.2299999995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7237954.6600000067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7237954.6600000067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3"/>
    </row>
    <row r="412" spans="1:5" ht="12.65" customHeight="1" x14ac:dyDescent="0.3">
      <c r="A412" s="179" t="str">
        <f>C84&amp;"   "&amp;"H-"&amp;FIXED(C83,0,TRUE)&amp;"     FYE "&amp;C82</f>
        <v>Forks Community Hospital   H-0     FYE 12/31/2021</v>
      </c>
      <c r="B412" s="179"/>
      <c r="C412" s="179"/>
      <c r="D412" s="179"/>
      <c r="E412" s="263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210</v>
      </c>
      <c r="C414" s="194">
        <f>E138</f>
        <v>210</v>
      </c>
      <c r="D414" s="179"/>
    </row>
    <row r="415" spans="1:5" ht="12.65" customHeight="1" x14ac:dyDescent="0.3">
      <c r="A415" s="179" t="s">
        <v>464</v>
      </c>
      <c r="B415" s="179">
        <f>D111</f>
        <v>715</v>
      </c>
      <c r="C415" s="179">
        <f>E139</f>
        <v>715</v>
      </c>
      <c r="D415" s="194">
        <f>SUM(C59:H59)+N59</f>
        <v>715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71</v>
      </c>
      <c r="C417" s="194">
        <f>E144</f>
        <v>71</v>
      </c>
      <c r="D417" s="179"/>
    </row>
    <row r="418" spans="1:7" ht="12.65" customHeight="1" x14ac:dyDescent="0.3">
      <c r="A418" s="179" t="s">
        <v>466</v>
      </c>
      <c r="B418" s="179">
        <f>D112</f>
        <v>7546</v>
      </c>
      <c r="C418" s="179">
        <f>E145</f>
        <v>7546</v>
      </c>
      <c r="D418" s="179">
        <f>K59+L59</f>
        <v>7546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44</v>
      </c>
    </row>
    <row r="424" spans="1:7" ht="12.65" customHeight="1" x14ac:dyDescent="0.3">
      <c r="A424" s="179" t="s">
        <v>1244</v>
      </c>
      <c r="B424" s="179">
        <f>D114</f>
        <v>78</v>
      </c>
      <c r="D424" s="179">
        <f>J59</f>
        <v>78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18214125</v>
      </c>
      <c r="C427" s="179">
        <f t="shared" ref="C427:C434" si="13">CE61</f>
        <v>18214125.650000002</v>
      </c>
      <c r="D427" s="179"/>
    </row>
    <row r="428" spans="1:7" ht="12.65" customHeight="1" x14ac:dyDescent="0.3">
      <c r="A428" s="179" t="s">
        <v>3</v>
      </c>
      <c r="B428" s="179">
        <f t="shared" si="12"/>
        <v>5623900</v>
      </c>
      <c r="C428" s="179">
        <f t="shared" si="13"/>
        <v>5623898</v>
      </c>
      <c r="D428" s="179">
        <f>D173</f>
        <v>5623900</v>
      </c>
    </row>
    <row r="429" spans="1:7" ht="12.65" customHeight="1" x14ac:dyDescent="0.3">
      <c r="A429" s="179" t="s">
        <v>236</v>
      </c>
      <c r="B429" s="179">
        <f t="shared" si="12"/>
        <v>3108900</v>
      </c>
      <c r="C429" s="179">
        <f t="shared" si="13"/>
        <v>3108900</v>
      </c>
      <c r="D429" s="179"/>
    </row>
    <row r="430" spans="1:7" ht="12.65" customHeight="1" x14ac:dyDescent="0.3">
      <c r="A430" s="179" t="s">
        <v>237</v>
      </c>
      <c r="B430" s="179">
        <f t="shared" si="12"/>
        <v>3727355.82</v>
      </c>
      <c r="C430" s="179">
        <f t="shared" si="13"/>
        <v>3727359</v>
      </c>
      <c r="D430" s="179"/>
    </row>
    <row r="431" spans="1:7" ht="12.65" customHeight="1" x14ac:dyDescent="0.3">
      <c r="A431" s="179" t="s">
        <v>444</v>
      </c>
      <c r="B431" s="179">
        <f t="shared" si="12"/>
        <v>488953.02</v>
      </c>
      <c r="C431" s="179">
        <f t="shared" si="13"/>
        <v>488954</v>
      </c>
      <c r="D431" s="179"/>
    </row>
    <row r="432" spans="1:7" ht="12.65" customHeight="1" x14ac:dyDescent="0.3">
      <c r="A432" s="179" t="s">
        <v>445</v>
      </c>
      <c r="B432" s="179">
        <f t="shared" si="12"/>
        <v>1895532.88</v>
      </c>
      <c r="C432" s="179">
        <f t="shared" si="13"/>
        <v>1895533</v>
      </c>
      <c r="D432" s="179"/>
    </row>
    <row r="433" spans="1:7" ht="12.65" customHeight="1" x14ac:dyDescent="0.3">
      <c r="A433" s="179" t="s">
        <v>6</v>
      </c>
      <c r="B433" s="179">
        <f t="shared" si="12"/>
        <v>1181084</v>
      </c>
      <c r="C433" s="179">
        <f t="shared" si="13"/>
        <v>1181084</v>
      </c>
      <c r="D433" s="179">
        <f>C217</f>
        <v>1181083.98</v>
      </c>
    </row>
    <row r="434" spans="1:7" ht="12.65" customHeight="1" x14ac:dyDescent="0.3">
      <c r="A434" s="179" t="s">
        <v>474</v>
      </c>
      <c r="B434" s="179">
        <f t="shared" si="12"/>
        <v>157989.85999999999</v>
      </c>
      <c r="C434" s="179">
        <f t="shared" si="13"/>
        <v>157990</v>
      </c>
      <c r="D434" s="179">
        <f>D177</f>
        <v>157990</v>
      </c>
    </row>
    <row r="435" spans="1:7" ht="12.65" customHeight="1" x14ac:dyDescent="0.3">
      <c r="A435" s="179" t="s">
        <v>447</v>
      </c>
      <c r="B435" s="179">
        <f t="shared" si="12"/>
        <v>472485.33</v>
      </c>
      <c r="C435" s="179"/>
      <c r="D435" s="179">
        <f>D181</f>
        <v>472486</v>
      </c>
    </row>
    <row r="436" spans="1:7" ht="12.65" customHeight="1" x14ac:dyDescent="0.3">
      <c r="A436" s="179" t="s">
        <v>475</v>
      </c>
      <c r="B436" s="179">
        <f t="shared" si="12"/>
        <v>407382</v>
      </c>
      <c r="C436" s="179"/>
      <c r="D436" s="179">
        <f>D186</f>
        <v>407382</v>
      </c>
    </row>
    <row r="437" spans="1:7" ht="12.65" customHeight="1" x14ac:dyDescent="0.3">
      <c r="A437" s="194" t="s">
        <v>449</v>
      </c>
      <c r="B437" s="194">
        <f t="shared" si="12"/>
        <v>417020</v>
      </c>
      <c r="C437" s="194"/>
      <c r="D437" s="194">
        <f>D190</f>
        <v>417020</v>
      </c>
    </row>
    <row r="438" spans="1:7" ht="12.65" customHeight="1" x14ac:dyDescent="0.3">
      <c r="A438" s="194" t="s">
        <v>476</v>
      </c>
      <c r="B438" s="194">
        <f>C386+C387+C388</f>
        <v>1296887.33</v>
      </c>
      <c r="C438" s="194">
        <f>CD69</f>
        <v>1296887</v>
      </c>
      <c r="D438" s="194">
        <f>D181+D186+D190</f>
        <v>1296888</v>
      </c>
    </row>
    <row r="439" spans="1:7" ht="12.65" customHeight="1" x14ac:dyDescent="0.3">
      <c r="A439" s="179" t="s">
        <v>451</v>
      </c>
      <c r="B439" s="194">
        <f>C389</f>
        <v>547185.42999999993</v>
      </c>
      <c r="C439" s="194">
        <f>SUM(C69:CC69)</f>
        <v>547185</v>
      </c>
      <c r="D439" s="179"/>
    </row>
    <row r="440" spans="1:7" ht="12.65" customHeight="1" x14ac:dyDescent="0.3">
      <c r="A440" s="179" t="s">
        <v>477</v>
      </c>
      <c r="B440" s="194">
        <f>B438+B439</f>
        <v>1844072.76</v>
      </c>
      <c r="C440" s="194">
        <f>CE69</f>
        <v>1844072</v>
      </c>
      <c r="D440" s="179"/>
    </row>
    <row r="441" spans="1:7" ht="12.65" customHeight="1" x14ac:dyDescent="0.3">
      <c r="A441" s="179" t="s">
        <v>478</v>
      </c>
      <c r="B441" s="179">
        <f>D390</f>
        <v>36241913.339999996</v>
      </c>
      <c r="C441" s="179">
        <f>SUM(C427:C437)+C440</f>
        <v>36241915.650000006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1259</v>
      </c>
      <c r="B444" s="179">
        <f>D221</f>
        <v>794281.91</v>
      </c>
      <c r="C444" s="179">
        <f>C363</f>
        <v>794282</v>
      </c>
      <c r="D444" s="179"/>
    </row>
    <row r="445" spans="1:7" ht="12.65" customHeight="1" x14ac:dyDescent="0.3">
      <c r="A445" s="179" t="s">
        <v>343</v>
      </c>
      <c r="B445" s="179">
        <f>D229</f>
        <v>24112560</v>
      </c>
      <c r="C445" s="179">
        <f>C364</f>
        <v>24112560</v>
      </c>
      <c r="D445" s="179"/>
    </row>
    <row r="446" spans="1:7" ht="12.65" customHeight="1" x14ac:dyDescent="0.3">
      <c r="A446" s="179" t="s">
        <v>351</v>
      </c>
      <c r="B446" s="179">
        <f>D236</f>
        <v>566541</v>
      </c>
      <c r="C446" s="179">
        <f>C365</f>
        <v>566541</v>
      </c>
      <c r="D446" s="179"/>
    </row>
    <row r="447" spans="1:7" ht="12.65" customHeight="1" x14ac:dyDescent="0.3">
      <c r="A447" s="179" t="s">
        <v>356</v>
      </c>
      <c r="B447" s="179">
        <f>D240</f>
        <v>374635</v>
      </c>
      <c r="C447" s="179">
        <f>C366</f>
        <v>374635</v>
      </c>
      <c r="D447" s="179"/>
    </row>
    <row r="448" spans="1:7" ht="12.65" customHeight="1" x14ac:dyDescent="0.3">
      <c r="A448" s="179" t="s">
        <v>358</v>
      </c>
      <c r="B448" s="179">
        <f>D242</f>
        <v>25848017.91</v>
      </c>
      <c r="C448" s="179">
        <f>D367</f>
        <v>25848018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266</v>
      </c>
    </row>
    <row r="454" spans="1:7" ht="12.65" customHeight="1" x14ac:dyDescent="0.3">
      <c r="A454" s="179" t="s">
        <v>168</v>
      </c>
      <c r="B454" s="179">
        <f>C233</f>
        <v>42531.11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524009.89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1140235</v>
      </c>
      <c r="C458" s="194">
        <f>CE70</f>
        <v>1140235</v>
      </c>
      <c r="D458" s="194"/>
    </row>
    <row r="459" spans="1:7" ht="12.65" customHeight="1" x14ac:dyDescent="0.3">
      <c r="A459" s="179" t="s">
        <v>244</v>
      </c>
      <c r="B459" s="194">
        <f>C371</f>
        <v>869061.41999999993</v>
      </c>
      <c r="C459" s="194">
        <f>CE72</f>
        <v>869061.06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9564085.3499999996</v>
      </c>
      <c r="C463" s="194">
        <f>CE73</f>
        <v>9564085</v>
      </c>
      <c r="D463" s="194">
        <f>E141+E147+E153</f>
        <v>9564085.4299999997</v>
      </c>
    </row>
    <row r="464" spans="1:7" ht="12.65" customHeight="1" x14ac:dyDescent="0.3">
      <c r="A464" s="179" t="s">
        <v>246</v>
      </c>
      <c r="B464" s="194">
        <f>C360</f>
        <v>50502175</v>
      </c>
      <c r="C464" s="194">
        <f>CE74</f>
        <v>50502175</v>
      </c>
      <c r="D464" s="194">
        <f>E142+E148+E154</f>
        <v>50502174.920000002</v>
      </c>
    </row>
    <row r="465" spans="1:7" ht="12.65" customHeight="1" x14ac:dyDescent="0.3">
      <c r="A465" s="179" t="s">
        <v>247</v>
      </c>
      <c r="B465" s="194">
        <f>D361</f>
        <v>60066260.350000001</v>
      </c>
      <c r="C465" s="194">
        <f>CE75</f>
        <v>60066260</v>
      </c>
      <c r="D465" s="194">
        <f>D463+D464</f>
        <v>60066260.350000001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510757</v>
      </c>
      <c r="C468" s="179">
        <f>E195</f>
        <v>510757.18</v>
      </c>
      <c r="D468" s="179"/>
    </row>
    <row r="469" spans="1:7" ht="12.65" customHeight="1" x14ac:dyDescent="0.3">
      <c r="A469" s="179" t="s">
        <v>333</v>
      </c>
      <c r="B469" s="179">
        <f t="shared" si="14"/>
        <v>935266</v>
      </c>
      <c r="C469" s="179">
        <f>E196</f>
        <v>935265.77</v>
      </c>
      <c r="D469" s="179"/>
    </row>
    <row r="470" spans="1:7" ht="12.65" customHeight="1" x14ac:dyDescent="0.3">
      <c r="A470" s="179" t="s">
        <v>334</v>
      </c>
      <c r="B470" s="179">
        <f t="shared" si="14"/>
        <v>20302410</v>
      </c>
      <c r="C470" s="179">
        <f>E197</f>
        <v>20302409.84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17456880</v>
      </c>
      <c r="C473" s="179">
        <f>SUM(E200:E201)</f>
        <v>17456880.140000001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1005980</v>
      </c>
      <c r="C475" s="179">
        <f>E203</f>
        <v>1005979.55</v>
      </c>
      <c r="D475" s="179"/>
    </row>
    <row r="476" spans="1:7" ht="12.65" customHeight="1" x14ac:dyDescent="0.3">
      <c r="A476" s="179" t="s">
        <v>203</v>
      </c>
      <c r="B476" s="179">
        <f>D275</f>
        <v>40211293</v>
      </c>
      <c r="C476" s="179">
        <f>E204</f>
        <v>40211292.479999997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28471479</v>
      </c>
      <c r="C478" s="179">
        <f>E217</f>
        <v>28471479.43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42392479</v>
      </c>
    </row>
    <row r="482" spans="1:12" ht="12.65" customHeight="1" x14ac:dyDescent="0.3">
      <c r="A482" s="180" t="s">
        <v>499</v>
      </c>
      <c r="C482" s="180">
        <f>D339</f>
        <v>42392478.799999997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054</v>
      </c>
      <c r="B493" s="264" t="str">
        <f>RIGHT('Prior Year'!C82,4)</f>
        <v>2020</v>
      </c>
      <c r="C493" s="264" t="str">
        <f>RIGHT(C82,4)</f>
        <v>2021</v>
      </c>
      <c r="D493" s="264" t="str">
        <f>RIGHT('Prior Year'!C82,4)</f>
        <v>2020</v>
      </c>
      <c r="E493" s="264" t="str">
        <f>RIGHT(C82,4)</f>
        <v>2021</v>
      </c>
      <c r="F493" s="264" t="str">
        <f>RIGHT('Prior Year'!C82,4)</f>
        <v>2020</v>
      </c>
      <c r="G493" s="264" t="str">
        <f>RIGHT(C82,4)</f>
        <v>2021</v>
      </c>
      <c r="H493" s="264"/>
      <c r="K493" s="264"/>
      <c r="L493" s="264"/>
    </row>
    <row r="494" spans="1:12" ht="12.65" customHeight="1" x14ac:dyDescent="0.3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">
      <c r="A496" s="180" t="s">
        <v>512</v>
      </c>
      <c r="B496" s="243">
        <f>'Prior Year'!C71</f>
        <v>0</v>
      </c>
      <c r="C496" s="243">
        <f>C71</f>
        <v>0</v>
      </c>
      <c r="D496" s="243">
        <f>'Prior Year'!C59</f>
        <v>0</v>
      </c>
      <c r="E496" s="180">
        <f>C59</f>
        <v>0</v>
      </c>
      <c r="F496" s="266" t="str">
        <f t="shared" ref="F496:G511" si="15">IF(B496=0,"",IF(D496=0,"",B496/D496))</f>
        <v/>
      </c>
      <c r="G496" s="267" t="str">
        <f t="shared" si="15"/>
        <v/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">
      <c r="A497" s="180" t="s">
        <v>513</v>
      </c>
      <c r="B497" s="243">
        <f>'Prior Year'!D71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">
      <c r="A498" s="180" t="s">
        <v>514</v>
      </c>
      <c r="B498" s="243">
        <f>'Prior Year'!E71</f>
        <v>2235231.61</v>
      </c>
      <c r="C498" s="243">
        <f>E71</f>
        <v>2872572.8</v>
      </c>
      <c r="D498" s="243">
        <f>'Prior Year'!E59</f>
        <v>647</v>
      </c>
      <c r="E498" s="180">
        <f>E59</f>
        <v>715</v>
      </c>
      <c r="F498" s="266">
        <f t="shared" si="15"/>
        <v>3454.7629211746521</v>
      </c>
      <c r="G498" s="266">
        <f t="shared" si="15"/>
        <v>4017.5843356643354</v>
      </c>
      <c r="H498" s="268" t="str">
        <f t="shared" si="16"/>
        <v/>
      </c>
      <c r="I498" s="270"/>
      <c r="K498" s="264"/>
      <c r="L498" s="264"/>
    </row>
    <row r="499" spans="1:12" ht="12.65" customHeight="1" x14ac:dyDescent="0.3">
      <c r="A499" s="180" t="s">
        <v>515</v>
      </c>
      <c r="B499" s="243">
        <f>'Prior Year'!F71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5" customHeight="1" x14ac:dyDescent="0.3">
      <c r="A500" s="180" t="s">
        <v>516</v>
      </c>
      <c r="B500" s="243">
        <f>'Prior Year'!G71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5" customHeight="1" x14ac:dyDescent="0.3">
      <c r="A501" s="180" t="s">
        <v>517</v>
      </c>
      <c r="B501" s="243">
        <f>'Prior Year'!H71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5" customHeight="1" x14ac:dyDescent="0.3">
      <c r="A502" s="180" t="s">
        <v>518</v>
      </c>
      <c r="B502" s="243">
        <f>'Prior Year'!I71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5" customHeight="1" x14ac:dyDescent="0.3">
      <c r="A503" s="180" t="s">
        <v>519</v>
      </c>
      <c r="B503" s="243">
        <f>'Prior Year'!J71</f>
        <v>3276</v>
      </c>
      <c r="C503" s="243">
        <f>J71</f>
        <v>3613</v>
      </c>
      <c r="D503" s="243">
        <f>'Prior Year'!J59</f>
        <v>67</v>
      </c>
      <c r="E503" s="180">
        <f>J59</f>
        <v>78</v>
      </c>
      <c r="F503" s="266">
        <f t="shared" si="15"/>
        <v>48.895522388059703</v>
      </c>
      <c r="G503" s="266">
        <f t="shared" si="15"/>
        <v>46.320512820512818</v>
      </c>
      <c r="H503" s="268" t="str">
        <f t="shared" si="16"/>
        <v/>
      </c>
      <c r="I503" s="270"/>
      <c r="K503" s="264"/>
      <c r="L503" s="264"/>
    </row>
    <row r="504" spans="1:12" ht="12.65" customHeight="1" x14ac:dyDescent="0.3">
      <c r="A504" s="180" t="s">
        <v>520</v>
      </c>
      <c r="B504" s="243">
        <f>'Prior Year'!K71</f>
        <v>2539949.81</v>
      </c>
      <c r="C504" s="243">
        <f>K71</f>
        <v>2744838.1799999997</v>
      </c>
      <c r="D504" s="243">
        <f>'Prior Year'!K59</f>
        <v>6779</v>
      </c>
      <c r="E504" s="180">
        <f>K59</f>
        <v>6793</v>
      </c>
      <c r="F504" s="266">
        <f t="shared" si="15"/>
        <v>374.67912818999855</v>
      </c>
      <c r="G504" s="266">
        <f t="shared" si="15"/>
        <v>404.06862652730746</v>
      </c>
      <c r="H504" s="268" t="str">
        <f t="shared" si="16"/>
        <v/>
      </c>
      <c r="I504" s="270"/>
      <c r="K504" s="264"/>
      <c r="L504" s="264"/>
    </row>
    <row r="505" spans="1:12" ht="12.65" customHeight="1" x14ac:dyDescent="0.3">
      <c r="A505" s="180" t="s">
        <v>521</v>
      </c>
      <c r="B505" s="243">
        <f>'Prior Year'!L71</f>
        <v>475373</v>
      </c>
      <c r="C505" s="243">
        <f>L71</f>
        <v>374462.4</v>
      </c>
      <c r="D505" s="243">
        <f>'Prior Year'!L59</f>
        <v>690</v>
      </c>
      <c r="E505" s="180">
        <f>L59</f>
        <v>753</v>
      </c>
      <c r="F505" s="266">
        <f t="shared" si="15"/>
        <v>688.94637681159418</v>
      </c>
      <c r="G505" s="266">
        <f t="shared" si="15"/>
        <v>497.29402390438253</v>
      </c>
      <c r="H505" s="268">
        <f t="shared" si="16"/>
        <v>-0.27818181408278564</v>
      </c>
      <c r="I505" s="270"/>
      <c r="K505" s="264"/>
      <c r="L505" s="264"/>
    </row>
    <row r="506" spans="1:12" ht="12.65" customHeight="1" x14ac:dyDescent="0.3">
      <c r="A506" s="180" t="s">
        <v>522</v>
      </c>
      <c r="B506" s="243">
        <f>'Prior Year'!M71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5" customHeight="1" x14ac:dyDescent="0.3">
      <c r="A507" s="180" t="s">
        <v>523</v>
      </c>
      <c r="B507" s="243">
        <f>'Prior Year'!N71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5" customHeight="1" x14ac:dyDescent="0.3">
      <c r="A508" s="180" t="s">
        <v>524</v>
      </c>
      <c r="B508" s="243">
        <f>'Prior Year'!O71</f>
        <v>406033</v>
      </c>
      <c r="C508" s="243">
        <f>O71</f>
        <v>508524.11</v>
      </c>
      <c r="D508" s="243">
        <f>'Prior Year'!O59</f>
        <v>67</v>
      </c>
      <c r="E508" s="180">
        <f>O59</f>
        <v>78</v>
      </c>
      <c r="F508" s="266">
        <f t="shared" si="15"/>
        <v>6060.1940298507461</v>
      </c>
      <c r="G508" s="266">
        <f t="shared" si="15"/>
        <v>6519.5398717948719</v>
      </c>
      <c r="H508" s="268" t="str">
        <f t="shared" si="16"/>
        <v/>
      </c>
      <c r="I508" s="270"/>
      <c r="K508" s="264"/>
      <c r="L508" s="264"/>
    </row>
    <row r="509" spans="1:12" ht="12.65" customHeight="1" x14ac:dyDescent="0.3">
      <c r="A509" s="180" t="s">
        <v>525</v>
      </c>
      <c r="B509" s="243">
        <f>'Prior Year'!P71</f>
        <v>930351</v>
      </c>
      <c r="C509" s="243">
        <f>P71</f>
        <v>936263.25</v>
      </c>
      <c r="D509" s="243">
        <f>'Prior Year'!P59</f>
        <v>7094</v>
      </c>
      <c r="E509" s="180">
        <f>P59</f>
        <v>9757</v>
      </c>
      <c r="F509" s="266">
        <f t="shared" si="15"/>
        <v>131.14617987031295</v>
      </c>
      <c r="G509" s="266">
        <f t="shared" si="15"/>
        <v>95.958107000102487</v>
      </c>
      <c r="H509" s="268">
        <f t="shared" si="16"/>
        <v>-0.26831184030680144</v>
      </c>
      <c r="I509" s="270"/>
      <c r="K509" s="264"/>
      <c r="L509" s="264"/>
    </row>
    <row r="510" spans="1:12" ht="12.65" customHeight="1" x14ac:dyDescent="0.3">
      <c r="A510" s="180" t="s">
        <v>526</v>
      </c>
      <c r="B510" s="243">
        <f>'Prior Year'!Q71</f>
        <v>13285</v>
      </c>
      <c r="C510" s="243">
        <f>Q71</f>
        <v>7654.73</v>
      </c>
      <c r="D510" s="243">
        <f>'Prior Year'!Q59</f>
        <v>7601</v>
      </c>
      <c r="E510" s="180">
        <f>Q59</f>
        <v>7664</v>
      </c>
      <c r="F510" s="266">
        <f t="shared" si="15"/>
        <v>1.7477963425865017</v>
      </c>
      <c r="G510" s="266">
        <f t="shared" si="15"/>
        <v>0.99879044885177448</v>
      </c>
      <c r="H510" s="268">
        <f t="shared" si="16"/>
        <v>-0.42854300325763361</v>
      </c>
      <c r="I510" s="270"/>
      <c r="K510" s="264"/>
      <c r="L510" s="264"/>
    </row>
    <row r="511" spans="1:12" ht="12.65" customHeight="1" x14ac:dyDescent="0.3">
      <c r="A511" s="180" t="s">
        <v>527</v>
      </c>
      <c r="B511" s="243">
        <f>'Prior Year'!R71</f>
        <v>577298.77</v>
      </c>
      <c r="C511" s="243">
        <f>R71</f>
        <v>590459.72</v>
      </c>
      <c r="D511" s="243">
        <f>'Prior Year'!R59</f>
        <v>12415</v>
      </c>
      <c r="E511" s="180">
        <f>R59</f>
        <v>17473</v>
      </c>
      <c r="F511" s="266">
        <f t="shared" si="15"/>
        <v>46.500102295610148</v>
      </c>
      <c r="G511" s="266">
        <f t="shared" si="15"/>
        <v>33.792692725919991</v>
      </c>
      <c r="H511" s="268">
        <f t="shared" si="16"/>
        <v>-0.27327702397097309</v>
      </c>
      <c r="I511" s="270"/>
      <c r="K511" s="264"/>
      <c r="L511" s="264"/>
    </row>
    <row r="512" spans="1:12" ht="12.65" customHeight="1" x14ac:dyDescent="0.3">
      <c r="A512" s="180" t="s">
        <v>528</v>
      </c>
      <c r="B512" s="243">
        <f>'Prior Year'!S71</f>
        <v>128220</v>
      </c>
      <c r="C512" s="243">
        <f>S71</f>
        <v>178304.05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5" customHeight="1" x14ac:dyDescent="0.3">
      <c r="A513" s="180" t="s">
        <v>1246</v>
      </c>
      <c r="B513" s="243">
        <f>'Prior Year'!T71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5" customHeight="1" x14ac:dyDescent="0.3">
      <c r="A514" s="180" t="s">
        <v>530</v>
      </c>
      <c r="B514" s="243">
        <f>'Prior Year'!U71</f>
        <v>2425431</v>
      </c>
      <c r="C514" s="243">
        <f>U71</f>
        <v>2416907.92</v>
      </c>
      <c r="D514" s="243">
        <f>'Prior Year'!U59</f>
        <v>58450</v>
      </c>
      <c r="E514" s="180">
        <f>U59</f>
        <v>66530</v>
      </c>
      <c r="F514" s="266">
        <f t="shared" si="17"/>
        <v>41.495825491873397</v>
      </c>
      <c r="G514" s="266">
        <f t="shared" si="17"/>
        <v>36.328091387344053</v>
      </c>
      <c r="H514" s="268" t="str">
        <f t="shared" si="16"/>
        <v/>
      </c>
      <c r="I514" s="270"/>
      <c r="K514" s="264"/>
      <c r="L514" s="264"/>
    </row>
    <row r="515" spans="1:12" ht="12.65" customHeight="1" x14ac:dyDescent="0.3">
      <c r="A515" s="180" t="s">
        <v>531</v>
      </c>
      <c r="B515" s="243">
        <f>'Prior Year'!V71</f>
        <v>8603</v>
      </c>
      <c r="C515" s="243">
        <f>V71</f>
        <v>1476</v>
      </c>
      <c r="D515" s="243">
        <f>'Prior Year'!V59</f>
        <v>0</v>
      </c>
      <c r="E515" s="180">
        <f>V59</f>
        <v>0</v>
      </c>
      <c r="F515" s="266" t="str">
        <f t="shared" si="17"/>
        <v/>
      </c>
      <c r="G515" s="266" t="str">
        <f t="shared" si="17"/>
        <v/>
      </c>
      <c r="H515" s="268" t="str">
        <f t="shared" si="16"/>
        <v/>
      </c>
      <c r="I515" s="270"/>
      <c r="K515" s="264"/>
      <c r="L515" s="264"/>
    </row>
    <row r="516" spans="1:12" ht="12.65" customHeight="1" x14ac:dyDescent="0.3">
      <c r="A516" s="180" t="s">
        <v>532</v>
      </c>
      <c r="B516" s="243">
        <f>'Prior Year'!W71</f>
        <v>147076</v>
      </c>
      <c r="C516" s="243">
        <f>W71</f>
        <v>145957</v>
      </c>
      <c r="D516" s="243">
        <f>'Prior Year'!W59</f>
        <v>4249</v>
      </c>
      <c r="E516" s="180">
        <f>W59</f>
        <v>3810</v>
      </c>
      <c r="F516" s="266">
        <f t="shared" si="17"/>
        <v>34.614262179336315</v>
      </c>
      <c r="G516" s="266">
        <f t="shared" si="17"/>
        <v>38.308923884514435</v>
      </c>
      <c r="H516" s="268" t="str">
        <f t="shared" si="16"/>
        <v/>
      </c>
      <c r="I516" s="270"/>
      <c r="K516" s="264"/>
      <c r="L516" s="264"/>
    </row>
    <row r="517" spans="1:12" ht="12.65" customHeight="1" x14ac:dyDescent="0.3">
      <c r="A517" s="180" t="s">
        <v>533</v>
      </c>
      <c r="B517" s="243">
        <f>'Prior Year'!X71</f>
        <v>97218</v>
      </c>
      <c r="C517" s="243">
        <f>X71</f>
        <v>79018</v>
      </c>
      <c r="D517" s="243">
        <f>'Prior Year'!X59</f>
        <v>10926</v>
      </c>
      <c r="E517" s="180">
        <f>X59</f>
        <v>10102</v>
      </c>
      <c r="F517" s="266">
        <f t="shared" si="17"/>
        <v>8.8978583196046124</v>
      </c>
      <c r="G517" s="266">
        <f t="shared" si="17"/>
        <v>7.8220154424866362</v>
      </c>
      <c r="H517" s="268" t="str">
        <f t="shared" si="16"/>
        <v/>
      </c>
      <c r="I517" s="270"/>
      <c r="K517" s="264"/>
      <c r="L517" s="264"/>
    </row>
    <row r="518" spans="1:12" ht="12.65" customHeight="1" x14ac:dyDescent="0.3">
      <c r="A518" s="180" t="s">
        <v>534</v>
      </c>
      <c r="B518" s="243">
        <f>'Prior Year'!Y71</f>
        <v>1737801.04</v>
      </c>
      <c r="C518" s="243">
        <f>Y71</f>
        <v>1781741.72</v>
      </c>
      <c r="D518" s="243">
        <f>'Prior Year'!Y59</f>
        <v>6848</v>
      </c>
      <c r="E518" s="180">
        <f>Y59</f>
        <v>6677</v>
      </c>
      <c r="F518" s="266">
        <f t="shared" si="17"/>
        <v>253.76767523364487</v>
      </c>
      <c r="G518" s="266">
        <f t="shared" si="17"/>
        <v>266.84764415156508</v>
      </c>
      <c r="H518" s="268" t="str">
        <f t="shared" si="16"/>
        <v/>
      </c>
      <c r="I518" s="270"/>
      <c r="K518" s="264"/>
      <c r="L518" s="264"/>
    </row>
    <row r="519" spans="1:12" ht="12.65" customHeight="1" x14ac:dyDescent="0.3">
      <c r="A519" s="180" t="s">
        <v>535</v>
      </c>
      <c r="B519" s="243">
        <f>'Prior Year'!Z71</f>
        <v>0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str">
        <f t="shared" si="17"/>
        <v/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5" customHeight="1" x14ac:dyDescent="0.3">
      <c r="A520" s="180" t="s">
        <v>536</v>
      </c>
      <c r="B520" s="243">
        <f>'Prior Year'!AA71</f>
        <v>69403</v>
      </c>
      <c r="C520" s="243">
        <f>AA71</f>
        <v>75193</v>
      </c>
      <c r="D520" s="243">
        <f>'Prior Year'!AA59</f>
        <v>328</v>
      </c>
      <c r="E520" s="180">
        <f>AA59</f>
        <v>406</v>
      </c>
      <c r="F520" s="266">
        <f t="shared" si="17"/>
        <v>211.59451219512195</v>
      </c>
      <c r="G520" s="266">
        <f t="shared" si="17"/>
        <v>185.20443349753694</v>
      </c>
      <c r="H520" s="268" t="str">
        <f t="shared" si="16"/>
        <v/>
      </c>
      <c r="I520" s="270"/>
      <c r="K520" s="264"/>
      <c r="L520" s="264"/>
    </row>
    <row r="521" spans="1:12" ht="12.65" customHeight="1" x14ac:dyDescent="0.3">
      <c r="A521" s="180" t="s">
        <v>537</v>
      </c>
      <c r="B521" s="243">
        <f>'Prior Year'!AB71</f>
        <v>1245258</v>
      </c>
      <c r="C521" s="243">
        <f>AB71</f>
        <v>1480406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5" customHeight="1" x14ac:dyDescent="0.3">
      <c r="A522" s="180" t="s">
        <v>538</v>
      </c>
      <c r="B522" s="243">
        <f>'Prior Year'!AC71</f>
        <v>123771</v>
      </c>
      <c r="C522" s="243">
        <f>AC71</f>
        <v>138214.38</v>
      </c>
      <c r="D522" s="243">
        <f>'Prior Year'!AC59</f>
        <v>450</v>
      </c>
      <c r="E522" s="180">
        <f>AC59</f>
        <v>427</v>
      </c>
      <c r="F522" s="266">
        <f t="shared" si="17"/>
        <v>275.04666666666668</v>
      </c>
      <c r="G522" s="266">
        <f t="shared" si="17"/>
        <v>323.68707259953163</v>
      </c>
      <c r="H522" s="268" t="str">
        <f t="shared" si="16"/>
        <v/>
      </c>
      <c r="I522" s="270"/>
      <c r="K522" s="264"/>
      <c r="L522" s="264"/>
    </row>
    <row r="523" spans="1:12" ht="12.65" customHeight="1" x14ac:dyDescent="0.3">
      <c r="A523" s="180" t="s">
        <v>539</v>
      </c>
      <c r="B523" s="243">
        <f>'Prior Year'!AD71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5" customHeight="1" x14ac:dyDescent="0.3">
      <c r="A524" s="180" t="s">
        <v>540</v>
      </c>
      <c r="B524" s="243">
        <f>'Prior Year'!AE71</f>
        <v>872121</v>
      </c>
      <c r="C524" s="243">
        <f>AE71</f>
        <v>954682.51</v>
      </c>
      <c r="D524" s="243">
        <f>'Prior Year'!AE59</f>
        <v>6259</v>
      </c>
      <c r="E524" s="180">
        <f>AE59</f>
        <v>6277</v>
      </c>
      <c r="F524" s="266">
        <f t="shared" si="17"/>
        <v>139.33871225435374</v>
      </c>
      <c r="G524" s="266">
        <f t="shared" si="17"/>
        <v>152.09216345387924</v>
      </c>
      <c r="H524" s="268" t="str">
        <f t="shared" si="16"/>
        <v/>
      </c>
      <c r="I524" s="270"/>
      <c r="K524" s="264"/>
      <c r="L524" s="264"/>
    </row>
    <row r="525" spans="1:12" ht="12.65" customHeight="1" x14ac:dyDescent="0.3">
      <c r="A525" s="180" t="s">
        <v>541</v>
      </c>
      <c r="B525" s="243">
        <f>'Prior Year'!AF71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5" customHeight="1" x14ac:dyDescent="0.3">
      <c r="A526" s="180" t="s">
        <v>542</v>
      </c>
      <c r="B526" s="243">
        <f>'Prior Year'!AG71</f>
        <v>1850754.76</v>
      </c>
      <c r="C526" s="243">
        <f>AG71</f>
        <v>1717323</v>
      </c>
      <c r="D526" s="243">
        <f>'Prior Year'!AG59</f>
        <v>4102</v>
      </c>
      <c r="E526" s="180">
        <f>AG59</f>
        <v>4621</v>
      </c>
      <c r="F526" s="266">
        <f t="shared" si="17"/>
        <v>451.18351048269136</v>
      </c>
      <c r="G526" s="266">
        <f t="shared" si="17"/>
        <v>371.63449469811729</v>
      </c>
      <c r="H526" s="268" t="str">
        <f t="shared" si="16"/>
        <v/>
      </c>
      <c r="I526" s="270"/>
      <c r="K526" s="264"/>
      <c r="L526" s="264"/>
    </row>
    <row r="527" spans="1:12" ht="12.65" customHeight="1" x14ac:dyDescent="0.3">
      <c r="A527" s="180" t="s">
        <v>543</v>
      </c>
      <c r="B527" s="243">
        <f>'Prior Year'!AH71</f>
        <v>435030</v>
      </c>
      <c r="C527" s="243">
        <f>AH71</f>
        <v>580777.18999999994</v>
      </c>
      <c r="D527" s="243">
        <f>'Prior Year'!AH59</f>
        <v>845</v>
      </c>
      <c r="E527" s="180">
        <f>AH59</f>
        <v>909</v>
      </c>
      <c r="F527" s="266">
        <f t="shared" si="17"/>
        <v>514.82840236686388</v>
      </c>
      <c r="G527" s="266">
        <f t="shared" si="17"/>
        <v>638.91880088008793</v>
      </c>
      <c r="H527" s="268" t="str">
        <f t="shared" si="16"/>
        <v/>
      </c>
      <c r="I527" s="270"/>
      <c r="K527" s="264"/>
      <c r="L527" s="264"/>
    </row>
    <row r="528" spans="1:12" ht="12.65" customHeight="1" x14ac:dyDescent="0.3">
      <c r="A528" s="180" t="s">
        <v>544</v>
      </c>
      <c r="B528" s="243">
        <f>'Prior Year'!AI71</f>
        <v>177120</v>
      </c>
      <c r="C528" s="243">
        <f>AI71</f>
        <v>149846</v>
      </c>
      <c r="D528" s="243">
        <f>'Prior Year'!AI59</f>
        <v>382</v>
      </c>
      <c r="E528" s="180">
        <f>AI59</f>
        <v>543</v>
      </c>
      <c r="F528" s="266">
        <f t="shared" ref="F528:G540" si="18">IF(B528=0,"",IF(D528=0,"",B528/D528))</f>
        <v>463.66492146596858</v>
      </c>
      <c r="G528" s="266">
        <f t="shared" si="18"/>
        <v>275.95948434622466</v>
      </c>
      <c r="H528" s="268">
        <f t="shared" si="16"/>
        <v>-0.40482992874741519</v>
      </c>
      <c r="I528" s="270"/>
      <c r="K528" s="264"/>
      <c r="L528" s="264"/>
    </row>
    <row r="529" spans="1:12" ht="12.65" customHeight="1" x14ac:dyDescent="0.3">
      <c r="A529" s="180" t="s">
        <v>545</v>
      </c>
      <c r="B529" s="243">
        <f>'Prior Year'!AJ71</f>
        <v>5407348.4000000004</v>
      </c>
      <c r="C529" s="243">
        <f>AJ71</f>
        <v>5267782.3600000003</v>
      </c>
      <c r="D529" s="243">
        <f>'Prior Year'!AJ59</f>
        <v>17522</v>
      </c>
      <c r="E529" s="180">
        <f>AJ59</f>
        <v>16324</v>
      </c>
      <c r="F529" s="266">
        <f t="shared" si="18"/>
        <v>308.60337860974778</v>
      </c>
      <c r="G529" s="266">
        <f t="shared" si="18"/>
        <v>322.70168831168832</v>
      </c>
      <c r="H529" s="268" t="str">
        <f t="shared" si="16"/>
        <v/>
      </c>
      <c r="I529" s="270"/>
      <c r="K529" s="264"/>
      <c r="L529" s="264"/>
    </row>
    <row r="530" spans="1:12" ht="12.65" customHeight="1" x14ac:dyDescent="0.3">
      <c r="A530" s="180" t="s">
        <v>546</v>
      </c>
      <c r="B530" s="243">
        <f>'Prior Year'!AK71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5" customHeight="1" x14ac:dyDescent="0.3">
      <c r="A531" s="180" t="s">
        <v>547</v>
      </c>
      <c r="B531" s="243">
        <f>'Prior Year'!AL71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5" customHeight="1" x14ac:dyDescent="0.3">
      <c r="A532" s="180" t="s">
        <v>548</v>
      </c>
      <c r="B532" s="243">
        <f>'Prior Year'!AM71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5" customHeight="1" x14ac:dyDescent="0.3">
      <c r="A533" s="180" t="s">
        <v>1247</v>
      </c>
      <c r="B533" s="243">
        <f>'Prior Year'!AN71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5" customHeight="1" x14ac:dyDescent="0.3">
      <c r="A534" s="180" t="s">
        <v>549</v>
      </c>
      <c r="B534" s="243">
        <f>'Prior Year'!AO71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5" customHeight="1" x14ac:dyDescent="0.3">
      <c r="A535" s="180" t="s">
        <v>550</v>
      </c>
      <c r="B535" s="243">
        <f>'Prior Year'!AP71</f>
        <v>0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5" customHeight="1" x14ac:dyDescent="0.3">
      <c r="A536" s="180" t="s">
        <v>551</v>
      </c>
      <c r="B536" s="243">
        <f>'Prior Year'!AQ71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5" customHeight="1" x14ac:dyDescent="0.3">
      <c r="A537" s="180" t="s">
        <v>552</v>
      </c>
      <c r="B537" s="243">
        <f>'Prior Year'!AR71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5" customHeight="1" x14ac:dyDescent="0.3">
      <c r="A538" s="180" t="s">
        <v>553</v>
      </c>
      <c r="B538" s="243">
        <f>'Prior Year'!AS71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5" customHeight="1" x14ac:dyDescent="0.3">
      <c r="A539" s="180" t="s">
        <v>554</v>
      </c>
      <c r="B539" s="243">
        <f>'Prior Year'!AT71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5" customHeight="1" x14ac:dyDescent="0.3">
      <c r="A540" s="180" t="s">
        <v>555</v>
      </c>
      <c r="B540" s="243">
        <f>'Prior Year'!AU71</f>
        <v>1522609.36</v>
      </c>
      <c r="C540" s="243">
        <f>AU71</f>
        <v>1618151.63</v>
      </c>
      <c r="D540" s="243">
        <f>'Prior Year'!AU59</f>
        <v>18114</v>
      </c>
      <c r="E540" s="180">
        <f>AU59</f>
        <v>10061</v>
      </c>
      <c r="F540" s="266">
        <f t="shared" si="18"/>
        <v>84.057047587501387</v>
      </c>
      <c r="G540" s="266">
        <f t="shared" si="18"/>
        <v>160.83407514163602</v>
      </c>
      <c r="H540" s="268">
        <f t="shared" si="16"/>
        <v>0.91339191367876182</v>
      </c>
      <c r="I540" s="270"/>
      <c r="K540" s="264"/>
      <c r="L540" s="264"/>
    </row>
    <row r="541" spans="1:12" ht="12.65" customHeight="1" x14ac:dyDescent="0.3">
      <c r="A541" s="180" t="s">
        <v>556</v>
      </c>
      <c r="B541" s="243">
        <f>'Prior Year'!AV71</f>
        <v>452992</v>
      </c>
      <c r="C541" s="243">
        <f>AV71</f>
        <v>352879.16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">
      <c r="A542" s="180" t="s">
        <v>1248</v>
      </c>
      <c r="B542" s="243">
        <f>'Prior Year'!AW71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">
      <c r="A543" s="180" t="s">
        <v>557</v>
      </c>
      <c r="B543" s="243">
        <f>'Prior Year'!AX71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">
      <c r="A544" s="180" t="s">
        <v>558</v>
      </c>
      <c r="B544" s="243">
        <f>'Prior Year'!AY71</f>
        <v>891377</v>
      </c>
      <c r="C544" s="243">
        <f>AY71</f>
        <v>944628.17999999993</v>
      </c>
      <c r="D544" s="243">
        <f>'Prior Year'!AY59</f>
        <v>25845</v>
      </c>
      <c r="E544" s="180">
        <f>AY59</f>
        <v>95955</v>
      </c>
      <c r="F544" s="266">
        <f t="shared" ref="F544:G550" si="19">IF(B544=0,"",IF(D544=0,"",B544/D544))</f>
        <v>34.489340297929964</v>
      </c>
      <c r="G544" s="266">
        <f t="shared" si="19"/>
        <v>9.8444914803814285</v>
      </c>
      <c r="H544" s="268">
        <f t="shared" si="16"/>
        <v>-0.71456422780657558</v>
      </c>
      <c r="I544" s="270"/>
      <c r="K544" s="264"/>
      <c r="L544" s="264"/>
    </row>
    <row r="545" spans="1:13" ht="12.65" customHeight="1" x14ac:dyDescent="0.3">
      <c r="A545" s="180" t="s">
        <v>559</v>
      </c>
      <c r="B545" s="243">
        <f>'Prior Year'!AZ71</f>
        <v>3640</v>
      </c>
      <c r="C545" s="243">
        <f>AZ71</f>
        <v>4604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5" customHeight="1" x14ac:dyDescent="0.3">
      <c r="A546" s="180" t="s">
        <v>560</v>
      </c>
      <c r="B546" s="243">
        <f>'Prior Year'!BA71</f>
        <v>226239</v>
      </c>
      <c r="C546" s="243">
        <f>BA71</f>
        <v>152142.43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5" customHeight="1" x14ac:dyDescent="0.3">
      <c r="A547" s="180" t="s">
        <v>561</v>
      </c>
      <c r="B547" s="243">
        <f>'Prior Year'!BB71</f>
        <v>191914</v>
      </c>
      <c r="C547" s="243">
        <f>BB71</f>
        <v>162857.43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">
      <c r="A548" s="180" t="s">
        <v>562</v>
      </c>
      <c r="B548" s="243">
        <f>'Prior Year'!BC71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">
      <c r="A549" s="180" t="s">
        <v>563</v>
      </c>
      <c r="B549" s="243">
        <f>'Prior Year'!BD71</f>
        <v>151317</v>
      </c>
      <c r="C549" s="243">
        <f>BD71</f>
        <v>208539.12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">
      <c r="A550" s="180" t="s">
        <v>564</v>
      </c>
      <c r="B550" s="243">
        <f>'Prior Year'!BE71</f>
        <v>1043173</v>
      </c>
      <c r="C550" s="243">
        <f>BE71</f>
        <v>1194484.1499999999</v>
      </c>
      <c r="D550" s="243">
        <f>'Prior Year'!BE59</f>
        <v>56157</v>
      </c>
      <c r="E550" s="180">
        <f>BE59</f>
        <v>56157</v>
      </c>
      <c r="F550" s="266">
        <f t="shared" si="19"/>
        <v>18.57601011450042</v>
      </c>
      <c r="G550" s="266">
        <f t="shared" si="19"/>
        <v>21.270440906743591</v>
      </c>
      <c r="H550" s="268" t="str">
        <f t="shared" si="16"/>
        <v/>
      </c>
      <c r="I550" s="270"/>
      <c r="K550" s="264"/>
      <c r="L550" s="264"/>
    </row>
    <row r="551" spans="1:13" ht="12.65" customHeight="1" x14ac:dyDescent="0.3">
      <c r="A551" s="180" t="s">
        <v>565</v>
      </c>
      <c r="B551" s="243">
        <f>'Prior Year'!BF71</f>
        <v>758753</v>
      </c>
      <c r="C551" s="243">
        <f>BF71</f>
        <v>799637.26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">
      <c r="A552" s="180" t="s">
        <v>566</v>
      </c>
      <c r="B552" s="243">
        <f>'Prior Year'!BG71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">
      <c r="A553" s="180" t="s">
        <v>567</v>
      </c>
      <c r="B553" s="243">
        <f>'Prior Year'!BH71</f>
        <v>864361</v>
      </c>
      <c r="C553" s="243">
        <f>BH71</f>
        <v>946823.26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">
      <c r="A554" s="180" t="s">
        <v>568</v>
      </c>
      <c r="B554" s="243">
        <f>'Prior Year'!BI71</f>
        <v>0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">
      <c r="A555" s="180" t="s">
        <v>569</v>
      </c>
      <c r="B555" s="243">
        <f>'Prior Year'!BJ71</f>
        <v>432589</v>
      </c>
      <c r="C555" s="243">
        <f>BJ71</f>
        <v>576676.28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">
      <c r="A556" s="180" t="s">
        <v>570</v>
      </c>
      <c r="B556" s="243">
        <f>'Prior Year'!BK71</f>
        <v>985850</v>
      </c>
      <c r="C556" s="243">
        <f>BK71</f>
        <v>1172287.1299999999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">
      <c r="A557" s="180" t="s">
        <v>571</v>
      </c>
      <c r="B557" s="243">
        <f>'Prior Year'!BL71</f>
        <v>368820</v>
      </c>
      <c r="C557" s="243">
        <f>BL71</f>
        <v>380477.01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">
      <c r="A558" s="180" t="s">
        <v>572</v>
      </c>
      <c r="B558" s="243">
        <f>'Prior Year'!BM71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">
      <c r="A559" s="180" t="s">
        <v>573</v>
      </c>
      <c r="B559" s="243">
        <f>'Prior Year'!BN71</f>
        <v>1063693.93</v>
      </c>
      <c r="C559" s="243">
        <f>BN71</f>
        <v>1324365.8900000001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">
      <c r="A560" s="180" t="s">
        <v>574</v>
      </c>
      <c r="B560" s="243">
        <f>'Prior Year'!BO71</f>
        <v>0</v>
      </c>
      <c r="C560" s="243">
        <f>BO71</f>
        <v>38074.400000000001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">
      <c r="A561" s="180" t="s">
        <v>575</v>
      </c>
      <c r="B561" s="243">
        <f>'Prior Year'!BP71</f>
        <v>0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">
      <c r="A562" s="180" t="s">
        <v>576</v>
      </c>
      <c r="B562" s="243">
        <f>'Prior Year'!BQ71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">
      <c r="A563" s="180" t="s">
        <v>577</v>
      </c>
      <c r="B563" s="243">
        <f>'Prior Year'!BR71</f>
        <v>307332</v>
      </c>
      <c r="C563" s="243">
        <f>BR71</f>
        <v>291561.5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">
      <c r="A564" s="180" t="s">
        <v>1249</v>
      </c>
      <c r="B564" s="243">
        <f>'Prior Year'!BS71</f>
        <v>0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">
      <c r="A565" s="180" t="s">
        <v>578</v>
      </c>
      <c r="B565" s="243">
        <f>'Prior Year'!BT71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">
      <c r="A566" s="180" t="s">
        <v>579</v>
      </c>
      <c r="B566" s="243">
        <f>'Prior Year'!BU71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">
      <c r="A567" s="180" t="s">
        <v>580</v>
      </c>
      <c r="B567" s="243">
        <f>'Prior Year'!BV71</f>
        <v>288790</v>
      </c>
      <c r="C567" s="243">
        <f>BV71</f>
        <v>351535.87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">
      <c r="A568" s="180" t="s">
        <v>581</v>
      </c>
      <c r="B568" s="243">
        <f>'Prior Year'!BW71</f>
        <v>0</v>
      </c>
      <c r="C568" s="243">
        <f>BW71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">
      <c r="A569" s="180" t="s">
        <v>582</v>
      </c>
      <c r="B569" s="243">
        <f>'Prior Year'!BX71</f>
        <v>358040</v>
      </c>
      <c r="C569" s="243">
        <f>BX71</f>
        <v>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">
      <c r="A570" s="180" t="s">
        <v>583</v>
      </c>
      <c r="B570" s="243">
        <f>'Prior Year'!BY71</f>
        <v>258712</v>
      </c>
      <c r="C570" s="243">
        <f>BY71</f>
        <v>249398.85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">
      <c r="A571" s="180" t="s">
        <v>584</v>
      </c>
      <c r="B571" s="243">
        <f>'Prior Year'!BZ71</f>
        <v>0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">
      <c r="A572" s="180" t="s">
        <v>585</v>
      </c>
      <c r="B572" s="243">
        <f>'Prior Year'!CA71</f>
        <v>23168</v>
      </c>
      <c r="C572" s="243">
        <f>CA71</f>
        <v>24845.51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">
      <c r="A573" s="180" t="s">
        <v>586</v>
      </c>
      <c r="B573" s="243">
        <f>'Prior Year'!CB71</f>
        <v>0</v>
      </c>
      <c r="C573" s="243">
        <f>CB71</f>
        <v>443959.26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">
      <c r="A574" s="180" t="s">
        <v>587</v>
      </c>
      <c r="B574" s="243">
        <f>'Prior Year'!CC71</f>
        <v>672817</v>
      </c>
      <c r="C574" s="243">
        <f>CC71</f>
        <v>701083.01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">
      <c r="A575" s="180" t="s">
        <v>588</v>
      </c>
      <c r="B575" s="243">
        <f>'Prior Year'!CD71</f>
        <v>-312873</v>
      </c>
      <c r="C575" s="243">
        <f>CD71</f>
        <v>156652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">
      <c r="M576" s="268"/>
    </row>
    <row r="577" spans="13:13" ht="12.65" customHeight="1" x14ac:dyDescent="0.3">
      <c r="M577" s="268"/>
    </row>
    <row r="578" spans="13:13" ht="12.65" customHeight="1" x14ac:dyDescent="0.3">
      <c r="M578" s="268"/>
    </row>
    <row r="612" spans="1:14" ht="12.65" customHeight="1" x14ac:dyDescent="0.3">
      <c r="A612" s="196"/>
      <c r="C612" s="181" t="s">
        <v>589</v>
      </c>
      <c r="D612" s="180">
        <f>CE76-(BE76+CD76)</f>
        <v>54393</v>
      </c>
      <c r="E612" s="180">
        <f>SUM(C624:D647)+SUM(C668:D713)</f>
        <v>31889539.085687123</v>
      </c>
      <c r="F612" s="180">
        <f>CE64-(AX64+BD64+BE64+BG64+BJ64+BN64+BP64+BQ64+CB64+CC64+CD64)</f>
        <v>3282626</v>
      </c>
      <c r="G612" s="180">
        <f>CE77-(AX77+AY77+BD77+BE77+BG77+BJ77+BN77+BP77+BQ77+CB77+CC77+CD77)</f>
        <v>25738</v>
      </c>
      <c r="H612" s="197">
        <f>CE60-(AX60+AY60+AZ60+BD60+BE60+BG60+BJ60+BN60+BO60+BP60+BQ60+BR60+CB60+CC60+CD60)</f>
        <v>203.23000000000002</v>
      </c>
      <c r="I612" s="180">
        <f>CE78-(AX78+AY78+AZ78+BD78+BE78+BF78+BG78+BJ78+BN78+BO78+BP78+BQ78+BR78+CB78+CC78+CD78)</f>
        <v>20940.399999999998</v>
      </c>
      <c r="J612" s="180">
        <f>CE79-(AX79+AY79+AZ79+BA79+BD79+BE79+BF79+BG79+BJ79+BN79+BO79+BP79+BQ79+BR79+CB79+CC79+CD79)</f>
        <v>134703</v>
      </c>
      <c r="K612" s="180">
        <f>CE75-(AW75+AX75+AY75+AZ75+BA75+BB75+BC75+BD75+BE75+BF75+BG75+BH75+BI75+BJ75+BK75+BL75+BM75+BN75+BO75+BP75+BQ75+BR75+BS75+BT75+BU75+BV75+BW75+BX75+CB75+CC75+CD75)</f>
        <v>60066260</v>
      </c>
      <c r="L612" s="197">
        <f>CE80-(AW80+AX80+AY80+AZ80+BA80+BB80+BC80+BD80+BE80+BF80+BG80+BH80+BI80+BJ80+BK80+BL80+BM80+BN80+BO80+BP80+BQ80+BR80+BS80+BT80+BU80+BV80+BW80+BX80+BY80+BZ80+CA80+CB80+CC80+CD80)</f>
        <v>31.786860576923079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1194484.1499999999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6">
        <f>CD69-CD70</f>
        <v>156652</v>
      </c>
      <c r="D615" s="269">
        <f>SUM(C614:C615)</f>
        <v>1351136.15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576676.28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1324365.8900000001</v>
      </c>
      <c r="D619" s="180">
        <f>(D615/D612)*BN76</f>
        <v>166057.12431287114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701083.01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443959.26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3212141.5643128715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208539.12</v>
      </c>
      <c r="D624" s="180">
        <f>(D615/D612)*BD76</f>
        <v>2484.0257937602264</v>
      </c>
      <c r="E624" s="180">
        <f>(E623/E612)*SUM(C624:D624)</f>
        <v>21255.754616422888</v>
      </c>
      <c r="F624" s="180">
        <f>SUM(C624:E624)</f>
        <v>232278.90041018312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944628.17999999993</v>
      </c>
      <c r="D625" s="180">
        <f>(D615/D612)*AY76</f>
        <v>26181.631866232787</v>
      </c>
      <c r="E625" s="180">
        <f>(E623/E612)*SUM(C625:D625)</f>
        <v>97786.880498937579</v>
      </c>
      <c r="F625" s="180">
        <f>(F624/F612)*AY64</f>
        <v>16902.957234020359</v>
      </c>
      <c r="G625" s="180">
        <f>SUM(C625:F625)</f>
        <v>1085499.6495991908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291561.5</v>
      </c>
      <c r="D626" s="180">
        <f>(D615/D612)*BR76</f>
        <v>10085.144722666519</v>
      </c>
      <c r="E626" s="180">
        <f>(E623/E612)*SUM(C626:D626)</f>
        <v>30383.9990488943</v>
      </c>
      <c r="F626" s="180">
        <f>(F624/F612)*BR64</f>
        <v>405.80909730575468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38074.400000000001</v>
      </c>
      <c r="D627" s="180">
        <f>(D615/D612)*BO76</f>
        <v>0</v>
      </c>
      <c r="E627" s="180">
        <f>(E623/E612)*SUM(C627:D627)</f>
        <v>3835.1248178173159</v>
      </c>
      <c r="F627" s="180">
        <f>(F624/F612)*BO64</f>
        <v>52.574744428626978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4604</v>
      </c>
      <c r="D628" s="180">
        <f>(D615/D612)*AZ76</f>
        <v>18282.429842075268</v>
      </c>
      <c r="E628" s="180">
        <f>(E623/E612)*SUM(C628:D628)</f>
        <v>2305.2842613035973</v>
      </c>
      <c r="F628" s="180">
        <f>(F624/F612)*AZ64</f>
        <v>0</v>
      </c>
      <c r="G628" s="180">
        <f>(G625/G612)*AZ77</f>
        <v>0</v>
      </c>
      <c r="H628" s="180">
        <f>SUM(C626:G628)</f>
        <v>399590.26653449144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799637.26</v>
      </c>
      <c r="D629" s="180">
        <f>(D615/D612)*BF76</f>
        <v>2856.6296628242603</v>
      </c>
      <c r="E629" s="180">
        <f>(E623/E612)*SUM(C629:D629)</f>
        <v>80832.901697535563</v>
      </c>
      <c r="F629" s="180">
        <f>(F624/F612)*BF64</f>
        <v>5196.9745687220839</v>
      </c>
      <c r="G629" s="180">
        <f>(G625/G612)*BF77</f>
        <v>0</v>
      </c>
      <c r="H629" s="180">
        <f>(H628/H612)*BF60</f>
        <v>26484.676918858433</v>
      </c>
      <c r="I629" s="180">
        <f>SUM(C629:H629)</f>
        <v>915008.44284794026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152142.43</v>
      </c>
      <c r="D630" s="180">
        <f>(D615/D612)*BA76</f>
        <v>18555.672679388892</v>
      </c>
      <c r="E630" s="180">
        <f>(E623/E612)*SUM(C630:D630)</f>
        <v>17193.928990083961</v>
      </c>
      <c r="F630" s="180">
        <f>(F624/F612)*BA64</f>
        <v>993.11781703335089</v>
      </c>
      <c r="G630" s="180">
        <f>(G625/G612)*BA77</f>
        <v>0</v>
      </c>
      <c r="H630" s="180">
        <f>(H628/H612)*BA60</f>
        <v>1140.3944033361463</v>
      </c>
      <c r="I630" s="180">
        <f>(I629/I612)*BA78</f>
        <v>109064.82556916101</v>
      </c>
      <c r="J630" s="180">
        <f>SUM(C630:I630)</f>
        <v>299090.36945900333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162857.43</v>
      </c>
      <c r="D632" s="180">
        <f>(D615/D612)*BB76</f>
        <v>2484.0257937602264</v>
      </c>
      <c r="E632" s="180">
        <f>(E623/E612)*SUM(C632:D632)</f>
        <v>16654.369353914823</v>
      </c>
      <c r="F632" s="180">
        <f>(F624/F612)*BB64</f>
        <v>91.846592554990337</v>
      </c>
      <c r="G632" s="180">
        <f>(G625/G612)*BB77</f>
        <v>0</v>
      </c>
      <c r="H632" s="180">
        <f>(H628/H612)*BB60</f>
        <v>2752.6761459838012</v>
      </c>
      <c r="I632" s="180">
        <f>(I629/I612)*BB78</f>
        <v>2840.2298325302345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1172287.1299999999</v>
      </c>
      <c r="D635" s="180">
        <f>(D615/D612)*BK76</f>
        <v>45805.435636938571</v>
      </c>
      <c r="E635" s="180">
        <f>(E623/E612)*SUM(C635:D635)</f>
        <v>122694.96115166596</v>
      </c>
      <c r="F635" s="180">
        <f>(F624/F612)*BK64</f>
        <v>1278.3517265781629</v>
      </c>
      <c r="G635" s="180">
        <f>(G625/G612)*BK77</f>
        <v>0</v>
      </c>
      <c r="H635" s="180">
        <f>(H628/H612)*BK60</f>
        <v>29964.846046280811</v>
      </c>
      <c r="I635" s="180">
        <f>(I629/I612)*BK78</f>
        <v>16246.114642072942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946823.26</v>
      </c>
      <c r="D636" s="180">
        <f>(D615/D612)*BH76</f>
        <v>8843.1318257864059</v>
      </c>
      <c r="E636" s="180">
        <f>(E623/E612)*SUM(C636:D636)</f>
        <v>96261.527347640425</v>
      </c>
      <c r="F636" s="180">
        <f>(F624/F612)*BH64</f>
        <v>1406.7812839643782</v>
      </c>
      <c r="G636" s="180">
        <f>(G625/G612)*BH77</f>
        <v>0</v>
      </c>
      <c r="H636" s="180">
        <f>(H628/H612)*BH60</f>
        <v>7274.9298143857613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380477.01</v>
      </c>
      <c r="D637" s="180">
        <f>(D615/D612)*BL76</f>
        <v>3676.3581747651351</v>
      </c>
      <c r="E637" s="180">
        <f>(E623/E612)*SUM(C637:D637)</f>
        <v>38694.664029772088</v>
      </c>
      <c r="F637" s="180">
        <f>(F624/F612)*BL64</f>
        <v>973.58803310024041</v>
      </c>
      <c r="G637" s="180">
        <f>(G625/G612)*BL77</f>
        <v>0</v>
      </c>
      <c r="H637" s="180">
        <f>(H628/H612)*BL60</f>
        <v>11541.577840660653</v>
      </c>
      <c r="I637" s="180">
        <f>(I629/I612)*BL78</f>
        <v>11928.965296626986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351535.87</v>
      </c>
      <c r="D642" s="180">
        <f>(D615/D612)*BV76</f>
        <v>15202.237857812584</v>
      </c>
      <c r="E642" s="180">
        <f>(E623/E612)*SUM(C642:D642)</f>
        <v>36940.474940770197</v>
      </c>
      <c r="F642" s="180">
        <f>(F624/F612)*BV64</f>
        <v>585.46895747302779</v>
      </c>
      <c r="G642" s="180">
        <f>(G625/G612)*BV77</f>
        <v>0</v>
      </c>
      <c r="H642" s="180">
        <f>(H628/H612)*BV60</f>
        <v>8395.6622452505944</v>
      </c>
      <c r="I642" s="180">
        <f>(I629/I612)*BV78</f>
        <v>2840.2298325302345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3499359.1544028195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249398.85</v>
      </c>
      <c r="D645" s="180">
        <f>(D615/D612)*BY76</f>
        <v>5216.4541668964757</v>
      </c>
      <c r="E645" s="180">
        <f>(E623/E612)*SUM(C645:D645)</f>
        <v>25646.667367222315</v>
      </c>
      <c r="F645" s="180">
        <f>(F624/F612)*BY64</f>
        <v>83.213861975861818</v>
      </c>
      <c r="G645" s="180">
        <f>(G625/G612)*BY77</f>
        <v>0</v>
      </c>
      <c r="H645" s="180">
        <f>(H628/H612)*BY60</f>
        <v>3893.0705493199475</v>
      </c>
      <c r="I645" s="180">
        <f>(I629/I612)*BY78</f>
        <v>4771.5861186507946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24845.51</v>
      </c>
      <c r="D647" s="180">
        <f>(D615/D612)*CA76</f>
        <v>0</v>
      </c>
      <c r="E647" s="180">
        <f>(E623/E612)*SUM(C647:D647)</f>
        <v>2502.6167716977366</v>
      </c>
      <c r="F647" s="180">
        <f>(F624/F612)*CA64</f>
        <v>102.60212573554391</v>
      </c>
      <c r="G647" s="180">
        <f>(G625/G612)*CA77</f>
        <v>0</v>
      </c>
      <c r="H647" s="180">
        <f>(H628/H612)*CA60</f>
        <v>393.23944942625735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316853.81041092501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10124632.539999997</v>
      </c>
      <c r="L648" s="269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2872572.8</v>
      </c>
      <c r="D670" s="180">
        <f>(D615/D612)*E76</f>
        <v>65801.843276708401</v>
      </c>
      <c r="E670" s="180">
        <f>(E623/E612)*SUM(C670:D670)</f>
        <v>295974.02765311091</v>
      </c>
      <c r="F670" s="180">
        <f>(F624/F612)*E64</f>
        <v>5069.2526122030104</v>
      </c>
      <c r="G670" s="180">
        <f>(G625/G612)*E77</f>
        <v>231161.06843784152</v>
      </c>
      <c r="H670" s="180">
        <f>(H628/H612)*E60</f>
        <v>36984.170218539504</v>
      </c>
      <c r="I670" s="180">
        <f>(I629/I612)*E78</f>
        <v>127242.2964973545</v>
      </c>
      <c r="J670" s="180">
        <f>(J630/J612)*E79</f>
        <v>24546.179627545647</v>
      </c>
      <c r="K670" s="180">
        <f>(K644/K612)*E75</f>
        <v>187813.85813389518</v>
      </c>
      <c r="L670" s="180">
        <f>(L647/L612)*E80</f>
        <v>82492.961260304728</v>
      </c>
      <c r="M670" s="180">
        <f t="shared" si="20"/>
        <v>1057086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3613</v>
      </c>
      <c r="D675" s="180">
        <f>(D615/D612)*J76</f>
        <v>4148.3230755795785</v>
      </c>
      <c r="E675" s="180">
        <f>(E623/E612)*SUM(C675:D675)</f>
        <v>781.77575342627756</v>
      </c>
      <c r="F675" s="180">
        <f>(F624/F612)*J64</f>
        <v>174.84817427070965</v>
      </c>
      <c r="G675" s="180">
        <f>(G625/G612)*J77</f>
        <v>0</v>
      </c>
      <c r="H675" s="180">
        <f>(H628/H612)*J60</f>
        <v>0</v>
      </c>
      <c r="I675" s="180">
        <f>(I629/I612)*J78</f>
        <v>7384.5975645786102</v>
      </c>
      <c r="J675" s="180">
        <f>(J630/J612)*J79</f>
        <v>257.56280748939804</v>
      </c>
      <c r="K675" s="180">
        <f>(K644/K612)*J75</f>
        <v>5841.444825991528</v>
      </c>
      <c r="L675" s="180">
        <f>(L647/L612)*J80</f>
        <v>0</v>
      </c>
      <c r="M675" s="180">
        <f t="shared" si="20"/>
        <v>18589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2744838.1799999997</v>
      </c>
      <c r="D676" s="180">
        <f>(D615/D612)*K76</f>
        <v>60038.903435184671</v>
      </c>
      <c r="E676" s="180">
        <f>(E623/E612)*SUM(C676:D676)</f>
        <v>282527.2023619368</v>
      </c>
      <c r="F676" s="180">
        <f>(F624/F612)*K64</f>
        <v>6246.3466546931986</v>
      </c>
      <c r="G676" s="180">
        <f>(G625/G612)*K77</f>
        <v>854338.58116134931</v>
      </c>
      <c r="H676" s="180">
        <f>(H628/H612)*K60</f>
        <v>58867.945579110725</v>
      </c>
      <c r="I676" s="180">
        <f>(I629/I612)*K78</f>
        <v>218129.65113832202</v>
      </c>
      <c r="J676" s="180">
        <f>(J630/J612)*K79</f>
        <v>155594.58015195737</v>
      </c>
      <c r="K676" s="180">
        <f>(K644/K612)*K75</f>
        <v>117182.69927273525</v>
      </c>
      <c r="L676" s="180">
        <f>(L647/L612)*K80</f>
        <v>82897.147532390984</v>
      </c>
      <c r="M676" s="180">
        <f t="shared" si="20"/>
        <v>1835823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374462.4</v>
      </c>
      <c r="D677" s="180">
        <f>(D615/D612)*L76</f>
        <v>43122.68777967753</v>
      </c>
      <c r="E677" s="180">
        <f>(E623/E612)*SUM(C677:D677)</f>
        <v>42062.145002790945</v>
      </c>
      <c r="F677" s="180">
        <f>(F624/F612)*L64</f>
        <v>0</v>
      </c>
      <c r="G677" s="180">
        <f>(G625/G612)*L77</f>
        <v>0</v>
      </c>
      <c r="H677" s="180">
        <f>(H628/H612)*L60</f>
        <v>5387.3804571397259</v>
      </c>
      <c r="I677" s="180">
        <f>(I629/I612)*L78</f>
        <v>0</v>
      </c>
      <c r="J677" s="180">
        <f>(J630/J612)*L79</f>
        <v>25227.832919780521</v>
      </c>
      <c r="K677" s="180">
        <f>(K644/K612)*L75</f>
        <v>78551.376917703863</v>
      </c>
      <c r="L677" s="180">
        <f>(L647/L612)*L80</f>
        <v>27625.609331626798</v>
      </c>
      <c r="M677" s="180">
        <f t="shared" si="20"/>
        <v>221977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508524.11</v>
      </c>
      <c r="D680" s="180">
        <f>(D615/D612)*O76</f>
        <v>13065.97567517879</v>
      </c>
      <c r="E680" s="180">
        <f>(E623/E612)*SUM(C680:D680)</f>
        <v>52538.269343714892</v>
      </c>
      <c r="F680" s="180">
        <f>(F624/F612)*O64</f>
        <v>493.83464517817993</v>
      </c>
      <c r="G680" s="180">
        <f>(G625/G612)*O77</f>
        <v>0</v>
      </c>
      <c r="H680" s="180">
        <f>(H628/H612)*O60</f>
        <v>1651.6056875902809</v>
      </c>
      <c r="I680" s="180">
        <f>(I629/I612)*O78</f>
        <v>0</v>
      </c>
      <c r="J680" s="180">
        <f>(J630/J612)*O79</f>
        <v>5888.4186677748585</v>
      </c>
      <c r="K680" s="180">
        <f>(K644/K612)*O75</f>
        <v>12751.988008405549</v>
      </c>
      <c r="L680" s="180">
        <f>(L647/L612)*O80</f>
        <v>8146.1217573827971</v>
      </c>
      <c r="M680" s="180">
        <f t="shared" si="20"/>
        <v>94536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936263.25</v>
      </c>
      <c r="D681" s="180">
        <f>(D615/D612)*P76</f>
        <v>149563.19304230323</v>
      </c>
      <c r="E681" s="180">
        <f>(E623/E612)*SUM(C681:D681)</f>
        <v>109372.17499300941</v>
      </c>
      <c r="F681" s="180">
        <f>(F624/F612)*P64</f>
        <v>8004.3102490199935</v>
      </c>
      <c r="G681" s="180">
        <f>(G625/G612)*P77</f>
        <v>0</v>
      </c>
      <c r="H681" s="180">
        <f>(H628/H612)*P60</f>
        <v>8376.0002727792817</v>
      </c>
      <c r="I681" s="180">
        <f>(I629/I612)*P78</f>
        <v>0</v>
      </c>
      <c r="J681" s="180">
        <f>(J630/J612)*P79</f>
        <v>6634.4626618820803</v>
      </c>
      <c r="K681" s="180">
        <f>(K644/K612)*P75</f>
        <v>120295.38283686241</v>
      </c>
      <c r="L681" s="180">
        <f>(L647/L612)*P80</f>
        <v>15256.665953286822</v>
      </c>
      <c r="M681" s="180">
        <f t="shared" si="20"/>
        <v>417502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7654.73</v>
      </c>
      <c r="D682" s="180">
        <f>(D615/D612)*Q76</f>
        <v>0</v>
      </c>
      <c r="E682" s="180">
        <f>(E623/E612)*SUM(C682:D682)</f>
        <v>771.03893946301821</v>
      </c>
      <c r="F682" s="180">
        <f>(F624/F612)*Q64</f>
        <v>0</v>
      </c>
      <c r="G682" s="180">
        <f>(G625/G612)*Q77</f>
        <v>0</v>
      </c>
      <c r="H682" s="180">
        <f>(H628/H612)*Q60</f>
        <v>98.309862356564338</v>
      </c>
      <c r="I682" s="180">
        <f>(I629/I612)*Q78</f>
        <v>0</v>
      </c>
      <c r="J682" s="180">
        <f>(J630/J612)*Q79</f>
        <v>2229.2505062013415</v>
      </c>
      <c r="K682" s="180">
        <f>(K644/K612)*Q75</f>
        <v>11077.061424178713</v>
      </c>
      <c r="L682" s="180">
        <f>(L647/L612)*Q80</f>
        <v>394.17027364352407</v>
      </c>
      <c r="M682" s="180">
        <f t="shared" si="20"/>
        <v>14570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590459.72</v>
      </c>
      <c r="D683" s="180">
        <f>(D615/D612)*R76</f>
        <v>0</v>
      </c>
      <c r="E683" s="180">
        <f>(E623/E612)*SUM(C683:D683)</f>
        <v>59475.3095542796</v>
      </c>
      <c r="F683" s="180">
        <f>(F624/F612)*R64</f>
        <v>1044.4188799011229</v>
      </c>
      <c r="G683" s="180">
        <f>(G625/G612)*R77</f>
        <v>0</v>
      </c>
      <c r="H683" s="180">
        <f>(H628/H612)*R60</f>
        <v>2103.8310544304768</v>
      </c>
      <c r="I683" s="180">
        <f>(I629/I612)*R78</f>
        <v>0</v>
      </c>
      <c r="J683" s="180">
        <f>(J630/J612)*R79</f>
        <v>0</v>
      </c>
      <c r="K683" s="180">
        <f>(K644/K612)*R75</f>
        <v>99203.89167185445</v>
      </c>
      <c r="L683" s="180">
        <f>(L647/L612)*R80</f>
        <v>10665.8402555748</v>
      </c>
      <c r="M683" s="180">
        <f t="shared" si="20"/>
        <v>172493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178304.05</v>
      </c>
      <c r="D684" s="180">
        <f>(D615/D612)*S76</f>
        <v>37508.789485779416</v>
      </c>
      <c r="E684" s="180">
        <f>(E623/E612)*SUM(C684:D684)</f>
        <v>21738.206687841106</v>
      </c>
      <c r="F684" s="180">
        <f>(F624/F612)*S64</f>
        <v>6097.2551519864464</v>
      </c>
      <c r="G684" s="180">
        <f>(G625/G612)*S77</f>
        <v>0</v>
      </c>
      <c r="H684" s="180">
        <f>(H628/H612)*S60</f>
        <v>3637.4649071928807</v>
      </c>
      <c r="I684" s="180">
        <f>(I629/I612)*S78</f>
        <v>6134.8964382653066</v>
      </c>
      <c r="J684" s="180">
        <f>(J630/J612)*S79</f>
        <v>0</v>
      </c>
      <c r="K684" s="180">
        <f>(K644/K612)*S75</f>
        <v>21742.120037795612</v>
      </c>
      <c r="L684" s="180">
        <f>(L647/L612)*S80</f>
        <v>0</v>
      </c>
      <c r="M684" s="180">
        <f t="shared" si="20"/>
        <v>96859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2416907.92</v>
      </c>
      <c r="D686" s="180">
        <f>(D615/D612)*U76</f>
        <v>31298.725001378851</v>
      </c>
      <c r="E686" s="180">
        <f>(E623/E612)*SUM(C686:D686)</f>
        <v>246600.81480968985</v>
      </c>
      <c r="F686" s="180">
        <f>(F624/F612)*U64</f>
        <v>81947.610224111777</v>
      </c>
      <c r="G686" s="180">
        <f>(G625/G612)*U77</f>
        <v>0</v>
      </c>
      <c r="H686" s="180">
        <f>(H628/H612)*U60</f>
        <v>17577.803389353703</v>
      </c>
      <c r="I686" s="180">
        <f>(I629/I612)*U78</f>
        <v>19767.999634410433</v>
      </c>
      <c r="J686" s="180">
        <f>(J630/J612)*U79</f>
        <v>0</v>
      </c>
      <c r="K686" s="180">
        <f>(K644/K612)*U75</f>
        <v>562878.56603612145</v>
      </c>
      <c r="L686" s="180">
        <f>(L647/L612)*U80</f>
        <v>0</v>
      </c>
      <c r="M686" s="180">
        <f t="shared" si="20"/>
        <v>960072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1476</v>
      </c>
      <c r="D687" s="180">
        <f>(D615/D612)*V76</f>
        <v>5862.3008732741346</v>
      </c>
      <c r="E687" s="180">
        <f>(E623/E612)*SUM(C687:D687)</f>
        <v>739.16594351333481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6601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145957</v>
      </c>
      <c r="D688" s="180">
        <f>(D615/D612)*W76</f>
        <v>0</v>
      </c>
      <c r="E688" s="180">
        <f>(E623/E612)*SUM(C688:D688)</f>
        <v>14701.828867537295</v>
      </c>
      <c r="F688" s="180">
        <f>(F624/F612)*W64</f>
        <v>205.41653173123032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521.78672206903912</v>
      </c>
      <c r="K688" s="180">
        <f>(K644/K612)*W75</f>
        <v>72184.791631530752</v>
      </c>
      <c r="L688" s="180">
        <f>(L647/L612)*W80</f>
        <v>0</v>
      </c>
      <c r="M688" s="180">
        <f t="shared" si="20"/>
        <v>87614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79018</v>
      </c>
      <c r="D689" s="180">
        <f>(D615/D612)*X76</f>
        <v>0</v>
      </c>
      <c r="E689" s="180">
        <f>(E623/E612)*SUM(C689:D689)</f>
        <v>7959.2559004025979</v>
      </c>
      <c r="F689" s="180">
        <f>(F624/F612)*X64</f>
        <v>980.02720099122973</v>
      </c>
      <c r="G689" s="180">
        <f>(G625/G612)*X77</f>
        <v>0</v>
      </c>
      <c r="H689" s="180">
        <f>(H628/H612)*X60</f>
        <v>0</v>
      </c>
      <c r="I689" s="180">
        <f>(I629/I612)*X78</f>
        <v>8975.1262707955411</v>
      </c>
      <c r="J689" s="180">
        <f>(J630/J612)*X79</f>
        <v>3765.7458750174055</v>
      </c>
      <c r="K689" s="180">
        <f>(K644/K612)*X75</f>
        <v>301778.36803227599</v>
      </c>
      <c r="L689" s="180">
        <f>(L647/L612)*X80</f>
        <v>0</v>
      </c>
      <c r="M689" s="180">
        <f t="shared" si="20"/>
        <v>323459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1781741.72</v>
      </c>
      <c r="D690" s="180">
        <f>(D615/D612)*Y76</f>
        <v>61877.082522567238</v>
      </c>
      <c r="E690" s="180">
        <f>(E623/E612)*SUM(C690:D690)</f>
        <v>185702.42010770855</v>
      </c>
      <c r="F690" s="180">
        <f>(F624/F612)*Y64</f>
        <v>1393.195347315258</v>
      </c>
      <c r="G690" s="180">
        <f>(G625/G612)*Y77</f>
        <v>0</v>
      </c>
      <c r="H690" s="180">
        <f>(H628/H612)*Y60</f>
        <v>19367.042884243176</v>
      </c>
      <c r="I690" s="180">
        <f>(I629/I612)*Y78</f>
        <v>56009.332297496221</v>
      </c>
      <c r="J690" s="180">
        <f>(J630/J612)*Y79</f>
        <v>908.1309333031362</v>
      </c>
      <c r="K690" s="180">
        <f>(K644/K612)*Y75</f>
        <v>291127.46618944051</v>
      </c>
      <c r="L690" s="180">
        <f>(L647/L612)*Y80</f>
        <v>0</v>
      </c>
      <c r="M690" s="180">
        <f t="shared" si="20"/>
        <v>616385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75193</v>
      </c>
      <c r="D692" s="180">
        <f>(D615/D612)*AA76</f>
        <v>0</v>
      </c>
      <c r="E692" s="180">
        <f>(E623/E612)*SUM(C692:D692)</f>
        <v>7573.974650319833</v>
      </c>
      <c r="F692" s="180">
        <f>(F624/F612)*AA64</f>
        <v>943.86879668028973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59.94996381218747</v>
      </c>
      <c r="K692" s="180">
        <f>(K644/K612)*AA75</f>
        <v>16444.807882992907</v>
      </c>
      <c r="L692" s="180">
        <f>(L647/L612)*AA80</f>
        <v>0</v>
      </c>
      <c r="M692" s="180">
        <f t="shared" si="20"/>
        <v>25023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1480406</v>
      </c>
      <c r="D693" s="180">
        <f>(D615/D612)*AB76</f>
        <v>9787.0616274152926</v>
      </c>
      <c r="E693" s="180">
        <f>(E623/E612)*SUM(C693:D693)</f>
        <v>150102.86160744409</v>
      </c>
      <c r="F693" s="180">
        <f>(F624/F612)*AB64</f>
        <v>67072.707835406196</v>
      </c>
      <c r="G693" s="180">
        <f>(G625/G612)*AB77</f>
        <v>0</v>
      </c>
      <c r="H693" s="180">
        <f>(H628/H612)*AB60</f>
        <v>4109.3522465043889</v>
      </c>
      <c r="I693" s="180">
        <f>(I629/I612)*AB78</f>
        <v>5680.459665060469</v>
      </c>
      <c r="J693" s="180">
        <f>(J630/J612)*AB79</f>
        <v>0</v>
      </c>
      <c r="K693" s="180">
        <f>(K644/K612)*AB75</f>
        <v>246951.87467819644</v>
      </c>
      <c r="L693" s="180">
        <f>(L647/L612)*AB80</f>
        <v>0</v>
      </c>
      <c r="M693" s="180">
        <f t="shared" si="20"/>
        <v>483704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138214.38</v>
      </c>
      <c r="D694" s="180">
        <f>(D615/D612)*AC76</f>
        <v>18679.873969076903</v>
      </c>
      <c r="E694" s="180">
        <f>(E623/E612)*SUM(C694:D694)</f>
        <v>15803.507006538244</v>
      </c>
      <c r="F694" s="180">
        <f>(F624/F612)*AC64</f>
        <v>570.46781908962407</v>
      </c>
      <c r="G694" s="180">
        <f>(G625/G612)*AC77</f>
        <v>0</v>
      </c>
      <c r="H694" s="180">
        <f>(H628/H612)*AC60</f>
        <v>2044.8451370165383</v>
      </c>
      <c r="I694" s="180">
        <f>(I629/I612)*AC78</f>
        <v>7384.5975645786102</v>
      </c>
      <c r="J694" s="180">
        <f>(J630/J612)*AC79</f>
        <v>355.25904481296277</v>
      </c>
      <c r="K694" s="180">
        <f>(K644/K612)*AC75</f>
        <v>5540.2493324105635</v>
      </c>
      <c r="L694" s="180">
        <f>(L647/L612)*AC80</f>
        <v>0</v>
      </c>
      <c r="M694" s="180">
        <f t="shared" si="20"/>
        <v>50379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954682.51</v>
      </c>
      <c r="D696" s="180">
        <f>(D615/D612)*AE76</f>
        <v>74421.41278105638</v>
      </c>
      <c r="E696" s="180">
        <f>(E623/E612)*SUM(C696:D696)</f>
        <v>103658.67864945433</v>
      </c>
      <c r="F696" s="180">
        <f>(F624/F612)*AE64</f>
        <v>1209.9267227255623</v>
      </c>
      <c r="G696" s="180">
        <f>(G625/G612)*AE77</f>
        <v>0</v>
      </c>
      <c r="H696" s="180">
        <f>(H628/H612)*AE60</f>
        <v>18167.66256349309</v>
      </c>
      <c r="I696" s="180">
        <f>(I629/I612)*AE78</f>
        <v>17495.815768386245</v>
      </c>
      <c r="J696" s="180">
        <f>(J630/J612)*AE79</f>
        <v>13748.52503426166</v>
      </c>
      <c r="K696" s="180">
        <f>(K644/K612)*AE75</f>
        <v>209735.5303015199</v>
      </c>
      <c r="L696" s="180">
        <f>(L647/L612)*AE80</f>
        <v>0</v>
      </c>
      <c r="M696" s="180">
        <f t="shared" si="20"/>
        <v>438438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1717323</v>
      </c>
      <c r="D698" s="180">
        <f>(D615/D612)*AG76</f>
        <v>39173.086767598768</v>
      </c>
      <c r="E698" s="180">
        <f>(E623/E612)*SUM(C698:D698)</f>
        <v>176926.7994968119</v>
      </c>
      <c r="F698" s="180">
        <f>(F624/F612)*AG64</f>
        <v>3825.7148482882185</v>
      </c>
      <c r="G698" s="180">
        <f>(G625/G612)*AG77</f>
        <v>0</v>
      </c>
      <c r="H698" s="180">
        <f>(H628/H612)*AG60</f>
        <v>10047.267932840874</v>
      </c>
      <c r="I698" s="180">
        <f>(I629/I612)*AG78</f>
        <v>94295.630440003792</v>
      </c>
      <c r="J698" s="180">
        <f>(J630/J612)*AG79</f>
        <v>25181.20517014882</v>
      </c>
      <c r="K698" s="180">
        <f>(K644/K612)*AG75</f>
        <v>477879.85780630569</v>
      </c>
      <c r="L698" s="180">
        <f>(L647/L612)*AG80</f>
        <v>10676.527182142885</v>
      </c>
      <c r="M698" s="180">
        <f t="shared" si="20"/>
        <v>838006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580777.18999999994</v>
      </c>
      <c r="D699" s="180">
        <f>(D615/D612)*AH76</f>
        <v>40986.425597043737</v>
      </c>
      <c r="E699" s="180">
        <f>(E623/E612)*SUM(C699:D699)</f>
        <v>62628.460934172246</v>
      </c>
      <c r="F699" s="180">
        <f>(F624/F612)*AH64</f>
        <v>3107.4999681394111</v>
      </c>
      <c r="G699" s="180">
        <f>(G625/G612)*AH77</f>
        <v>0</v>
      </c>
      <c r="H699" s="180">
        <f>(H628/H612)*AH60</f>
        <v>8808.5636671481661</v>
      </c>
      <c r="I699" s="180">
        <f>(I629/I612)*AH78</f>
        <v>7952.6435310846564</v>
      </c>
      <c r="J699" s="180">
        <f>(J630/J612)*AH79</f>
        <v>13559.793666704774</v>
      </c>
      <c r="K699" s="180">
        <f>(K644/K612)*AH75</f>
        <v>51621.761650714856</v>
      </c>
      <c r="L699" s="180">
        <f>(L647/L612)*AH80</f>
        <v>0</v>
      </c>
      <c r="M699" s="180">
        <f t="shared" si="20"/>
        <v>188665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149846</v>
      </c>
      <c r="D700" s="180">
        <f>(D615/D612)*AI76</f>
        <v>0</v>
      </c>
      <c r="E700" s="180">
        <f>(E623/E612)*SUM(C700:D700)</f>
        <v>15093.556653569158</v>
      </c>
      <c r="F700" s="180">
        <f>(F624/F612)*AI64</f>
        <v>0</v>
      </c>
      <c r="G700" s="180">
        <f>(G625/G612)*AI77</f>
        <v>0</v>
      </c>
      <c r="H700" s="180">
        <f>(H628/H612)*AI60</f>
        <v>2221.8028892583538</v>
      </c>
      <c r="I700" s="180">
        <f>(I629/I612)*AI78</f>
        <v>0</v>
      </c>
      <c r="J700" s="180">
        <f>(J630/J612)*AI79</f>
        <v>18409.079628401716</v>
      </c>
      <c r="K700" s="180">
        <f>(K644/K612)*AI75</f>
        <v>67325.81504610971</v>
      </c>
      <c r="L700" s="180">
        <f>(L647/L612)*AI80</f>
        <v>11218.972571488908</v>
      </c>
      <c r="M700" s="180">
        <f t="shared" si="20"/>
        <v>114269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5267782.3600000003</v>
      </c>
      <c r="D701" s="180">
        <f>(D615/D612)*AJ76</f>
        <v>300219.35743386095</v>
      </c>
      <c r="E701" s="180">
        <f>(E623/E612)*SUM(C701:D701)</f>
        <v>560848.80056363437</v>
      </c>
      <c r="F701" s="180">
        <f>(F624/F612)*AJ64</f>
        <v>14147.913257804221</v>
      </c>
      <c r="G701" s="180">
        <f>(G625/G612)*AJ77</f>
        <v>0</v>
      </c>
      <c r="H701" s="180">
        <f>(H628/H612)*AJ60</f>
        <v>66850.706402463751</v>
      </c>
      <c r="I701" s="180">
        <f>(I629/I612)*AJ78</f>
        <v>170413.78995181408</v>
      </c>
      <c r="J701" s="180">
        <f>(J630/J612)*AJ79</f>
        <v>2202.6060778403694</v>
      </c>
      <c r="K701" s="180">
        <f>(K644/K612)*AJ75</f>
        <v>331048.86069338041</v>
      </c>
      <c r="L701" s="180">
        <f>(L647/L612)*AJ80</f>
        <v>67479.794293082698</v>
      </c>
      <c r="M701" s="180">
        <f t="shared" si="20"/>
        <v>1513212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1618151.63</v>
      </c>
      <c r="D712" s="180">
        <f>(D615/D612)*AU76</f>
        <v>47444.892660820326</v>
      </c>
      <c r="E712" s="180">
        <f>(E623/E612)*SUM(C712:D712)</f>
        <v>167770.74781288041</v>
      </c>
      <c r="F712" s="180">
        <f>(F624/F612)*AU64</f>
        <v>933.04250341302202</v>
      </c>
      <c r="G712" s="180">
        <f>(G625/G612)*AU77</f>
        <v>0</v>
      </c>
      <c r="H712" s="180">
        <f>(H628/H612)*AU60</f>
        <v>36453.296961814056</v>
      </c>
      <c r="I712" s="180">
        <f>(I629/I612)*AU78</f>
        <v>14769.19512915722</v>
      </c>
      <c r="J712" s="180">
        <f>(J630/J612)*AU79</f>
        <v>0</v>
      </c>
      <c r="K712" s="180">
        <f>(K644/K612)*AU75</f>
        <v>64287.003026636456</v>
      </c>
      <c r="L712" s="180">
        <f>(L647/L612)*AU80</f>
        <v>0</v>
      </c>
      <c r="M712" s="180">
        <f t="shared" si="20"/>
        <v>331658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352879.16</v>
      </c>
      <c r="D713" s="180">
        <f>(D615/D612)*AV76</f>
        <v>22405.912659717244</v>
      </c>
      <c r="E713" s="180">
        <f>(E623/E612)*SUM(C713:D713)</f>
        <v>37801.386125944366</v>
      </c>
      <c r="F713" s="180">
        <f>(F624/F612)*AV64</f>
        <v>737.9569443420603</v>
      </c>
      <c r="G713" s="180">
        <f>(G625/G612)*AV77</f>
        <v>0</v>
      </c>
      <c r="H713" s="180">
        <f>(H628/H612)*AV60</f>
        <v>4994.1410077134688</v>
      </c>
      <c r="I713" s="180">
        <f>(I629/I612)*AV78</f>
        <v>5680.459665060469</v>
      </c>
      <c r="J713" s="180">
        <f>(J630/J612)*AV79</f>
        <v>0</v>
      </c>
      <c r="K713" s="180">
        <f>(K644/K612)*AV75</f>
        <v>146094.37896576131</v>
      </c>
      <c r="L713" s="180">
        <f>(L647/L612)*AV80</f>
        <v>0</v>
      </c>
      <c r="M713" s="180">
        <f t="shared" si="20"/>
        <v>217714</v>
      </c>
      <c r="N713" s="199" t="s">
        <v>741</v>
      </c>
    </row>
    <row r="715" spans="1:83" ht="12.65" customHeight="1" x14ac:dyDescent="0.3">
      <c r="C715" s="180">
        <f>SUM(C614:C647)+SUM(C668:C713)</f>
        <v>35101680.649999999</v>
      </c>
      <c r="D715" s="180">
        <f>SUM(D616:D647)+SUM(D668:D713)</f>
        <v>1351136.15</v>
      </c>
      <c r="E715" s="180">
        <f>SUM(E624:E647)+SUM(E668:E713)</f>
        <v>3212141.5643128725</v>
      </c>
      <c r="F715" s="180">
        <f>SUM(F625:F648)+SUM(F668:F713)</f>
        <v>232278.90041018315</v>
      </c>
      <c r="G715" s="180">
        <f>SUM(G626:G647)+SUM(G668:G713)</f>
        <v>1085499.6495991908</v>
      </c>
      <c r="H715" s="180">
        <f>SUM(H629:H647)+SUM(H668:H713)</f>
        <v>399590.26653449144</v>
      </c>
      <c r="I715" s="180">
        <f>SUM(I630:I647)+SUM(I668:I713)</f>
        <v>915008.44284794049</v>
      </c>
      <c r="J715" s="180">
        <f>SUM(J631:J647)+SUM(J668:J713)</f>
        <v>299090.36945900333</v>
      </c>
      <c r="K715" s="180">
        <f>SUM(K668:K713)</f>
        <v>3499359.1544028204</v>
      </c>
      <c r="L715" s="180">
        <f>SUM(L668:L713)</f>
        <v>316853.8104109249</v>
      </c>
      <c r="M715" s="180">
        <f>SUM(M668:M713)</f>
        <v>10124634</v>
      </c>
      <c r="N715" s="198" t="s">
        <v>742</v>
      </c>
    </row>
    <row r="716" spans="1:83" ht="12.65" customHeight="1" x14ac:dyDescent="0.3">
      <c r="C716" s="180">
        <f>CE71</f>
        <v>35101680.650000006</v>
      </c>
      <c r="D716" s="180">
        <f>D615</f>
        <v>1351136.15</v>
      </c>
      <c r="E716" s="180">
        <f>E623</f>
        <v>3212141.5643128715</v>
      </c>
      <c r="F716" s="180">
        <f>F624</f>
        <v>232278.90041018312</v>
      </c>
      <c r="G716" s="180">
        <f>G625</f>
        <v>1085499.6495991908</v>
      </c>
      <c r="H716" s="180">
        <f>H628</f>
        <v>399590.26653449144</v>
      </c>
      <c r="I716" s="180">
        <f>I629</f>
        <v>915008.44284794026</v>
      </c>
      <c r="J716" s="180">
        <f>J630</f>
        <v>299090.36945900333</v>
      </c>
      <c r="K716" s="180">
        <f>K644</f>
        <v>3499359.1544028195</v>
      </c>
      <c r="L716" s="180">
        <f>L647</f>
        <v>316853.81041092501</v>
      </c>
      <c r="M716" s="180">
        <f>C648</f>
        <v>10124632.539999997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">
      <c r="A722" s="202" t="str">
        <f>RIGHT(C83,3)&amp;"*"&amp;RIGHT(C82,4)&amp;"*"&amp;"A"</f>
        <v>054*2021*A</v>
      </c>
      <c r="B722" s="279">
        <f>ROUND(C165,0)</f>
        <v>256498</v>
      </c>
      <c r="C722" s="279">
        <f>ROUND(C166,0)</f>
        <v>-7343</v>
      </c>
      <c r="D722" s="279">
        <f>ROUND(C167,0)</f>
        <v>189387</v>
      </c>
      <c r="E722" s="279">
        <f>ROUND(C168,0)</f>
        <v>3255532</v>
      </c>
      <c r="F722" s="279">
        <f>ROUND(C169,0)</f>
        <v>0</v>
      </c>
      <c r="G722" s="279">
        <f>ROUND(C170,0)</f>
        <v>1560699</v>
      </c>
      <c r="H722" s="279">
        <f>ROUND(C171+C172,0)</f>
        <v>369127</v>
      </c>
      <c r="I722" s="279">
        <f>ROUND(C175,0)</f>
        <v>59368</v>
      </c>
      <c r="J722" s="279">
        <f>ROUND(C176,0)</f>
        <v>98622</v>
      </c>
      <c r="K722" s="279">
        <f>ROUND(C179,0)</f>
        <v>188153</v>
      </c>
      <c r="L722" s="279">
        <f>ROUND(C180,0)</f>
        <v>284333</v>
      </c>
      <c r="M722" s="279">
        <f>ROUND(C183,0)</f>
        <v>68345</v>
      </c>
      <c r="N722" s="279">
        <f>ROUND(C184,0)</f>
        <v>339037</v>
      </c>
      <c r="O722" s="279">
        <f>ROUND(C185,0)</f>
        <v>0</v>
      </c>
      <c r="P722" s="279">
        <f>ROUND(C188,0)</f>
        <v>48507</v>
      </c>
      <c r="Q722" s="279">
        <f>ROUND(C189,0)</f>
        <v>368513</v>
      </c>
      <c r="R722" s="279">
        <f>ROUND(B195,0)</f>
        <v>378503</v>
      </c>
      <c r="S722" s="279">
        <f>ROUND(C195,0)</f>
        <v>132254</v>
      </c>
      <c r="T722" s="279">
        <f>ROUND(D195,0)</f>
        <v>0</v>
      </c>
      <c r="U722" s="279">
        <f>ROUND(B196,0)</f>
        <v>935266</v>
      </c>
      <c r="V722" s="279">
        <f>ROUND(C196,0)</f>
        <v>0</v>
      </c>
      <c r="W722" s="279">
        <f>ROUND(D196,0)</f>
        <v>0</v>
      </c>
      <c r="X722" s="279">
        <f>ROUND(B197,0)</f>
        <v>15574451</v>
      </c>
      <c r="Y722" s="279">
        <f>ROUND(C197,0)</f>
        <v>4727959</v>
      </c>
      <c r="Z722" s="279">
        <f>ROUND(D197,0)</f>
        <v>0</v>
      </c>
      <c r="AA722" s="279">
        <f>ROUND(B198,0)</f>
        <v>0</v>
      </c>
      <c r="AB722" s="279">
        <f>ROUND(C198,0)</f>
        <v>0</v>
      </c>
      <c r="AC722" s="279">
        <f>ROUND(D198,0)</f>
        <v>0</v>
      </c>
      <c r="AD722" s="279">
        <f>ROUND(B199,0)</f>
        <v>0</v>
      </c>
      <c r="AE722" s="279">
        <f>ROUND(C199,0)</f>
        <v>0</v>
      </c>
      <c r="AF722" s="279">
        <f>ROUND(D199,0)</f>
        <v>0</v>
      </c>
      <c r="AG722" s="279">
        <f>ROUND(B200,0)</f>
        <v>16271558</v>
      </c>
      <c r="AH722" s="279">
        <f>ROUND(C200,0)</f>
        <v>1185322</v>
      </c>
      <c r="AI722" s="279">
        <f>ROUND(D200,0)</f>
        <v>0</v>
      </c>
      <c r="AJ722" s="279">
        <f>ROUND(B201,0)</f>
        <v>0</v>
      </c>
      <c r="AK722" s="279">
        <f>ROUND(C201,0)</f>
        <v>0</v>
      </c>
      <c r="AL722" s="279">
        <f>ROUND(D201,0)</f>
        <v>0</v>
      </c>
      <c r="AM722" s="279">
        <f>ROUND(B202,0)</f>
        <v>0</v>
      </c>
      <c r="AN722" s="279">
        <f>ROUND(C202,0)</f>
        <v>0</v>
      </c>
      <c r="AO722" s="279">
        <f>ROUND(D202,0)</f>
        <v>0</v>
      </c>
      <c r="AP722" s="279">
        <f>ROUND(B203,0)</f>
        <v>168257</v>
      </c>
      <c r="AQ722" s="279">
        <f>ROUND(C203,0)</f>
        <v>837723</v>
      </c>
      <c r="AR722" s="279">
        <f>ROUND(D203,0)</f>
        <v>0</v>
      </c>
      <c r="AS722" s="279"/>
      <c r="AT722" s="279"/>
      <c r="AU722" s="279"/>
      <c r="AV722" s="279">
        <f>ROUND(B209,0)</f>
        <v>842382</v>
      </c>
      <c r="AW722" s="279">
        <f>ROUND(C209,0)</f>
        <v>25215</v>
      </c>
      <c r="AX722" s="279">
        <f>ROUND(D209,0)</f>
        <v>0</v>
      </c>
      <c r="AY722" s="279">
        <f>ROUND(B210,0)</f>
        <v>12341536</v>
      </c>
      <c r="AZ722" s="279">
        <f>ROUND(C210,0)</f>
        <v>418772</v>
      </c>
      <c r="BA722" s="279">
        <f>ROUND(D210,0)</f>
        <v>0</v>
      </c>
      <c r="BB722" s="279">
        <f>ROUND(B211,0)</f>
        <v>0</v>
      </c>
      <c r="BC722" s="279">
        <f>ROUND(C211,0)</f>
        <v>0</v>
      </c>
      <c r="BD722" s="279">
        <f>ROUND(D211,0)</f>
        <v>0</v>
      </c>
      <c r="BE722" s="279">
        <f>ROUND(B212,0)</f>
        <v>0</v>
      </c>
      <c r="BF722" s="279">
        <f>ROUND(C212,0)</f>
        <v>0</v>
      </c>
      <c r="BG722" s="279">
        <f>ROUND(D212,0)</f>
        <v>0</v>
      </c>
      <c r="BH722" s="279">
        <f>ROUND(B213,0)</f>
        <v>14106477</v>
      </c>
      <c r="BI722" s="279">
        <f>ROUND(C213,0)</f>
        <v>737096</v>
      </c>
      <c r="BJ722" s="279">
        <f>ROUND(D213,0)</f>
        <v>0</v>
      </c>
      <c r="BK722" s="279">
        <f>ROUND(B214,0)</f>
        <v>0</v>
      </c>
      <c r="BL722" s="279">
        <f>ROUND(C214,0)</f>
        <v>0</v>
      </c>
      <c r="BM722" s="279">
        <f>ROUND(D214,0)</f>
        <v>0</v>
      </c>
      <c r="BN722" s="279">
        <f>ROUND(B215,0)</f>
        <v>0</v>
      </c>
      <c r="BO722" s="279">
        <f>ROUND(C215,0)</f>
        <v>0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9915485</v>
      </c>
      <c r="BU722" s="279">
        <f>ROUND(C224,0)</f>
        <v>7816105</v>
      </c>
      <c r="BV722" s="279">
        <f>ROUND(C225,0)</f>
        <v>592955</v>
      </c>
      <c r="BW722" s="279">
        <f>ROUND(C226,0)</f>
        <v>187267</v>
      </c>
      <c r="BX722" s="279">
        <f>ROUND(C227,0)</f>
        <v>5602924</v>
      </c>
      <c r="BY722" s="279">
        <f>ROUND(C228,0)</f>
        <v>-2176</v>
      </c>
      <c r="BZ722" s="279">
        <f>ROUND(C231,0)</f>
        <v>266</v>
      </c>
      <c r="CA722" s="279">
        <f>ROUND(C233,0)</f>
        <v>42531</v>
      </c>
      <c r="CB722" s="279">
        <f>ROUND(C234,0)</f>
        <v>524010</v>
      </c>
      <c r="CC722" s="279">
        <f>ROUND(C238+C239,0)</f>
        <v>374635</v>
      </c>
      <c r="CD722" s="279">
        <f>D221</f>
        <v>794281.91</v>
      </c>
      <c r="CE722" s="279"/>
    </row>
    <row r="723" spans="1:84" ht="12.65" customHeight="1" x14ac:dyDescent="0.3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054*2021*A</v>
      </c>
      <c r="B726" s="279">
        <f>ROUND(C111,0)</f>
        <v>210</v>
      </c>
      <c r="C726" s="279">
        <f>ROUND(C112,0)</f>
        <v>71</v>
      </c>
      <c r="D726" s="279">
        <f>ROUND(C113,0)</f>
        <v>0</v>
      </c>
      <c r="E726" s="279">
        <f>ROUND(C114,0)</f>
        <v>44</v>
      </c>
      <c r="F726" s="279">
        <f>ROUND(D111,0)</f>
        <v>715</v>
      </c>
      <c r="G726" s="279">
        <f>ROUND(D112,0)</f>
        <v>7546</v>
      </c>
      <c r="H726" s="279">
        <f>ROUND(D113,0)</f>
        <v>0</v>
      </c>
      <c r="I726" s="279">
        <f>ROUND(D114,0)</f>
        <v>78</v>
      </c>
      <c r="J726" s="279">
        <f>ROUND(C116,0)</f>
        <v>0</v>
      </c>
      <c r="K726" s="279">
        <f>ROUND(C117,0)</f>
        <v>17</v>
      </c>
      <c r="L726" s="279">
        <f>ROUND(C118,0)</f>
        <v>0</v>
      </c>
      <c r="M726" s="279">
        <f>ROUND(C119,0)</f>
        <v>0</v>
      </c>
      <c r="N726" s="279">
        <f>ROUND(C120,0)</f>
        <v>0</v>
      </c>
      <c r="O726" s="279">
        <f>ROUND(C121,0)</f>
        <v>0</v>
      </c>
      <c r="P726" s="279">
        <f>ROUND(C122,0)</f>
        <v>0</v>
      </c>
      <c r="Q726" s="279">
        <f>ROUND(C123,0)</f>
        <v>20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0</v>
      </c>
      <c r="V726" s="279">
        <f>ROUND(C128,0)</f>
        <v>37</v>
      </c>
      <c r="W726" s="279">
        <f>ROUND(C129,0)</f>
        <v>0</v>
      </c>
      <c r="X726" s="279">
        <f>ROUND(B138,0)</f>
        <v>123</v>
      </c>
      <c r="Y726" s="279">
        <f>ROUND(B139,0)</f>
        <v>418</v>
      </c>
      <c r="Z726" s="279">
        <f>ROUND(B140,0)</f>
        <v>0</v>
      </c>
      <c r="AA726" s="279">
        <f>ROUND(B141,0)</f>
        <v>2329784</v>
      </c>
      <c r="AB726" s="279">
        <f>ROUND(B142,0)</f>
        <v>17124574</v>
      </c>
      <c r="AC726" s="279">
        <f>ROUND(C138,0)</f>
        <v>20</v>
      </c>
      <c r="AD726" s="279">
        <f>ROUND(C139,0)</f>
        <v>57</v>
      </c>
      <c r="AE726" s="279">
        <f>ROUND(C140,0)</f>
        <v>0</v>
      </c>
      <c r="AF726" s="279">
        <f>ROUND(C141,0)</f>
        <v>1876607</v>
      </c>
      <c r="AG726" s="279">
        <f>ROUND(C142,0)</f>
        <v>13144477</v>
      </c>
      <c r="AH726" s="279">
        <f>ROUND(D138,0)</f>
        <v>67</v>
      </c>
      <c r="AI726" s="279">
        <f>ROUND(D139,0)</f>
        <v>240</v>
      </c>
      <c r="AJ726" s="279">
        <f>ROUND(D140,0)</f>
        <v>0</v>
      </c>
      <c r="AK726" s="279">
        <f>ROUND(D141,0)</f>
        <v>1304195</v>
      </c>
      <c r="AL726" s="279">
        <f>ROUND(D142,0)</f>
        <v>20233124</v>
      </c>
      <c r="AM726" s="279">
        <f>ROUND(B144,0)</f>
        <v>55</v>
      </c>
      <c r="AN726" s="279">
        <f>ROUND(B145,0)</f>
        <v>638</v>
      </c>
      <c r="AO726" s="279">
        <f>ROUND(B146,0)</f>
        <v>0</v>
      </c>
      <c r="AP726" s="279">
        <f>ROUND(B147,0)</f>
        <v>1731496</v>
      </c>
      <c r="AQ726" s="279">
        <f>ROUND(B148,0)</f>
        <v>0</v>
      </c>
      <c r="AR726" s="279">
        <f>ROUND(C144,0)</f>
        <v>2</v>
      </c>
      <c r="AS726" s="279">
        <f>ROUND(C145,0)</f>
        <v>4775</v>
      </c>
      <c r="AT726" s="279">
        <f>ROUND(C146,0)</f>
        <v>0</v>
      </c>
      <c r="AU726" s="279">
        <f>ROUND(C147,0)</f>
        <v>1678607</v>
      </c>
      <c r="AV726" s="279">
        <f>ROUND(C148,0)</f>
        <v>0</v>
      </c>
      <c r="AW726" s="279">
        <f>ROUND(D144,0)</f>
        <v>14</v>
      </c>
      <c r="AX726" s="279">
        <f>ROUND(D145,0)</f>
        <v>2133</v>
      </c>
      <c r="AY726" s="279">
        <f>ROUND(D146,0)</f>
        <v>0</v>
      </c>
      <c r="AZ726" s="279">
        <f>ROUND(D147,0)</f>
        <v>643397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0</v>
      </c>
      <c r="BR726" s="279">
        <f>ROUND(C157,0)</f>
        <v>0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054*2021*A</v>
      </c>
      <c r="B730" s="279">
        <f>ROUND(C250,0)</f>
        <v>16681035</v>
      </c>
      <c r="C730" s="279">
        <f>ROUND(C251,0)</f>
        <v>0</v>
      </c>
      <c r="D730" s="279">
        <f>ROUND(C252,0)</f>
        <v>10834982</v>
      </c>
      <c r="E730" s="279">
        <f>ROUND(C253,0)</f>
        <v>5111669</v>
      </c>
      <c r="F730" s="279">
        <f>ROUND(C254,0)</f>
        <v>161331</v>
      </c>
      <c r="G730" s="279">
        <f>ROUND(C255,0)</f>
        <v>0</v>
      </c>
      <c r="H730" s="279">
        <f>ROUND(C256,0)</f>
        <v>0</v>
      </c>
      <c r="I730" s="279">
        <f>ROUND(C257,0)</f>
        <v>656439</v>
      </c>
      <c r="J730" s="279">
        <f>ROUND(C258,0)</f>
        <v>303636</v>
      </c>
      <c r="K730" s="279">
        <f>ROUND(C259,0)</f>
        <v>0</v>
      </c>
      <c r="L730" s="279">
        <f>ROUND(C262,0)</f>
        <v>7068446</v>
      </c>
      <c r="M730" s="279">
        <f>ROUND(C263,0)</f>
        <v>0</v>
      </c>
      <c r="N730" s="279">
        <f>ROUND(C264,0)</f>
        <v>0</v>
      </c>
      <c r="O730" s="279">
        <f>ROUND(C267,0)</f>
        <v>510757</v>
      </c>
      <c r="P730" s="279">
        <f>ROUND(C268,0)</f>
        <v>935266</v>
      </c>
      <c r="Q730" s="279">
        <f>ROUND(C269,0)</f>
        <v>20302410</v>
      </c>
      <c r="R730" s="279">
        <f>ROUND(C270,0)</f>
        <v>0</v>
      </c>
      <c r="S730" s="279">
        <f>ROUND(C271,0)</f>
        <v>0</v>
      </c>
      <c r="T730" s="279">
        <f>ROUND(C272,0)</f>
        <v>17456880</v>
      </c>
      <c r="U730" s="279">
        <f>ROUND(C273,0)</f>
        <v>0</v>
      </c>
      <c r="V730" s="279">
        <f>ROUND(C274,0)</f>
        <v>1005980</v>
      </c>
      <c r="W730" s="279">
        <f>ROUND(C275,0)</f>
        <v>0</v>
      </c>
      <c r="X730" s="279">
        <f>ROUND(C276,0)</f>
        <v>28471479</v>
      </c>
      <c r="Y730" s="279">
        <f>ROUND(C279,0)</f>
        <v>0</v>
      </c>
      <c r="Z730" s="279">
        <f>ROUND(C280,0)</f>
        <v>0</v>
      </c>
      <c r="AA730" s="279">
        <f>ROUND(C281,0)</f>
        <v>58465</v>
      </c>
      <c r="AB730" s="279">
        <f>ROUND(C282,0)</f>
        <v>0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ROUND(C304,0)</f>
        <v>985234</v>
      </c>
      <c r="AH730" s="279">
        <f>ROUND(C305,0)</f>
        <v>684156</v>
      </c>
      <c r="AI730" s="279">
        <f>ROUND(C306,0)</f>
        <v>2530080</v>
      </c>
      <c r="AJ730" s="279" t="e">
        <f>ROUND(#REF!,0)</f>
        <v>#REF!</v>
      </c>
      <c r="AK730" s="279">
        <f>ROUND(C307,0)</f>
        <v>57153</v>
      </c>
      <c r="AL730" s="279">
        <f>ROUND(C309,0)</f>
        <v>3217956</v>
      </c>
      <c r="AM730" s="279">
        <f>ROUND(C310,0)</f>
        <v>0</v>
      </c>
      <c r="AN730" s="279">
        <f>ROUND(C311,0)</f>
        <v>0</v>
      </c>
      <c r="AO730" s="279">
        <f>ROUND(C312,0)</f>
        <v>1012385</v>
      </c>
      <c r="AP730" s="279">
        <f>ROUND(C313,0)</f>
        <v>0</v>
      </c>
      <c r="AQ730" s="279">
        <f>ROUND(C316,0)</f>
        <v>0</v>
      </c>
      <c r="AR730" s="279">
        <f>ROUND(C317,0)</f>
        <v>0</v>
      </c>
      <c r="AS730" s="279">
        <f>ROUND(C318,0)</f>
        <v>980350</v>
      </c>
      <c r="AT730" s="279">
        <f>ROUND(C321,0)</f>
        <v>0</v>
      </c>
      <c r="AU730" s="279">
        <f>ROUND(C322,0)</f>
        <v>0</v>
      </c>
      <c r="AV730" s="279">
        <f>ROUND(C323,0)</f>
        <v>0</v>
      </c>
      <c r="AW730" s="279">
        <f>ROUND(C324,0)</f>
        <v>447577</v>
      </c>
      <c r="AX730" s="279">
        <f>ROUND(C325,0)</f>
        <v>16095000</v>
      </c>
      <c r="AY730" s="279">
        <f>ROUND(C326,0)</f>
        <v>0</v>
      </c>
      <c r="AZ730" s="279">
        <f>ROUND(C327,0)</f>
        <v>4815175</v>
      </c>
      <c r="BA730" s="279">
        <f>ROUND(C328,0)</f>
        <v>0</v>
      </c>
      <c r="BB730" s="279">
        <f>ROUND(C332,0)</f>
        <v>11567412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242.12</v>
      </c>
      <c r="BJ730" s="279">
        <f>ROUND(C359,0)</f>
        <v>9564085</v>
      </c>
      <c r="BK730" s="279">
        <f>ROUND(C360,0)</f>
        <v>50502175</v>
      </c>
      <c r="BL730" s="279">
        <f>ROUND(C364,0)</f>
        <v>24112560</v>
      </c>
      <c r="BM730" s="279">
        <f>ROUND(C365,0)</f>
        <v>566541</v>
      </c>
      <c r="BN730" s="279">
        <f>ROUND(C366,0)</f>
        <v>374635</v>
      </c>
      <c r="BO730" s="279">
        <f>ROUND(C370,0)</f>
        <v>1140235</v>
      </c>
      <c r="BP730" s="279">
        <f>ROUND(C371,0)</f>
        <v>869061</v>
      </c>
      <c r="BQ730" s="279">
        <f>ROUND(C378,0)</f>
        <v>18214125</v>
      </c>
      <c r="BR730" s="279">
        <f>ROUND(C379,0)</f>
        <v>5623900</v>
      </c>
      <c r="BS730" s="279">
        <f>ROUND(C380,0)</f>
        <v>3108900</v>
      </c>
      <c r="BT730" s="279">
        <f>ROUND(C381,0)</f>
        <v>3727356</v>
      </c>
      <c r="BU730" s="279">
        <f>ROUND(C382,0)</f>
        <v>488953</v>
      </c>
      <c r="BV730" s="279">
        <f>ROUND(C383,0)</f>
        <v>1895533</v>
      </c>
      <c r="BW730" s="279">
        <f>ROUND(C384,0)</f>
        <v>1181084</v>
      </c>
      <c r="BX730" s="279">
        <f>ROUND(C385,0)</f>
        <v>157990</v>
      </c>
      <c r="BY730" s="279">
        <f>ROUND(C386,0)</f>
        <v>472485</v>
      </c>
      <c r="BZ730" s="279">
        <f>ROUND(C387,0)</f>
        <v>407382</v>
      </c>
      <c r="CA730" s="279">
        <f>ROUND(C388,0)</f>
        <v>417020</v>
      </c>
      <c r="CB730" s="279">
        <f>C363</f>
        <v>794282</v>
      </c>
      <c r="CC730" s="279">
        <f>ROUND(C389,0)</f>
        <v>547185</v>
      </c>
      <c r="CD730" s="279">
        <f>ROUND(C392,0)</f>
        <v>7252329</v>
      </c>
      <c r="CE730" s="279">
        <f>ROUND(C394,0)</f>
        <v>0</v>
      </c>
      <c r="CF730" s="201">
        <f>ROUND(C395,0)</f>
        <v>0</v>
      </c>
    </row>
    <row r="731" spans="1:84" ht="12.65" customHeight="1" x14ac:dyDescent="0.3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054*2021*6010*A</v>
      </c>
      <c r="B734" s="279">
        <f>ROUND(C59,0)</f>
        <v>0</v>
      </c>
      <c r="C734" s="279">
        <f>ROUND(C60,2)</f>
        <v>0</v>
      </c>
      <c r="D734" s="279">
        <f>ROUND(C61,0)</f>
        <v>0</v>
      </c>
      <c r="E734" s="279">
        <f>ROUND(C62,0)</f>
        <v>0</v>
      </c>
      <c r="F734" s="279">
        <f>ROUND(C63,0)</f>
        <v>0</v>
      </c>
      <c r="G734" s="279">
        <f>ROUND(C64,0)</f>
        <v>0</v>
      </c>
      <c r="H734" s="279">
        <f>ROUND(C65,0)</f>
        <v>0</v>
      </c>
      <c r="I734" s="279">
        <f>ROUND(C66,0)</f>
        <v>0</v>
      </c>
      <c r="J734" s="279">
        <f>ROUND(C67,0)</f>
        <v>0</v>
      </c>
      <c r="K734" s="279">
        <f>ROUND(C68,0)</f>
        <v>0</v>
      </c>
      <c r="L734" s="279">
        <f>ROUND(C69,0)</f>
        <v>0</v>
      </c>
      <c r="M734" s="279">
        <f>ROUND(C70,0)</f>
        <v>0</v>
      </c>
      <c r="N734" s="279">
        <f>ROUND(C75,0)</f>
        <v>0</v>
      </c>
      <c r="O734" s="279">
        <f>ROUND(C73,0)</f>
        <v>0</v>
      </c>
      <c r="P734" s="279">
        <f>IF(C76&gt;0,ROUND(C76,0),0)</f>
        <v>0</v>
      </c>
      <c r="Q734" s="279">
        <f>IF(C77&gt;0,ROUND(C77,0),0)</f>
        <v>0</v>
      </c>
      <c r="R734" s="279">
        <f>IF(C78&gt;0,ROUND(C78,0),0)</f>
        <v>0</v>
      </c>
      <c r="S734" s="279">
        <f>IF(C79&gt;0,ROUND(C79,0),0)</f>
        <v>0</v>
      </c>
      <c r="T734" s="279">
        <f>IF(C80&gt;0,ROUND(C80,2),0)</f>
        <v>0</v>
      </c>
      <c r="U734" s="279"/>
      <c r="V734" s="279"/>
      <c r="W734" s="279"/>
      <c r="X734" s="279"/>
      <c r="Y734" s="279">
        <f>IF(M668&lt;&gt;0,ROUND(M668,0),0)</f>
        <v>0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">
      <c r="A735" s="209" t="str">
        <f>RIGHT($C$83,3)&amp;"*"&amp;RIGHT($C$82,4)&amp;"*"&amp;D$55&amp;"*"&amp;"A"</f>
        <v>054*2021*6030*A</v>
      </c>
      <c r="B735" s="279">
        <f>ROUND(D59,0)</f>
        <v>0</v>
      </c>
      <c r="C735" s="281">
        <f>ROUND(D60,2)</f>
        <v>0</v>
      </c>
      <c r="D735" s="279">
        <f>ROUND(D61,0)</f>
        <v>0</v>
      </c>
      <c r="E735" s="279">
        <f>ROUND(D62,0)</f>
        <v>0</v>
      </c>
      <c r="F735" s="279">
        <f>ROUND(D63,0)</f>
        <v>0</v>
      </c>
      <c r="G735" s="279">
        <f>ROUND(D64,0)</f>
        <v>0</v>
      </c>
      <c r="H735" s="279">
        <f>ROUND(D65,0)</f>
        <v>0</v>
      </c>
      <c r="I735" s="279">
        <f>ROUND(D66,0)</f>
        <v>0</v>
      </c>
      <c r="J735" s="279">
        <f>ROUND(D67,0)</f>
        <v>0</v>
      </c>
      <c r="K735" s="279">
        <f>ROUND(D68,0)</f>
        <v>0</v>
      </c>
      <c r="L735" s="279">
        <f>ROUND(D69,0)</f>
        <v>0</v>
      </c>
      <c r="M735" s="279">
        <f>ROUND(D70,0)</f>
        <v>0</v>
      </c>
      <c r="N735" s="279">
        <f>ROUND(D75,0)</f>
        <v>0</v>
      </c>
      <c r="O735" s="279">
        <f>ROUND(D73,0)</f>
        <v>0</v>
      </c>
      <c r="P735" s="279">
        <f>IF(D76&gt;0,ROUND(D76,0),0)</f>
        <v>0</v>
      </c>
      <c r="Q735" s="279">
        <f>IF(D77&gt;0,ROUND(D77,0),0)</f>
        <v>0</v>
      </c>
      <c r="R735" s="279">
        <f>IF(D78&gt;0,ROUND(D78,0),0)</f>
        <v>0</v>
      </c>
      <c r="S735" s="279">
        <f>IF(D79&gt;0,ROUND(D79,0),0)</f>
        <v>0</v>
      </c>
      <c r="T735" s="281">
        <f>IF(D80&gt;0,ROUND(D80,2),0)</f>
        <v>0</v>
      </c>
      <c r="U735" s="279"/>
      <c r="V735" s="280"/>
      <c r="W735" s="279"/>
      <c r="X735" s="279"/>
      <c r="Y735" s="279">
        <f t="shared" ref="Y735:Y779" si="21">IF(M669&lt;&gt;0,ROUND(M669,0),0)</f>
        <v>0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">
      <c r="A736" s="209" t="str">
        <f>RIGHT($C$83,3)&amp;"*"&amp;RIGHT($C$82,4)&amp;"*"&amp;E$55&amp;"*"&amp;"A"</f>
        <v>054*2021*6070*A</v>
      </c>
      <c r="B736" s="279">
        <f>ROUND(E59,0)</f>
        <v>715</v>
      </c>
      <c r="C736" s="281">
        <f>ROUND(E60,2)</f>
        <v>18.809999999999999</v>
      </c>
      <c r="D736" s="279">
        <f>ROUND(E61,0)</f>
        <v>1659542</v>
      </c>
      <c r="E736" s="279">
        <f>ROUND(E62,0)</f>
        <v>512410</v>
      </c>
      <c r="F736" s="279">
        <f>ROUND(E63,0)</f>
        <v>429129</v>
      </c>
      <c r="G736" s="279">
        <f>ROUND(E64,0)</f>
        <v>71640</v>
      </c>
      <c r="H736" s="279">
        <f>ROUND(E65,0)</f>
        <v>1540</v>
      </c>
      <c r="I736" s="279">
        <f>ROUND(E66,0)</f>
        <v>54685</v>
      </c>
      <c r="J736" s="279">
        <f>ROUND(E67,0)</f>
        <v>137351</v>
      </c>
      <c r="K736" s="279">
        <f>ROUND(E68,0)</f>
        <v>1506</v>
      </c>
      <c r="L736" s="279">
        <f>ROUND(E69,0)</f>
        <v>4770</v>
      </c>
      <c r="M736" s="279">
        <f>ROUND(E70,0)</f>
        <v>0</v>
      </c>
      <c r="N736" s="279">
        <f>ROUND(E75,0)</f>
        <v>3223812</v>
      </c>
      <c r="O736" s="279">
        <f>ROUND(E73,0)</f>
        <v>2771772</v>
      </c>
      <c r="P736" s="279">
        <f>IF(E76&gt;0,ROUND(E76,0),0)</f>
        <v>2649</v>
      </c>
      <c r="Q736" s="279">
        <f>IF(E77&gt;0,ROUND(E77,0),0)</f>
        <v>5481</v>
      </c>
      <c r="R736" s="279">
        <f>IF(E78&gt;0,ROUND(E78,0),0)</f>
        <v>2912</v>
      </c>
      <c r="S736" s="279">
        <f>IF(E79&gt;0,ROUND(E79,0),0)</f>
        <v>11055</v>
      </c>
      <c r="T736" s="281">
        <f>IF(E80&gt;0,ROUND(E80,2),0)</f>
        <v>8.2799999999999994</v>
      </c>
      <c r="U736" s="279"/>
      <c r="V736" s="280"/>
      <c r="W736" s="279"/>
      <c r="X736" s="279"/>
      <c r="Y736" s="279">
        <f t="shared" si="21"/>
        <v>1057086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">
      <c r="A737" s="209" t="str">
        <f>RIGHT($C$83,3)&amp;"*"&amp;RIGHT($C$82,4)&amp;"*"&amp;F$55&amp;"*"&amp;"A"</f>
        <v>054*2021*6100*A</v>
      </c>
      <c r="B737" s="279">
        <f>ROUND(F59,0)</f>
        <v>0</v>
      </c>
      <c r="C737" s="281">
        <f>ROUND(F60,2)</f>
        <v>0</v>
      </c>
      <c r="D737" s="279">
        <f>ROUND(F61,0)</f>
        <v>0</v>
      </c>
      <c r="E737" s="279">
        <f>ROUND(F62,0)</f>
        <v>0</v>
      </c>
      <c r="F737" s="279">
        <f>ROUND(F63,0)</f>
        <v>0</v>
      </c>
      <c r="G737" s="279">
        <f>ROUND(F64,0)</f>
        <v>0</v>
      </c>
      <c r="H737" s="279">
        <f>ROUND(F65,0)</f>
        <v>0</v>
      </c>
      <c r="I737" s="279">
        <f>ROUND(F66,0)</f>
        <v>0</v>
      </c>
      <c r="J737" s="279">
        <f>ROUND(F67,0)</f>
        <v>0</v>
      </c>
      <c r="K737" s="279">
        <f>ROUND(F68,0)</f>
        <v>0</v>
      </c>
      <c r="L737" s="279">
        <f>ROUND(F69,0)</f>
        <v>0</v>
      </c>
      <c r="M737" s="279">
        <f>ROUND(F70,0)</f>
        <v>0</v>
      </c>
      <c r="N737" s="279">
        <f>ROUND(F75,0)</f>
        <v>0</v>
      </c>
      <c r="O737" s="279">
        <f>ROUND(F73,0)</f>
        <v>0</v>
      </c>
      <c r="P737" s="279">
        <f>IF(F76&gt;0,ROUND(F76,0),0)</f>
        <v>0</v>
      </c>
      <c r="Q737" s="279">
        <f>IF(F77&gt;0,ROUND(F77,0),0)</f>
        <v>0</v>
      </c>
      <c r="R737" s="279">
        <f>IF(F78&gt;0,ROUND(F78,0),0)</f>
        <v>0</v>
      </c>
      <c r="S737" s="279">
        <f>IF(F79&gt;0,ROUND(F79,0),0)</f>
        <v>0</v>
      </c>
      <c r="T737" s="281">
        <f>IF(F80&gt;0,ROUND(F80,2),0)</f>
        <v>0</v>
      </c>
      <c r="U737" s="279"/>
      <c r="V737" s="280"/>
      <c r="W737" s="279"/>
      <c r="X737" s="279"/>
      <c r="Y737" s="279">
        <f t="shared" si="21"/>
        <v>0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">
      <c r="A738" s="209" t="str">
        <f>RIGHT($C$83,3)&amp;"*"&amp;RIGHT($C$82,4)&amp;"*"&amp;G$55&amp;"*"&amp;"A"</f>
        <v>054*2021*6120*A</v>
      </c>
      <c r="B738" s="279">
        <f>ROUND(G59,0)</f>
        <v>0</v>
      </c>
      <c r="C738" s="281">
        <f>ROUND(G60,2)</f>
        <v>0</v>
      </c>
      <c r="D738" s="279">
        <f>ROUND(G61,0)</f>
        <v>0</v>
      </c>
      <c r="E738" s="279">
        <f>ROUND(G62,0)</f>
        <v>0</v>
      </c>
      <c r="F738" s="279">
        <f>ROUND(G63,0)</f>
        <v>0</v>
      </c>
      <c r="G738" s="279">
        <f>ROUND(G64,0)</f>
        <v>0</v>
      </c>
      <c r="H738" s="279">
        <f>ROUND(G65,0)</f>
        <v>0</v>
      </c>
      <c r="I738" s="279">
        <f>ROUND(G66,0)</f>
        <v>0</v>
      </c>
      <c r="J738" s="279">
        <f>ROUND(G67,0)</f>
        <v>0</v>
      </c>
      <c r="K738" s="279">
        <f>ROUND(G68,0)</f>
        <v>0</v>
      </c>
      <c r="L738" s="279">
        <f>ROUND(G69,0)</f>
        <v>0</v>
      </c>
      <c r="M738" s="279">
        <f>ROUND(G70,0)</f>
        <v>0</v>
      </c>
      <c r="N738" s="279">
        <f>ROUND(G75,0)</f>
        <v>0</v>
      </c>
      <c r="O738" s="279">
        <f>ROUND(G73,0)</f>
        <v>0</v>
      </c>
      <c r="P738" s="279">
        <f>IF(G76&gt;0,ROUND(G76,0),0)</f>
        <v>0</v>
      </c>
      <c r="Q738" s="279">
        <f>IF(G77&gt;0,ROUND(G77,0),0)</f>
        <v>0</v>
      </c>
      <c r="R738" s="279">
        <f>IF(G78&gt;0,ROUND(G78,0),0)</f>
        <v>0</v>
      </c>
      <c r="S738" s="279">
        <f>IF(G79&gt;0,ROUND(G79,0),0)</f>
        <v>0</v>
      </c>
      <c r="T738" s="281">
        <f>IF(G80&gt;0,ROUND(G80,2),0)</f>
        <v>0</v>
      </c>
      <c r="U738" s="279"/>
      <c r="V738" s="280"/>
      <c r="W738" s="279"/>
      <c r="X738" s="279"/>
      <c r="Y738" s="279">
        <f t="shared" si="21"/>
        <v>0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">
      <c r="A739" s="209" t="str">
        <f>RIGHT($C$83,3)&amp;"*"&amp;RIGHT($C$82,4)&amp;"*"&amp;H$55&amp;"*"&amp;"A"</f>
        <v>054*2021*6140*A</v>
      </c>
      <c r="B739" s="279">
        <f>ROUND(H59,0)</f>
        <v>0</v>
      </c>
      <c r="C739" s="281">
        <f>ROUND(H60,2)</f>
        <v>0</v>
      </c>
      <c r="D739" s="279">
        <f>ROUND(H61,0)</f>
        <v>0</v>
      </c>
      <c r="E739" s="279">
        <f>ROUND(H62,0)</f>
        <v>0</v>
      </c>
      <c r="F739" s="279">
        <f>ROUND(H63,0)</f>
        <v>0</v>
      </c>
      <c r="G739" s="279">
        <f>ROUND(H64,0)</f>
        <v>0</v>
      </c>
      <c r="H739" s="279">
        <f>ROUND(H65,0)</f>
        <v>0</v>
      </c>
      <c r="I739" s="279">
        <f>ROUND(H66,0)</f>
        <v>0</v>
      </c>
      <c r="J739" s="279">
        <f>ROUND(H67,0)</f>
        <v>0</v>
      </c>
      <c r="K739" s="279">
        <f>ROUND(H68,0)</f>
        <v>0</v>
      </c>
      <c r="L739" s="279">
        <f>ROUND(H69,0)</f>
        <v>0</v>
      </c>
      <c r="M739" s="279">
        <f>ROUND(H70,0)</f>
        <v>0</v>
      </c>
      <c r="N739" s="279">
        <f>ROUND(H75,0)</f>
        <v>0</v>
      </c>
      <c r="O739" s="279">
        <f>ROUND(H73,0)</f>
        <v>0</v>
      </c>
      <c r="P739" s="279">
        <f>IF(H76&gt;0,ROUND(H76,0),0)</f>
        <v>0</v>
      </c>
      <c r="Q739" s="279">
        <f>IF(H77&gt;0,ROUND(H77,0),0)</f>
        <v>0</v>
      </c>
      <c r="R739" s="279">
        <f>IF(H78&gt;0,ROUND(H78,0),0)</f>
        <v>0</v>
      </c>
      <c r="S739" s="279">
        <f>IF(H79&gt;0,ROUND(H79,0),0)</f>
        <v>0</v>
      </c>
      <c r="T739" s="281">
        <f>IF(H80&gt;0,ROUND(H80,2),0)</f>
        <v>0</v>
      </c>
      <c r="U739" s="279"/>
      <c r="V739" s="280"/>
      <c r="W739" s="279"/>
      <c r="X739" s="279"/>
      <c r="Y739" s="279">
        <f t="shared" si="21"/>
        <v>0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">
      <c r="A740" s="209" t="str">
        <f>RIGHT($C$83,3)&amp;"*"&amp;RIGHT($C$82,4)&amp;"*"&amp;I$55&amp;"*"&amp;"A"</f>
        <v>054*2021*6150*A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1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">
      <c r="A741" s="209" t="str">
        <f>RIGHT($C$83,3)&amp;"*"&amp;RIGHT($C$82,4)&amp;"*"&amp;J$55&amp;"*"&amp;"A"</f>
        <v>054*2021*6170*A</v>
      </c>
      <c r="B741" s="279">
        <f>ROUND(J59,0)</f>
        <v>78</v>
      </c>
      <c r="C741" s="281">
        <f>ROUND(J60,2)</f>
        <v>0</v>
      </c>
      <c r="D741" s="279">
        <f>ROUND(J61,0)</f>
        <v>0</v>
      </c>
      <c r="E741" s="279">
        <f>ROUND(J62,0)</f>
        <v>0</v>
      </c>
      <c r="F741" s="279">
        <f>ROUND(J63,0)</f>
        <v>0</v>
      </c>
      <c r="G741" s="279">
        <f>ROUND(J64,0)</f>
        <v>2471</v>
      </c>
      <c r="H741" s="279">
        <f>ROUND(J65,0)</f>
        <v>0</v>
      </c>
      <c r="I741" s="279">
        <f>ROUND(J66,0)</f>
        <v>85</v>
      </c>
      <c r="J741" s="279">
        <f>ROUND(J67,0)</f>
        <v>1057</v>
      </c>
      <c r="K741" s="279">
        <f>ROUND(J68,0)</f>
        <v>0</v>
      </c>
      <c r="L741" s="279">
        <f>ROUND(J69,0)</f>
        <v>0</v>
      </c>
      <c r="M741" s="279">
        <f>ROUND(J70,0)</f>
        <v>0</v>
      </c>
      <c r="N741" s="279">
        <f>ROUND(J75,0)</f>
        <v>100268</v>
      </c>
      <c r="O741" s="279">
        <f>ROUND(J73,0)</f>
        <v>98957</v>
      </c>
      <c r="P741" s="279">
        <f>IF(J76&gt;0,ROUND(J76,0),0)</f>
        <v>167</v>
      </c>
      <c r="Q741" s="279">
        <f>IF(J77&gt;0,ROUND(J77,0),0)</f>
        <v>0</v>
      </c>
      <c r="R741" s="279">
        <f>IF(J78&gt;0,ROUND(J78,0),0)</f>
        <v>169</v>
      </c>
      <c r="S741" s="279">
        <f>IF(J79&gt;0,ROUND(J79,0),0)</f>
        <v>116</v>
      </c>
      <c r="T741" s="281">
        <f>IF(J80&gt;0,ROUND(J80,2),0)</f>
        <v>0</v>
      </c>
      <c r="U741" s="279"/>
      <c r="V741" s="280"/>
      <c r="W741" s="279"/>
      <c r="X741" s="279"/>
      <c r="Y741" s="279">
        <f t="shared" si="21"/>
        <v>18589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">
      <c r="A742" s="209" t="str">
        <f>RIGHT($C$83,3)&amp;"*"&amp;RIGHT($C$82,4)&amp;"*"&amp;K$55&amp;"*"&amp;"A"</f>
        <v>054*2021*6200*A</v>
      </c>
      <c r="B742" s="279">
        <f>ROUND(K59,0)</f>
        <v>6793</v>
      </c>
      <c r="C742" s="281">
        <f>ROUND(K60,2)</f>
        <v>29.94</v>
      </c>
      <c r="D742" s="279">
        <f>ROUND(K61,0)</f>
        <v>1920369</v>
      </c>
      <c r="E742" s="279">
        <f>ROUND(K62,0)</f>
        <v>592944</v>
      </c>
      <c r="F742" s="279">
        <f>ROUND(K63,0)</f>
        <v>73318</v>
      </c>
      <c r="G742" s="279">
        <f>ROUND(K64,0)</f>
        <v>88275</v>
      </c>
      <c r="H742" s="279">
        <f>ROUND(K65,0)</f>
        <v>598</v>
      </c>
      <c r="I742" s="279">
        <f>ROUND(K66,0)</f>
        <v>12236</v>
      </c>
      <c r="J742" s="279">
        <f>ROUND(K67,0)</f>
        <v>58081</v>
      </c>
      <c r="K742" s="279">
        <f>ROUND(K68,0)</f>
        <v>2880</v>
      </c>
      <c r="L742" s="279">
        <f>ROUND(K69,0)</f>
        <v>-3863</v>
      </c>
      <c r="M742" s="279">
        <f>ROUND(K70,0)</f>
        <v>0</v>
      </c>
      <c r="N742" s="279">
        <f>ROUND(K75,0)</f>
        <v>2011433</v>
      </c>
      <c r="O742" s="279">
        <f>ROUND(K73,0)</f>
        <v>2007475</v>
      </c>
      <c r="P742" s="279">
        <f>IF(K76&gt;0,ROUND(K76,0),0)</f>
        <v>2417</v>
      </c>
      <c r="Q742" s="279">
        <f>IF(K77&gt;0,ROUND(K77,0),0)</f>
        <v>20257</v>
      </c>
      <c r="R742" s="279">
        <f>IF(K78&gt;0,ROUND(K78,0),0)</f>
        <v>4992</v>
      </c>
      <c r="S742" s="279">
        <f>IF(K79&gt;0,ROUND(K79,0),0)</f>
        <v>70076</v>
      </c>
      <c r="T742" s="281">
        <f>IF(K80&gt;0,ROUND(K80,2),0)</f>
        <v>8.32</v>
      </c>
      <c r="U742" s="279"/>
      <c r="V742" s="280"/>
      <c r="W742" s="279"/>
      <c r="X742" s="279"/>
      <c r="Y742" s="279">
        <f t="shared" si="21"/>
        <v>1835823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">
      <c r="A743" s="209" t="str">
        <f>RIGHT($C$83,3)&amp;"*"&amp;RIGHT($C$82,4)&amp;"*"&amp;L$55&amp;"*"&amp;"A"</f>
        <v>054*2021*6210*A</v>
      </c>
      <c r="B743" s="279">
        <f>ROUND(L59,0)</f>
        <v>753</v>
      </c>
      <c r="C743" s="281">
        <f>ROUND(L60,2)</f>
        <v>2.74</v>
      </c>
      <c r="D743" s="279">
        <f>ROUND(L61,0)</f>
        <v>277821</v>
      </c>
      <c r="E743" s="279">
        <f>ROUND(L62,0)</f>
        <v>85782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10859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1348329</v>
      </c>
      <c r="O743" s="279">
        <f>ROUND(L73,0)</f>
        <v>1248516</v>
      </c>
      <c r="P743" s="279">
        <f>IF(L76&gt;0,ROUND(L76,0),0)</f>
        <v>1736</v>
      </c>
      <c r="Q743" s="279">
        <f>IF(L77&gt;0,ROUND(L77,0),0)</f>
        <v>0</v>
      </c>
      <c r="R743" s="279">
        <f>IF(L78&gt;0,ROUND(L78,0),0)</f>
        <v>0</v>
      </c>
      <c r="S743" s="279">
        <f>IF(L79&gt;0,ROUND(L79,0),0)</f>
        <v>11362</v>
      </c>
      <c r="T743" s="281">
        <f>IF(L80&gt;0,ROUND(L80,2),0)</f>
        <v>2.77</v>
      </c>
      <c r="U743" s="279"/>
      <c r="V743" s="280"/>
      <c r="W743" s="279"/>
      <c r="X743" s="279"/>
      <c r="Y743" s="279">
        <f t="shared" si="21"/>
        <v>221977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">
      <c r="A744" s="209" t="str">
        <f>RIGHT($C$83,3)&amp;"*"&amp;RIGHT($C$82,4)&amp;"*"&amp;M$55&amp;"*"&amp;"A"</f>
        <v>054*2021*6330*A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1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">
      <c r="A745" s="209" t="str">
        <f>RIGHT($C$83,3)&amp;"*"&amp;RIGHT($C$82,4)&amp;"*"&amp;N$55&amp;"*"&amp;"A"</f>
        <v>054*2021*6400*A</v>
      </c>
      <c r="B745" s="279">
        <f>ROUND(N59,0)</f>
        <v>0</v>
      </c>
      <c r="C745" s="281">
        <f>ROUND(N60,2)</f>
        <v>0</v>
      </c>
      <c r="D745" s="279">
        <f>ROUND(N61,0)</f>
        <v>0</v>
      </c>
      <c r="E745" s="279">
        <f>ROUND(N62,0)</f>
        <v>0</v>
      </c>
      <c r="F745" s="279">
        <f>ROUND(N63,0)</f>
        <v>0</v>
      </c>
      <c r="G745" s="279">
        <f>ROUND(N64,0)</f>
        <v>0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0</v>
      </c>
      <c r="O745" s="279">
        <f>ROUND(N73,0)</f>
        <v>0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0</v>
      </c>
      <c r="U745" s="279"/>
      <c r="V745" s="280"/>
      <c r="W745" s="279"/>
      <c r="X745" s="279"/>
      <c r="Y745" s="279">
        <f t="shared" si="21"/>
        <v>0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">
      <c r="A746" s="209" t="str">
        <f>RIGHT($C$83,3)&amp;"*"&amp;RIGHT($C$82,4)&amp;"*"&amp;O$55&amp;"*"&amp;"A"</f>
        <v>054*2021*7010*A</v>
      </c>
      <c r="B746" s="279">
        <f>ROUND(O59,0)</f>
        <v>78</v>
      </c>
      <c r="C746" s="281">
        <f>ROUND(O60,2)</f>
        <v>0.84</v>
      </c>
      <c r="D746" s="279">
        <f>ROUND(O61,0)</f>
        <v>184373</v>
      </c>
      <c r="E746" s="279">
        <f>ROUND(O62,0)</f>
        <v>56928</v>
      </c>
      <c r="F746" s="279">
        <f>ROUND(O63,0)</f>
        <v>243757</v>
      </c>
      <c r="G746" s="279">
        <f>ROUND(O64,0)</f>
        <v>6979</v>
      </c>
      <c r="H746" s="279">
        <f>ROUND(O65,0)</f>
        <v>0</v>
      </c>
      <c r="I746" s="279">
        <f>ROUND(O66,0)</f>
        <v>895</v>
      </c>
      <c r="J746" s="279">
        <f>ROUND(O67,0)</f>
        <v>10345</v>
      </c>
      <c r="K746" s="279">
        <f>ROUND(O68,0)</f>
        <v>0</v>
      </c>
      <c r="L746" s="279">
        <f>ROUND(O69,0)</f>
        <v>5247</v>
      </c>
      <c r="M746" s="279">
        <f>ROUND(O70,0)</f>
        <v>0</v>
      </c>
      <c r="N746" s="279">
        <f>ROUND(O75,0)</f>
        <v>218887</v>
      </c>
      <c r="O746" s="279">
        <f>ROUND(O73,0)</f>
        <v>182356</v>
      </c>
      <c r="P746" s="279">
        <f>IF(O76&gt;0,ROUND(O76,0),0)</f>
        <v>526</v>
      </c>
      <c r="Q746" s="279">
        <f>IF(O77&gt;0,ROUND(O77,0),0)</f>
        <v>0</v>
      </c>
      <c r="R746" s="279">
        <f>IF(O78&gt;0,ROUND(O78,0),0)</f>
        <v>0</v>
      </c>
      <c r="S746" s="279">
        <f>IF(O79&gt;0,ROUND(O79,0),0)</f>
        <v>2652</v>
      </c>
      <c r="T746" s="281">
        <f>IF(O80&gt;0,ROUND(O80,2),0)</f>
        <v>0.82</v>
      </c>
      <c r="U746" s="279"/>
      <c r="V746" s="280"/>
      <c r="W746" s="279"/>
      <c r="X746" s="279"/>
      <c r="Y746" s="279">
        <f t="shared" si="21"/>
        <v>94536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">
      <c r="A747" s="209" t="str">
        <f>RIGHT($C$83,3)&amp;"*"&amp;RIGHT($C$82,4)&amp;"*"&amp;P$55&amp;"*"&amp;"A"</f>
        <v>054*2021*7020*A</v>
      </c>
      <c r="B747" s="279">
        <f>ROUND(P59,0)</f>
        <v>9757</v>
      </c>
      <c r="C747" s="281">
        <f>ROUND(P60,2)</f>
        <v>4.26</v>
      </c>
      <c r="D747" s="279">
        <f>ROUND(P61,0)</f>
        <v>476739</v>
      </c>
      <c r="E747" s="279">
        <f>ROUND(P62,0)</f>
        <v>147201</v>
      </c>
      <c r="F747" s="279">
        <f>ROUND(P63,0)</f>
        <v>361</v>
      </c>
      <c r="G747" s="279">
        <f>ROUND(P64,0)</f>
        <v>113119</v>
      </c>
      <c r="H747" s="279">
        <f>ROUND(P65,0)</f>
        <v>11486</v>
      </c>
      <c r="I747" s="279">
        <f>ROUND(P66,0)</f>
        <v>28261</v>
      </c>
      <c r="J747" s="279">
        <f>ROUND(P67,0)</f>
        <v>156851</v>
      </c>
      <c r="K747" s="279">
        <f>ROUND(P68,0)</f>
        <v>0</v>
      </c>
      <c r="L747" s="279">
        <f>ROUND(P69,0)</f>
        <v>2245</v>
      </c>
      <c r="M747" s="279">
        <f>ROUND(P70,0)</f>
        <v>0</v>
      </c>
      <c r="N747" s="279">
        <f>ROUND(P75,0)</f>
        <v>2064862</v>
      </c>
      <c r="O747" s="279">
        <f>ROUND(P73,0)</f>
        <v>367784</v>
      </c>
      <c r="P747" s="279">
        <f>IF(P76&gt;0,ROUND(P76,0),0)</f>
        <v>6021</v>
      </c>
      <c r="Q747" s="279">
        <f>IF(P77&gt;0,ROUND(P77,0),0)</f>
        <v>0</v>
      </c>
      <c r="R747" s="279">
        <f>IF(P78&gt;0,ROUND(P78,0),0)</f>
        <v>0</v>
      </c>
      <c r="S747" s="279">
        <f>IF(P79&gt;0,ROUND(P79,0),0)</f>
        <v>2988</v>
      </c>
      <c r="T747" s="281">
        <f>IF(P80&gt;0,ROUND(P80,2),0)</f>
        <v>1.53</v>
      </c>
      <c r="U747" s="279"/>
      <c r="V747" s="280"/>
      <c r="W747" s="279"/>
      <c r="X747" s="279"/>
      <c r="Y747" s="279">
        <f t="shared" si="21"/>
        <v>417502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">
      <c r="A748" s="209" t="str">
        <f>RIGHT($C$83,3)&amp;"*"&amp;RIGHT($C$82,4)&amp;"*"&amp;Q$55&amp;"*"&amp;"A"</f>
        <v>054*2021*7030*A</v>
      </c>
      <c r="B748" s="279">
        <f>ROUND(Q59,0)</f>
        <v>7664</v>
      </c>
      <c r="C748" s="281">
        <f>ROUND(Q60,2)</f>
        <v>0.05</v>
      </c>
      <c r="D748" s="279">
        <f>ROUND(Q61,0)</f>
        <v>5849</v>
      </c>
      <c r="E748" s="279">
        <f>ROUND(Q62,0)</f>
        <v>1806</v>
      </c>
      <c r="F748" s="279">
        <f>ROUND(Q63,0)</f>
        <v>0</v>
      </c>
      <c r="G748" s="279">
        <f>ROUND(Q64,0)</f>
        <v>0</v>
      </c>
      <c r="H748" s="279">
        <f>ROUND(Q65,0)</f>
        <v>0</v>
      </c>
      <c r="I748" s="279">
        <f>ROUND(Q66,0)</f>
        <v>0</v>
      </c>
      <c r="J748" s="279">
        <f>ROUND(Q67,0)</f>
        <v>0</v>
      </c>
      <c r="K748" s="279">
        <f>ROUND(Q68,0)</f>
        <v>0</v>
      </c>
      <c r="L748" s="279">
        <f>ROUND(Q69,0)</f>
        <v>0</v>
      </c>
      <c r="M748" s="279">
        <f>ROUND(Q70,0)</f>
        <v>0</v>
      </c>
      <c r="N748" s="279">
        <f>ROUND(Q75,0)</f>
        <v>190137</v>
      </c>
      <c r="O748" s="279">
        <f>ROUND(Q73,0)</f>
        <v>11122</v>
      </c>
      <c r="P748" s="279">
        <f>IF(Q76&gt;0,ROUND(Q76,0),0)</f>
        <v>0</v>
      </c>
      <c r="Q748" s="279">
        <f>IF(Q77&gt;0,ROUND(Q77,0),0)</f>
        <v>0</v>
      </c>
      <c r="R748" s="279">
        <f>IF(Q78&gt;0,ROUND(Q78,0),0)</f>
        <v>0</v>
      </c>
      <c r="S748" s="279">
        <f>IF(Q79&gt;0,ROUND(Q79,0),0)</f>
        <v>1004</v>
      </c>
      <c r="T748" s="281">
        <f>IF(Q80&gt;0,ROUND(Q80,2),0)</f>
        <v>0.04</v>
      </c>
      <c r="U748" s="279"/>
      <c r="V748" s="280"/>
      <c r="W748" s="279"/>
      <c r="X748" s="279"/>
      <c r="Y748" s="279">
        <f t="shared" si="21"/>
        <v>14570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">
      <c r="A749" s="209" t="str">
        <f>RIGHT($C$83,3)&amp;"*"&amp;RIGHT($C$82,4)&amp;"*"&amp;R$55&amp;"*"&amp;"A"</f>
        <v>054*2021*7040*A</v>
      </c>
      <c r="B749" s="279">
        <f>ROUND(R59,0)</f>
        <v>17473</v>
      </c>
      <c r="C749" s="281">
        <f>ROUND(R60,2)</f>
        <v>1.07</v>
      </c>
      <c r="D749" s="279">
        <f>ROUND(R61,0)</f>
        <v>420178</v>
      </c>
      <c r="E749" s="279">
        <f>ROUND(R62,0)</f>
        <v>129737</v>
      </c>
      <c r="F749" s="279">
        <f>ROUND(R63,0)</f>
        <v>0</v>
      </c>
      <c r="G749" s="279">
        <f>ROUND(R64,0)</f>
        <v>14760</v>
      </c>
      <c r="H749" s="279">
        <f>ROUND(R65,0)</f>
        <v>0</v>
      </c>
      <c r="I749" s="279">
        <f>ROUND(R66,0)</f>
        <v>4545</v>
      </c>
      <c r="J749" s="279">
        <f>ROUND(R67,0)</f>
        <v>10124</v>
      </c>
      <c r="K749" s="279">
        <f>ROUND(R68,0)</f>
        <v>0</v>
      </c>
      <c r="L749" s="279">
        <f>ROUND(R69,0)</f>
        <v>11116</v>
      </c>
      <c r="M749" s="279">
        <f>ROUND(R70,0)</f>
        <v>0</v>
      </c>
      <c r="N749" s="279">
        <f>ROUND(R75,0)</f>
        <v>1702828</v>
      </c>
      <c r="O749" s="279">
        <f>ROUND(R73,0)</f>
        <v>273483</v>
      </c>
      <c r="P749" s="279">
        <f>IF(R76&gt;0,ROUND(R76,0),0)</f>
        <v>0</v>
      </c>
      <c r="Q749" s="279">
        <f>IF(R77&gt;0,ROUND(R77,0),0)</f>
        <v>0</v>
      </c>
      <c r="R749" s="279">
        <f>IF(R78&gt;0,ROUND(R78,0),0)</f>
        <v>0</v>
      </c>
      <c r="S749" s="279">
        <f>IF(R79&gt;0,ROUND(R79,0),0)</f>
        <v>0</v>
      </c>
      <c r="T749" s="281">
        <f>IF(R80&gt;0,ROUND(R80,2),0)</f>
        <v>1.07</v>
      </c>
      <c r="U749" s="279"/>
      <c r="V749" s="280"/>
      <c r="W749" s="279"/>
      <c r="X749" s="279"/>
      <c r="Y749" s="279">
        <f t="shared" si="21"/>
        <v>172493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">
      <c r="A750" s="209" t="str">
        <f>RIGHT($C$83,3)&amp;"*"&amp;RIGHT($C$82,4)&amp;"*"&amp;S$55&amp;"*"&amp;"A"</f>
        <v>054*2021*7050*A</v>
      </c>
      <c r="B750" s="279"/>
      <c r="C750" s="281">
        <f>ROUND(S60,2)</f>
        <v>1.85</v>
      </c>
      <c r="D750" s="279">
        <f>ROUND(S61,0)</f>
        <v>61907</v>
      </c>
      <c r="E750" s="279">
        <f>ROUND(S62,0)</f>
        <v>19115</v>
      </c>
      <c r="F750" s="279">
        <f>ROUND(S63,0)</f>
        <v>0</v>
      </c>
      <c r="G750" s="279">
        <f>ROUND(S64,0)</f>
        <v>86168</v>
      </c>
      <c r="H750" s="279">
        <f>ROUND(S65,0)</f>
        <v>0</v>
      </c>
      <c r="I750" s="279">
        <f>ROUND(S66,0)</f>
        <v>874</v>
      </c>
      <c r="J750" s="279">
        <f>ROUND(S67,0)</f>
        <v>9445</v>
      </c>
      <c r="K750" s="279">
        <f>ROUND(S68,0)</f>
        <v>0</v>
      </c>
      <c r="L750" s="279">
        <f>ROUND(S69,0)</f>
        <v>795</v>
      </c>
      <c r="M750" s="279">
        <f>ROUND(S70,0)</f>
        <v>0</v>
      </c>
      <c r="N750" s="279">
        <f>ROUND(S75,0)</f>
        <v>373202</v>
      </c>
      <c r="O750" s="279">
        <f>ROUND(S73,0)</f>
        <v>88428</v>
      </c>
      <c r="P750" s="279">
        <f>IF(S76&gt;0,ROUND(S76,0),0)</f>
        <v>1510</v>
      </c>
      <c r="Q750" s="279">
        <f>IF(S77&gt;0,ROUND(S77,0),0)</f>
        <v>0</v>
      </c>
      <c r="R750" s="279">
        <f>IF(S78&gt;0,ROUND(S78,0),0)</f>
        <v>140</v>
      </c>
      <c r="S750" s="279">
        <f>IF(S79&gt;0,ROUND(S79,0),0)</f>
        <v>0</v>
      </c>
      <c r="T750" s="281">
        <f>IF(S80&gt;0,ROUND(S80,2),0)</f>
        <v>0</v>
      </c>
      <c r="U750" s="279"/>
      <c r="V750" s="280"/>
      <c r="W750" s="279"/>
      <c r="X750" s="279"/>
      <c r="Y750" s="279">
        <f t="shared" si="21"/>
        <v>96859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">
      <c r="A751" s="209" t="str">
        <f>RIGHT($C$83,3)&amp;"*"&amp;RIGHT($C$82,4)&amp;"*"&amp;T$55&amp;"*"&amp;"A"</f>
        <v>054*2021*7060*A</v>
      </c>
      <c r="B751" s="279"/>
      <c r="C751" s="281">
        <f>ROUND(T60,2)</f>
        <v>0</v>
      </c>
      <c r="D751" s="279">
        <f>ROUND(T61,0)</f>
        <v>0</v>
      </c>
      <c r="E751" s="279">
        <f>ROUND(T62,0)</f>
        <v>0</v>
      </c>
      <c r="F751" s="279">
        <f>ROUND(T63,0)</f>
        <v>0</v>
      </c>
      <c r="G751" s="279">
        <f>ROUND(T64,0)</f>
        <v>0</v>
      </c>
      <c r="H751" s="279">
        <f>ROUND(T65,0)</f>
        <v>0</v>
      </c>
      <c r="I751" s="279">
        <f>ROUND(T66,0)</f>
        <v>0</v>
      </c>
      <c r="J751" s="279">
        <f>ROUND(T67,0)</f>
        <v>0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0</v>
      </c>
      <c r="O751" s="279">
        <f>ROUND(T73,0)</f>
        <v>0</v>
      </c>
      <c r="P751" s="279">
        <f>IF(T76&gt;0,ROUND(T76,0),0)</f>
        <v>0</v>
      </c>
      <c r="Q751" s="279">
        <f>IF(T77&gt;0,ROUND(T77,0),0)</f>
        <v>0</v>
      </c>
      <c r="R751" s="279">
        <f>IF(T78&gt;0,ROUND(T78,0),0)</f>
        <v>0</v>
      </c>
      <c r="S751" s="279">
        <f>IF(T79&gt;0,ROUND(T79,0),0)</f>
        <v>0</v>
      </c>
      <c r="T751" s="281">
        <f>IF(T80&gt;0,ROUND(T80,2),0)</f>
        <v>0</v>
      </c>
      <c r="U751" s="279"/>
      <c r="V751" s="280"/>
      <c r="W751" s="279"/>
      <c r="X751" s="279"/>
      <c r="Y751" s="279">
        <f t="shared" si="21"/>
        <v>0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">
      <c r="A752" s="209" t="str">
        <f>RIGHT($C$83,3)&amp;"*"&amp;RIGHT($C$82,4)&amp;"*"&amp;U$55&amp;"*"&amp;"A"</f>
        <v>054*2021*7070*A</v>
      </c>
      <c r="B752" s="279">
        <f>ROUND(U59,0)</f>
        <v>66530</v>
      </c>
      <c r="C752" s="281">
        <f>ROUND(U60,2)</f>
        <v>8.94</v>
      </c>
      <c r="D752" s="279">
        <f>ROUND(U61,0)</f>
        <v>590424</v>
      </c>
      <c r="E752" s="279">
        <f>ROUND(U62,0)</f>
        <v>182303</v>
      </c>
      <c r="F752" s="279">
        <f>ROUND(U63,0)</f>
        <v>322564</v>
      </c>
      <c r="G752" s="279">
        <f>ROUND(U64,0)</f>
        <v>1158105</v>
      </c>
      <c r="H752" s="279">
        <f>ROUND(U65,0)</f>
        <v>835</v>
      </c>
      <c r="I752" s="279">
        <f>ROUND(U66,0)</f>
        <v>60661</v>
      </c>
      <c r="J752" s="279">
        <f>ROUND(U67,0)</f>
        <v>70163</v>
      </c>
      <c r="K752" s="279">
        <f>ROUND(U68,0)</f>
        <v>23135</v>
      </c>
      <c r="L752" s="279">
        <f>ROUND(U69,0)</f>
        <v>8718</v>
      </c>
      <c r="M752" s="279">
        <f>ROUND(U70,0)</f>
        <v>0</v>
      </c>
      <c r="N752" s="279">
        <f>ROUND(U75,0)</f>
        <v>9661772</v>
      </c>
      <c r="O752" s="279">
        <f>ROUND(U73,0)</f>
        <v>660111</v>
      </c>
      <c r="P752" s="279">
        <f>IF(U76&gt;0,ROUND(U76,0),0)</f>
        <v>1260</v>
      </c>
      <c r="Q752" s="279">
        <f>IF(U77&gt;0,ROUND(U77,0),0)</f>
        <v>0</v>
      </c>
      <c r="R752" s="279">
        <f>IF(U78&gt;0,ROUND(U78,0),0)</f>
        <v>452</v>
      </c>
      <c r="S752" s="279">
        <f>IF(U79&gt;0,ROUND(U79,0),0)</f>
        <v>0</v>
      </c>
      <c r="T752" s="281">
        <f>IF(U80&gt;0,ROUND(U80,2),0)</f>
        <v>0</v>
      </c>
      <c r="U752" s="279"/>
      <c r="V752" s="280"/>
      <c r="W752" s="279"/>
      <c r="X752" s="279"/>
      <c r="Y752" s="279">
        <f t="shared" si="21"/>
        <v>960072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">
      <c r="A753" s="209" t="str">
        <f>RIGHT($C$83,3)&amp;"*"&amp;RIGHT($C$82,4)&amp;"*"&amp;V$55&amp;"*"&amp;"A"</f>
        <v>054*2021*7110*A</v>
      </c>
      <c r="B753" s="279">
        <f>ROUND(V59,0)</f>
        <v>0</v>
      </c>
      <c r="C753" s="281">
        <f>ROUND(V60,2)</f>
        <v>0</v>
      </c>
      <c r="D753" s="279">
        <f>ROUND(V61,0)</f>
        <v>0</v>
      </c>
      <c r="E753" s="279">
        <f>ROUND(V62,0)</f>
        <v>0</v>
      </c>
      <c r="F753" s="279">
        <f>ROUND(V63,0)</f>
        <v>0</v>
      </c>
      <c r="G753" s="279">
        <f>ROUND(V64,0)</f>
        <v>0</v>
      </c>
      <c r="H753" s="279">
        <f>ROUND(V65,0)</f>
        <v>0</v>
      </c>
      <c r="I753" s="279">
        <f>ROUND(V66,0)</f>
        <v>0</v>
      </c>
      <c r="J753" s="279">
        <f>ROUND(V67,0)</f>
        <v>1476</v>
      </c>
      <c r="K753" s="279">
        <f>ROUND(V68,0)</f>
        <v>0</v>
      </c>
      <c r="L753" s="279">
        <f>ROUND(V69,0)</f>
        <v>0</v>
      </c>
      <c r="M753" s="279">
        <f>ROUND(V70,0)</f>
        <v>0</v>
      </c>
      <c r="N753" s="279">
        <f>ROUND(V75,0)</f>
        <v>0</v>
      </c>
      <c r="O753" s="279">
        <f>ROUND(V73,0)</f>
        <v>0</v>
      </c>
      <c r="P753" s="279">
        <f>IF(V76&gt;0,ROUND(V76,0),0)</f>
        <v>236</v>
      </c>
      <c r="Q753" s="279">
        <f>IF(V77&gt;0,ROUND(V77,0),0)</f>
        <v>0</v>
      </c>
      <c r="R753" s="279">
        <f>IF(V78&gt;0,ROUND(V78,0),0)</f>
        <v>0</v>
      </c>
      <c r="S753" s="279">
        <f>IF(V79&gt;0,ROUND(V79,0),0)</f>
        <v>0</v>
      </c>
      <c r="T753" s="281">
        <f>IF(V80&gt;0,ROUND(V80,2),0)</f>
        <v>0</v>
      </c>
      <c r="U753" s="279"/>
      <c r="V753" s="280"/>
      <c r="W753" s="279"/>
      <c r="X753" s="279"/>
      <c r="Y753" s="279">
        <f t="shared" si="21"/>
        <v>6601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">
      <c r="A754" s="209" t="str">
        <f>RIGHT($C$83,3)&amp;"*"&amp;RIGHT($C$82,4)&amp;"*"&amp;W$55&amp;"*"&amp;"A"</f>
        <v>054*2021*7120*A</v>
      </c>
      <c r="B754" s="279">
        <f>ROUND(W59,0)</f>
        <v>3810</v>
      </c>
      <c r="C754" s="281">
        <f>ROUND(W60,2)</f>
        <v>0</v>
      </c>
      <c r="D754" s="279">
        <f>ROUND(W61,0)</f>
        <v>0</v>
      </c>
      <c r="E754" s="279">
        <f>ROUND(W62,0)</f>
        <v>0</v>
      </c>
      <c r="F754" s="279">
        <f>ROUND(W63,0)</f>
        <v>143054</v>
      </c>
      <c r="G754" s="279">
        <f>ROUND(W64,0)</f>
        <v>2903</v>
      </c>
      <c r="H754" s="279">
        <f>ROUND(W65,0)</f>
        <v>0</v>
      </c>
      <c r="I754" s="279">
        <f>ROUND(W66,0)</f>
        <v>0</v>
      </c>
      <c r="J754" s="279">
        <f>ROUND(W67,0)</f>
        <v>0</v>
      </c>
      <c r="K754" s="279">
        <f>ROUND(W68,0)</f>
        <v>0</v>
      </c>
      <c r="L754" s="279">
        <f>ROUND(W69,0)</f>
        <v>0</v>
      </c>
      <c r="M754" s="279">
        <f>ROUND(W70,0)</f>
        <v>0</v>
      </c>
      <c r="N754" s="279">
        <f>ROUND(W75,0)</f>
        <v>1239047</v>
      </c>
      <c r="O754" s="279">
        <f>ROUND(W73,0)</f>
        <v>18133</v>
      </c>
      <c r="P754" s="279">
        <f>IF(W76&gt;0,ROUND(W76,0),0)</f>
        <v>0</v>
      </c>
      <c r="Q754" s="279">
        <f>IF(W77&gt;0,ROUND(W77,0),0)</f>
        <v>0</v>
      </c>
      <c r="R754" s="279">
        <f>IF(W78&gt;0,ROUND(W78,0),0)</f>
        <v>0</v>
      </c>
      <c r="S754" s="279">
        <f>IF(W79&gt;0,ROUND(W79,0),0)</f>
        <v>235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1"/>
        <v>87614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">
      <c r="A755" s="209" t="str">
        <f>RIGHT($C$83,3)&amp;"*"&amp;RIGHT($C$82,4)&amp;"*"&amp;X$55&amp;"*"&amp;"A"</f>
        <v>054*2021*7130*A</v>
      </c>
      <c r="B755" s="279">
        <f>ROUND(X59,0)</f>
        <v>10102</v>
      </c>
      <c r="C755" s="281">
        <f>ROUND(X60,2)</f>
        <v>0</v>
      </c>
      <c r="D755" s="279">
        <f>ROUND(X61,0)</f>
        <v>0</v>
      </c>
      <c r="E755" s="279">
        <f>ROUND(X62,0)</f>
        <v>0</v>
      </c>
      <c r="F755" s="279">
        <f>ROUND(X63,0)</f>
        <v>0</v>
      </c>
      <c r="G755" s="279">
        <f>ROUND(X64,0)</f>
        <v>13850</v>
      </c>
      <c r="H755" s="279">
        <f>ROUND(X65,0)</f>
        <v>0</v>
      </c>
      <c r="I755" s="279">
        <f>ROUND(X66,0)</f>
        <v>65168</v>
      </c>
      <c r="J755" s="279">
        <f>ROUND(X67,0)</f>
        <v>0</v>
      </c>
      <c r="K755" s="279">
        <f>ROUND(X68,0)</f>
        <v>0</v>
      </c>
      <c r="L755" s="279">
        <f>ROUND(X69,0)</f>
        <v>0</v>
      </c>
      <c r="M755" s="279">
        <f>ROUND(X70,0)</f>
        <v>0</v>
      </c>
      <c r="N755" s="279">
        <f>ROUND(X75,0)</f>
        <v>5180005</v>
      </c>
      <c r="O755" s="279">
        <f>ROUND(X73,0)</f>
        <v>263923</v>
      </c>
      <c r="P755" s="279">
        <f>IF(X76&gt;0,ROUND(X76,0),0)</f>
        <v>0</v>
      </c>
      <c r="Q755" s="279">
        <f>IF(X77&gt;0,ROUND(X77,0),0)</f>
        <v>0</v>
      </c>
      <c r="R755" s="279">
        <f>IF(X78&gt;0,ROUND(X78,0),0)</f>
        <v>205</v>
      </c>
      <c r="S755" s="279">
        <f>IF(X79&gt;0,ROUND(X79,0),0)</f>
        <v>1696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1"/>
        <v>323459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">
      <c r="A756" s="209" t="str">
        <f>RIGHT($C$83,3)&amp;"*"&amp;RIGHT($C$82,4)&amp;"*"&amp;Y$55&amp;"*"&amp;"A"</f>
        <v>054*2021*7140*A</v>
      </c>
      <c r="B756" s="279">
        <f>ROUND(Y59,0)</f>
        <v>6677</v>
      </c>
      <c r="C756" s="281">
        <f>ROUND(Y60,2)</f>
        <v>9.85</v>
      </c>
      <c r="D756" s="279">
        <f>ROUND(Y61,0)</f>
        <v>1093749</v>
      </c>
      <c r="E756" s="279">
        <f>ROUND(Y62,0)</f>
        <v>337712</v>
      </c>
      <c r="F756" s="279">
        <f>ROUND(Y63,0)</f>
        <v>0</v>
      </c>
      <c r="G756" s="279">
        <f>ROUND(Y64,0)</f>
        <v>19689</v>
      </c>
      <c r="H756" s="279">
        <f>ROUND(Y65,0)</f>
        <v>1688</v>
      </c>
      <c r="I756" s="279">
        <f>ROUND(Y66,0)</f>
        <v>208549</v>
      </c>
      <c r="J756" s="279">
        <f>ROUND(Y67,0)</f>
        <v>111437</v>
      </c>
      <c r="K756" s="279">
        <f>ROUND(Y68,0)</f>
        <v>0</v>
      </c>
      <c r="L756" s="279">
        <f>ROUND(Y69,0)</f>
        <v>8918</v>
      </c>
      <c r="M756" s="279">
        <f>ROUND(Y70,0)</f>
        <v>0</v>
      </c>
      <c r="N756" s="279">
        <f>ROUND(Y75,0)</f>
        <v>4997183</v>
      </c>
      <c r="O756" s="279">
        <f>ROUND(Y73,0)</f>
        <v>179385</v>
      </c>
      <c r="P756" s="279">
        <f>IF(Y76&gt;0,ROUND(Y76,0),0)</f>
        <v>2491</v>
      </c>
      <c r="Q756" s="279">
        <f>IF(Y77&gt;0,ROUND(Y77,0),0)</f>
        <v>0</v>
      </c>
      <c r="R756" s="279">
        <f>IF(Y78&gt;0,ROUND(Y78,0),0)</f>
        <v>1282</v>
      </c>
      <c r="S756" s="279">
        <f>IF(Y79&gt;0,ROUND(Y79,0),0)</f>
        <v>409</v>
      </c>
      <c r="T756" s="281">
        <f>IF(Y80&gt;0,ROUND(Y80,2),0)</f>
        <v>0</v>
      </c>
      <c r="U756" s="279"/>
      <c r="V756" s="280"/>
      <c r="W756" s="279"/>
      <c r="X756" s="279"/>
      <c r="Y756" s="279">
        <f t="shared" si="21"/>
        <v>616385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">
      <c r="A757" s="209" t="str">
        <f>RIGHT($C$83,3)&amp;"*"&amp;RIGHT($C$82,4)&amp;"*"&amp;Z$55&amp;"*"&amp;"A"</f>
        <v>054*2021*7150*A</v>
      </c>
      <c r="B757" s="279">
        <f>ROUND(Z59,0)</f>
        <v>0</v>
      </c>
      <c r="C757" s="281">
        <f>ROUND(Z60,2)</f>
        <v>0</v>
      </c>
      <c r="D757" s="279">
        <f>ROUND(Z61,0)</f>
        <v>0</v>
      </c>
      <c r="E757" s="279">
        <f>ROUND(Z62,0)</f>
        <v>0</v>
      </c>
      <c r="F757" s="279">
        <f>ROUND(Z63,0)</f>
        <v>0</v>
      </c>
      <c r="G757" s="279">
        <f>ROUND(Z64,0)</f>
        <v>0</v>
      </c>
      <c r="H757" s="279">
        <f>ROUND(Z65,0)</f>
        <v>0</v>
      </c>
      <c r="I757" s="279">
        <f>ROUND(Z66,0)</f>
        <v>0</v>
      </c>
      <c r="J757" s="279">
        <f>ROUND(Z67,0)</f>
        <v>0</v>
      </c>
      <c r="K757" s="279">
        <f>ROUND(Z68,0)</f>
        <v>0</v>
      </c>
      <c r="L757" s="279">
        <f>ROUND(Z69,0)</f>
        <v>0</v>
      </c>
      <c r="M757" s="279">
        <f>ROUND(Z70,0)</f>
        <v>0</v>
      </c>
      <c r="N757" s="279">
        <f>ROUND(Z75,0)</f>
        <v>0</v>
      </c>
      <c r="O757" s="279">
        <f>ROUND(Z73,0)</f>
        <v>0</v>
      </c>
      <c r="P757" s="279">
        <f>IF(Z76&gt;0,ROUND(Z76,0),0)</f>
        <v>0</v>
      </c>
      <c r="Q757" s="279">
        <f>IF(Z77&gt;0,ROUND(Z77,0),0)</f>
        <v>0</v>
      </c>
      <c r="R757" s="279">
        <f>IF(Z78&gt;0,ROUND(Z78,0),0)</f>
        <v>0</v>
      </c>
      <c r="S757" s="279">
        <f>IF(Z79&gt;0,ROUND(Z79,0),0)</f>
        <v>0</v>
      </c>
      <c r="T757" s="281">
        <f>IF(Z80&gt;0,ROUND(Z80,2),0)</f>
        <v>0</v>
      </c>
      <c r="U757" s="279"/>
      <c r="V757" s="280"/>
      <c r="W757" s="279"/>
      <c r="X757" s="279"/>
      <c r="Y757" s="279">
        <f t="shared" si="21"/>
        <v>0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">
      <c r="A758" s="209" t="str">
        <f>RIGHT($C$83,3)&amp;"*"&amp;RIGHT($C$82,4)&amp;"*"&amp;AA$55&amp;"*"&amp;"A"</f>
        <v>054*2021*7160*A</v>
      </c>
      <c r="B758" s="279">
        <f>ROUND(AA59,0)</f>
        <v>406</v>
      </c>
      <c r="C758" s="281">
        <f>ROUND(AA60,2)</f>
        <v>0</v>
      </c>
      <c r="D758" s="279">
        <f>ROUND(AA61,0)</f>
        <v>0</v>
      </c>
      <c r="E758" s="279">
        <f>ROUND(AA62,0)</f>
        <v>0</v>
      </c>
      <c r="F758" s="279">
        <f>ROUND(AA63,0)</f>
        <v>61600</v>
      </c>
      <c r="G758" s="279">
        <f>ROUND(AA64,0)</f>
        <v>13339</v>
      </c>
      <c r="H758" s="279">
        <f>ROUND(AA65,0)</f>
        <v>0</v>
      </c>
      <c r="I758" s="279">
        <f>ROUND(AA66,0)</f>
        <v>254</v>
      </c>
      <c r="J758" s="279">
        <f>ROUND(AA67,0)</f>
        <v>0</v>
      </c>
      <c r="K758" s="279">
        <f>ROUND(AA68,0)</f>
        <v>0</v>
      </c>
      <c r="L758" s="279">
        <f>ROUND(AA69,0)</f>
        <v>0</v>
      </c>
      <c r="M758" s="279">
        <f>ROUND(AA70,0)</f>
        <v>0</v>
      </c>
      <c r="N758" s="279">
        <f>ROUND(AA75,0)</f>
        <v>282274</v>
      </c>
      <c r="O758" s="279">
        <f>ROUND(AA73,0)</f>
        <v>6082</v>
      </c>
      <c r="P758" s="279">
        <f>IF(AA76&gt;0,ROUND(AA76,0),0)</f>
        <v>0</v>
      </c>
      <c r="Q758" s="279">
        <f>IF(AA77&gt;0,ROUND(AA77,0),0)</f>
        <v>0</v>
      </c>
      <c r="R758" s="279">
        <f>IF(AA78&gt;0,ROUND(AA78,0),0)</f>
        <v>0</v>
      </c>
      <c r="S758" s="279">
        <f>IF(AA79&gt;0,ROUND(AA79,0),0)</f>
        <v>27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1"/>
        <v>25023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">
      <c r="A759" s="209" t="str">
        <f>RIGHT($C$83,3)&amp;"*"&amp;RIGHT($C$82,4)&amp;"*"&amp;AB$55&amp;"*"&amp;"A"</f>
        <v>054*2021*7170*A</v>
      </c>
      <c r="B759" s="279"/>
      <c r="C759" s="281">
        <f>ROUND(AB60,2)</f>
        <v>2.09</v>
      </c>
      <c r="D759" s="279">
        <f>ROUND(AB61,0)</f>
        <v>240256</v>
      </c>
      <c r="E759" s="279">
        <f>ROUND(AB62,0)</f>
        <v>74183</v>
      </c>
      <c r="F759" s="279">
        <f>ROUND(AB63,0)</f>
        <v>49052</v>
      </c>
      <c r="G759" s="279">
        <f>ROUND(AB64,0)</f>
        <v>947889</v>
      </c>
      <c r="H759" s="279">
        <f>ROUND(AB65,0)</f>
        <v>2467</v>
      </c>
      <c r="I759" s="279">
        <f>ROUND(AB66,0)</f>
        <v>102808</v>
      </c>
      <c r="J759" s="279">
        <f>ROUND(AB67,0)</f>
        <v>10917</v>
      </c>
      <c r="K759" s="279">
        <f>ROUND(AB68,0)</f>
        <v>40407</v>
      </c>
      <c r="L759" s="279">
        <f>ROUND(AB69,0)</f>
        <v>12427</v>
      </c>
      <c r="M759" s="279">
        <f>ROUND(AB70,0)</f>
        <v>0</v>
      </c>
      <c r="N759" s="279">
        <f>ROUND(AB75,0)</f>
        <v>4238912</v>
      </c>
      <c r="O759" s="279">
        <f>ROUND(AB73,0)</f>
        <v>809057</v>
      </c>
      <c r="P759" s="279">
        <f>IF(AB76&gt;0,ROUND(AB76,0),0)</f>
        <v>394</v>
      </c>
      <c r="Q759" s="279">
        <f>IF(AB77&gt;0,ROUND(AB77,0),0)</f>
        <v>0</v>
      </c>
      <c r="R759" s="279">
        <f>IF(AB78&gt;0,ROUND(AB78,0),0)</f>
        <v>130</v>
      </c>
      <c r="S759" s="279">
        <f>IF(AB79&gt;0,ROUND(AB79,0),0)</f>
        <v>0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1"/>
        <v>483704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">
      <c r="A760" s="209" t="str">
        <f>RIGHT($C$83,3)&amp;"*"&amp;RIGHT($C$82,4)&amp;"*"&amp;AC$55&amp;"*"&amp;"A"</f>
        <v>054*2021*7180*A</v>
      </c>
      <c r="B760" s="279">
        <f>ROUND(AC59,0)</f>
        <v>427</v>
      </c>
      <c r="C760" s="281">
        <f>ROUND(AC60,2)</f>
        <v>1.04</v>
      </c>
      <c r="D760" s="279">
        <f>ROUND(AC61,0)</f>
        <v>89625</v>
      </c>
      <c r="E760" s="279">
        <f>ROUND(AC62,0)</f>
        <v>27673</v>
      </c>
      <c r="F760" s="279">
        <f>ROUND(AC63,0)</f>
        <v>0</v>
      </c>
      <c r="G760" s="279">
        <f>ROUND(AC64,0)</f>
        <v>8062</v>
      </c>
      <c r="H760" s="279">
        <f>ROUND(AC65,0)</f>
        <v>0</v>
      </c>
      <c r="I760" s="279">
        <f>ROUND(AC66,0)</f>
        <v>1763</v>
      </c>
      <c r="J760" s="279">
        <f>ROUND(AC67,0)</f>
        <v>11091</v>
      </c>
      <c r="K760" s="279">
        <f>ROUND(AC68,0)</f>
        <v>0</v>
      </c>
      <c r="L760" s="279">
        <f>ROUND(AC69,0)</f>
        <v>0</v>
      </c>
      <c r="M760" s="279">
        <f>ROUND(AC70,0)</f>
        <v>0</v>
      </c>
      <c r="N760" s="279">
        <f>ROUND(AC75,0)</f>
        <v>95098</v>
      </c>
      <c r="O760" s="279">
        <f>ROUND(AC73,0)</f>
        <v>65660</v>
      </c>
      <c r="P760" s="279">
        <f>IF(AC76&gt;0,ROUND(AC76,0),0)</f>
        <v>752</v>
      </c>
      <c r="Q760" s="279">
        <f>IF(AC77&gt;0,ROUND(AC77,0),0)</f>
        <v>0</v>
      </c>
      <c r="R760" s="279">
        <f>IF(AC78&gt;0,ROUND(AC78,0),0)</f>
        <v>169</v>
      </c>
      <c r="S760" s="279">
        <f>IF(AC79&gt;0,ROUND(AC79,0),0)</f>
        <v>160</v>
      </c>
      <c r="T760" s="281">
        <f>IF(AC80&gt;0,ROUND(AC80,2),0)</f>
        <v>0</v>
      </c>
      <c r="U760" s="279"/>
      <c r="V760" s="280"/>
      <c r="W760" s="279"/>
      <c r="X760" s="279"/>
      <c r="Y760" s="279">
        <f t="shared" si="21"/>
        <v>50379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">
      <c r="A761" s="209" t="str">
        <f>RIGHT($C$83,3)&amp;"*"&amp;RIGHT($C$82,4)&amp;"*"&amp;AD$55&amp;"*"&amp;"A"</f>
        <v>054*2021*7190*A</v>
      </c>
      <c r="B761" s="279">
        <f>ROUND(AD59,0)</f>
        <v>0</v>
      </c>
      <c r="C761" s="281">
        <f>ROUND(AD60,2)</f>
        <v>0</v>
      </c>
      <c r="D761" s="279">
        <f>ROUND(AD61,0)</f>
        <v>0</v>
      </c>
      <c r="E761" s="279">
        <f>ROUND(AD62,0)</f>
        <v>0</v>
      </c>
      <c r="F761" s="279">
        <f>ROUND(AD63,0)</f>
        <v>0</v>
      </c>
      <c r="G761" s="279">
        <f>ROUND(AD64,0)</f>
        <v>0</v>
      </c>
      <c r="H761" s="279">
        <f>ROUND(AD65,0)</f>
        <v>0</v>
      </c>
      <c r="I761" s="279">
        <f>ROUND(AD66,0)</f>
        <v>0</v>
      </c>
      <c r="J761" s="279">
        <f>ROUND(AD67,0)</f>
        <v>0</v>
      </c>
      <c r="K761" s="279">
        <f>ROUND(AD68,0)</f>
        <v>0</v>
      </c>
      <c r="L761" s="279">
        <f>ROUND(AD69,0)</f>
        <v>0</v>
      </c>
      <c r="M761" s="279">
        <f>ROUND(AD70,0)</f>
        <v>0</v>
      </c>
      <c r="N761" s="279">
        <f>ROUND(AD75,0)</f>
        <v>0</v>
      </c>
      <c r="O761" s="279">
        <f>ROUND(AD73,0)</f>
        <v>0</v>
      </c>
      <c r="P761" s="279">
        <f>IF(AD76&gt;0,ROUND(AD76,0),0)</f>
        <v>0</v>
      </c>
      <c r="Q761" s="279">
        <f>IF(AD77&gt;0,ROUND(AD77,0),0)</f>
        <v>0</v>
      </c>
      <c r="R761" s="279">
        <f>IF(AD78&gt;0,ROUND(AD78,0),0)</f>
        <v>0</v>
      </c>
      <c r="S761" s="279">
        <f>IF(AD79&gt;0,ROUND(AD79,0),0)</f>
        <v>0</v>
      </c>
      <c r="T761" s="281">
        <f>IF(AD80&gt;0,ROUND(AD80,2),0)</f>
        <v>0</v>
      </c>
      <c r="U761" s="279"/>
      <c r="V761" s="280"/>
      <c r="W761" s="279"/>
      <c r="X761" s="279"/>
      <c r="Y761" s="279">
        <f t="shared" si="21"/>
        <v>0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">
      <c r="A762" s="209" t="str">
        <f>RIGHT($C$83,3)&amp;"*"&amp;RIGHT($C$82,4)&amp;"*"&amp;AE$55&amp;"*"&amp;"A"</f>
        <v>054*2021*7200*A</v>
      </c>
      <c r="B762" s="279">
        <f>ROUND(AE59,0)</f>
        <v>6277</v>
      </c>
      <c r="C762" s="281">
        <f>ROUND(AE60,2)</f>
        <v>9.24</v>
      </c>
      <c r="D762" s="279">
        <f>ROUND(AE61,0)</f>
        <v>630091</v>
      </c>
      <c r="E762" s="279">
        <f>ROUND(AE62,0)</f>
        <v>194550</v>
      </c>
      <c r="F762" s="279">
        <f>ROUND(AE63,0)</f>
        <v>76063</v>
      </c>
      <c r="G762" s="279">
        <f>ROUND(AE64,0)</f>
        <v>17099</v>
      </c>
      <c r="H762" s="279">
        <f>ROUND(AE65,0)</f>
        <v>565</v>
      </c>
      <c r="I762" s="279">
        <f>ROUND(AE66,0)</f>
        <v>2408</v>
      </c>
      <c r="J762" s="279">
        <f>ROUND(AE67,0)</f>
        <v>25795</v>
      </c>
      <c r="K762" s="279">
        <f>ROUND(AE68,0)</f>
        <v>0</v>
      </c>
      <c r="L762" s="279">
        <f>ROUND(AE69,0)</f>
        <v>8112</v>
      </c>
      <c r="M762" s="279">
        <f>ROUND(AE70,0)</f>
        <v>0</v>
      </c>
      <c r="N762" s="279">
        <f>ROUND(AE75,0)</f>
        <v>3600096</v>
      </c>
      <c r="O762" s="279">
        <f>ROUND(AE73,0)</f>
        <v>278609</v>
      </c>
      <c r="P762" s="279">
        <f>IF(AE76&gt;0,ROUND(AE76,0),0)</f>
        <v>2996</v>
      </c>
      <c r="Q762" s="279">
        <f>IF(AE77&gt;0,ROUND(AE77,0),0)</f>
        <v>0</v>
      </c>
      <c r="R762" s="279">
        <f>IF(AE78&gt;0,ROUND(AE78,0),0)</f>
        <v>400</v>
      </c>
      <c r="S762" s="279">
        <f>IF(AE79&gt;0,ROUND(AE79,0),0)</f>
        <v>6192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1"/>
        <v>438438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">
      <c r="A763" s="209" t="str">
        <f>RIGHT($C$83,3)&amp;"*"&amp;RIGHT($C$82,4)&amp;"*"&amp;AF$55&amp;"*"&amp;"A"</f>
        <v>054*2021*7220*A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1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">
      <c r="A764" s="209" t="str">
        <f>RIGHT($C$83,3)&amp;"*"&amp;RIGHT($C$82,4)&amp;"*"&amp;AG$55&amp;"*"&amp;"A"</f>
        <v>054*2021*7230*A</v>
      </c>
      <c r="B764" s="279">
        <f>ROUND(AG59,0)</f>
        <v>4621</v>
      </c>
      <c r="C764" s="281">
        <f>ROUND(AG60,2)</f>
        <v>5.1100000000000003</v>
      </c>
      <c r="D764" s="279">
        <f>ROUND(AG61,0)</f>
        <v>538020</v>
      </c>
      <c r="E764" s="279">
        <f>ROUND(AG62,0)</f>
        <v>166122</v>
      </c>
      <c r="F764" s="279">
        <f>ROUND(AG63,0)</f>
        <v>894169</v>
      </c>
      <c r="G764" s="279">
        <f>ROUND(AG64,0)</f>
        <v>54066</v>
      </c>
      <c r="H764" s="279">
        <f>ROUND(AG65,0)</f>
        <v>1299</v>
      </c>
      <c r="I764" s="279">
        <f>ROUND(AG66,0)</f>
        <v>11126</v>
      </c>
      <c r="J764" s="279">
        <f>ROUND(AG67,0)</f>
        <v>38861</v>
      </c>
      <c r="K764" s="279">
        <f>ROUND(AG68,0)</f>
        <v>0</v>
      </c>
      <c r="L764" s="279">
        <f>ROUND(AG69,0)</f>
        <v>13660</v>
      </c>
      <c r="M764" s="279">
        <f>ROUND(AG70,0)</f>
        <v>0</v>
      </c>
      <c r="N764" s="279">
        <f>ROUND(AG75,0)</f>
        <v>8202775</v>
      </c>
      <c r="O764" s="279">
        <f>ROUND(AG73,0)</f>
        <v>0</v>
      </c>
      <c r="P764" s="279">
        <f>IF(AG76&gt;0,ROUND(AG76,0),0)</f>
        <v>1577</v>
      </c>
      <c r="Q764" s="279">
        <f>IF(AG77&gt;0,ROUND(AG77,0),0)</f>
        <v>0</v>
      </c>
      <c r="R764" s="279">
        <f>IF(AG78&gt;0,ROUND(AG78,0),0)</f>
        <v>2158</v>
      </c>
      <c r="S764" s="279">
        <f>IF(AG79&gt;0,ROUND(AG79,0),0)</f>
        <v>11341</v>
      </c>
      <c r="T764" s="281">
        <f>IF(AG80&gt;0,ROUND(AG80,2),0)</f>
        <v>1.07</v>
      </c>
      <c r="U764" s="279"/>
      <c r="V764" s="280"/>
      <c r="W764" s="279"/>
      <c r="X764" s="279"/>
      <c r="Y764" s="279">
        <f t="shared" si="21"/>
        <v>838006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">
      <c r="A765" s="209" t="str">
        <f>RIGHT($C$83,3)&amp;"*"&amp;RIGHT($C$82,4)&amp;"*"&amp;AH$55&amp;"*"&amp;"A"</f>
        <v>054*2021*7240*A</v>
      </c>
      <c r="B765" s="279">
        <f>ROUND(AH59,0)</f>
        <v>909</v>
      </c>
      <c r="C765" s="281">
        <f>ROUND(AH60,2)</f>
        <v>4.4800000000000004</v>
      </c>
      <c r="D765" s="279">
        <f>ROUND(AH61,0)</f>
        <v>236555</v>
      </c>
      <c r="E765" s="279">
        <f>ROUND(AH62,0)</f>
        <v>73040</v>
      </c>
      <c r="F765" s="279">
        <f>ROUND(AH63,0)</f>
        <v>0</v>
      </c>
      <c r="G765" s="279">
        <f>ROUND(AH64,0)</f>
        <v>43916</v>
      </c>
      <c r="H765" s="279">
        <f>ROUND(AH65,0)</f>
        <v>16200</v>
      </c>
      <c r="I765" s="279">
        <f>ROUND(AH66,0)</f>
        <v>33793</v>
      </c>
      <c r="J765" s="279">
        <f>ROUND(AH67,0)</f>
        <v>151425</v>
      </c>
      <c r="K765" s="279">
        <f>ROUND(AH68,0)</f>
        <v>4146</v>
      </c>
      <c r="L765" s="279">
        <f>ROUND(AH69,0)</f>
        <v>21702</v>
      </c>
      <c r="M765" s="279">
        <f>ROUND(AH70,0)</f>
        <v>0</v>
      </c>
      <c r="N765" s="279">
        <f>ROUND(AH75,0)</f>
        <v>886084</v>
      </c>
      <c r="O765" s="279">
        <f>ROUND(AH73,0)</f>
        <v>52785</v>
      </c>
      <c r="P765" s="279">
        <f>IF(AH76&gt;0,ROUND(AH76,0),0)</f>
        <v>1650</v>
      </c>
      <c r="Q765" s="279">
        <f>IF(AH77&gt;0,ROUND(AH77,0),0)</f>
        <v>0</v>
      </c>
      <c r="R765" s="279">
        <f>IF(AH78&gt;0,ROUND(AH78,0),0)</f>
        <v>182</v>
      </c>
      <c r="S765" s="279">
        <f>IF(AH79&gt;0,ROUND(AH79,0),0)</f>
        <v>6107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1"/>
        <v>188665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">
      <c r="A766" s="209" t="str">
        <f>RIGHT($C$83,3)&amp;"*"&amp;RIGHT($C$82,4)&amp;"*"&amp;AI$55&amp;"*"&amp;"A"</f>
        <v>054*2021*7250*A</v>
      </c>
      <c r="B766" s="279">
        <f>ROUND(AI59,0)</f>
        <v>543</v>
      </c>
      <c r="C766" s="281">
        <f>ROUND(AI60,2)</f>
        <v>1.1299999999999999</v>
      </c>
      <c r="D766" s="279">
        <f>ROUND(AI61,0)</f>
        <v>114494</v>
      </c>
      <c r="E766" s="279">
        <f>ROUND(AI62,0)</f>
        <v>35352</v>
      </c>
      <c r="F766" s="279">
        <f>ROUND(AI63,0)</f>
        <v>0</v>
      </c>
      <c r="G766" s="279">
        <f>ROUND(AI64,0)</f>
        <v>0</v>
      </c>
      <c r="H766" s="279">
        <f>ROUND(AI65,0)</f>
        <v>0</v>
      </c>
      <c r="I766" s="279">
        <f>ROUND(AI66,0)</f>
        <v>0</v>
      </c>
      <c r="J766" s="279">
        <f>ROUND(AI67,0)</f>
        <v>0</v>
      </c>
      <c r="K766" s="279">
        <f>ROUND(AI68,0)</f>
        <v>0</v>
      </c>
      <c r="L766" s="279">
        <f>ROUND(AI69,0)</f>
        <v>0</v>
      </c>
      <c r="M766" s="279">
        <f>ROUND(AI70,0)</f>
        <v>0</v>
      </c>
      <c r="N766" s="279">
        <f>ROUND(AI75,0)</f>
        <v>1155643</v>
      </c>
      <c r="O766" s="279">
        <f>ROUND(AI73,0)</f>
        <v>138137</v>
      </c>
      <c r="P766" s="279">
        <f>IF(AI76&gt;0,ROUND(AI76,0),0)</f>
        <v>0</v>
      </c>
      <c r="Q766" s="279">
        <f>IF(AI77&gt;0,ROUND(AI77,0),0)</f>
        <v>0</v>
      </c>
      <c r="R766" s="279">
        <f>IF(AI78&gt;0,ROUND(AI78,0),0)</f>
        <v>0</v>
      </c>
      <c r="S766" s="279">
        <f>IF(AI79&gt;0,ROUND(AI79,0),0)</f>
        <v>8291</v>
      </c>
      <c r="T766" s="281">
        <f>IF(AI80&gt;0,ROUND(AI80,2),0)</f>
        <v>1.1299999999999999</v>
      </c>
      <c r="U766" s="279"/>
      <c r="V766" s="280"/>
      <c r="W766" s="279"/>
      <c r="X766" s="279"/>
      <c r="Y766" s="279">
        <f t="shared" si="21"/>
        <v>114269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">
      <c r="A767" s="209" t="str">
        <f>RIGHT($C$83,3)&amp;"*"&amp;RIGHT($C$82,4)&amp;"*"&amp;AJ$55&amp;"*"&amp;"A"</f>
        <v>054*2021*7260*A</v>
      </c>
      <c r="B767" s="279">
        <f>ROUND(AJ59,0)</f>
        <v>16324</v>
      </c>
      <c r="C767" s="281">
        <f>ROUND(AJ60,2)</f>
        <v>34</v>
      </c>
      <c r="D767" s="279">
        <f>ROUND(AJ61,0)</f>
        <v>3424155</v>
      </c>
      <c r="E767" s="279">
        <f>ROUND(AJ62,0)</f>
        <v>1057262</v>
      </c>
      <c r="F767" s="279">
        <f>ROUND(AJ63,0)</f>
        <v>304668</v>
      </c>
      <c r="G767" s="279">
        <f>ROUND(AJ64,0)</f>
        <v>199942</v>
      </c>
      <c r="H767" s="279">
        <f>ROUND(AJ65,0)</f>
        <v>73179</v>
      </c>
      <c r="I767" s="279">
        <f>ROUND(AJ66,0)</f>
        <v>56368</v>
      </c>
      <c r="J767" s="279">
        <f>ROUND(AJ67,0)</f>
        <v>101938</v>
      </c>
      <c r="K767" s="279">
        <f>ROUND(AJ68,0)</f>
        <v>1301</v>
      </c>
      <c r="L767" s="279">
        <f>ROUND(AJ69,0)</f>
        <v>48969</v>
      </c>
      <c r="M767" s="279">
        <f>ROUND(AJ70,0)</f>
        <v>0</v>
      </c>
      <c r="N767" s="279">
        <f>ROUND(AJ75,0)</f>
        <v>5682431</v>
      </c>
      <c r="O767" s="279">
        <f>ROUND(AJ73,0)</f>
        <v>0</v>
      </c>
      <c r="P767" s="279">
        <f>IF(AJ76&gt;0,ROUND(AJ76,0),0)</f>
        <v>12086</v>
      </c>
      <c r="Q767" s="279">
        <f>IF(AJ77&gt;0,ROUND(AJ77,0),0)</f>
        <v>0</v>
      </c>
      <c r="R767" s="279">
        <f>IF(AJ78&gt;0,ROUND(AJ78,0),0)</f>
        <v>3900</v>
      </c>
      <c r="S767" s="279">
        <f>IF(AJ79&gt;0,ROUND(AJ79,0),0)</f>
        <v>992</v>
      </c>
      <c r="T767" s="281">
        <f>IF(AJ80&gt;0,ROUND(AJ80,2),0)</f>
        <v>6.77</v>
      </c>
      <c r="U767" s="279"/>
      <c r="V767" s="280"/>
      <c r="W767" s="279"/>
      <c r="X767" s="279"/>
      <c r="Y767" s="279">
        <f t="shared" si="21"/>
        <v>1513212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">
      <c r="A768" s="209" t="str">
        <f>RIGHT($C$83,3)&amp;"*"&amp;RIGHT($C$82,4)&amp;"*"&amp;AK$55&amp;"*"&amp;"A"</f>
        <v>054*2021*7310*A</v>
      </c>
      <c r="B768" s="279">
        <f>ROUND(AK59,0)</f>
        <v>0</v>
      </c>
      <c r="C768" s="281">
        <f>ROUND(AK60,2)</f>
        <v>0</v>
      </c>
      <c r="D768" s="279">
        <f>ROUND(AK61,0)</f>
        <v>0</v>
      </c>
      <c r="E768" s="279">
        <f>ROUND(AK62,0)</f>
        <v>0</v>
      </c>
      <c r="F768" s="279">
        <f>ROUND(AK63,0)</f>
        <v>0</v>
      </c>
      <c r="G768" s="279">
        <f>ROUND(AK64,0)</f>
        <v>0</v>
      </c>
      <c r="H768" s="279">
        <f>ROUND(AK65,0)</f>
        <v>0</v>
      </c>
      <c r="I768" s="279">
        <f>ROUND(AK66,0)</f>
        <v>0</v>
      </c>
      <c r="J768" s="279">
        <f>ROUND(AK67,0)</f>
        <v>0</v>
      </c>
      <c r="K768" s="279">
        <f>ROUND(AK68,0)</f>
        <v>0</v>
      </c>
      <c r="L768" s="279">
        <f>ROUND(AK69,0)</f>
        <v>0</v>
      </c>
      <c r="M768" s="279">
        <f>ROUND(AK70,0)</f>
        <v>0</v>
      </c>
      <c r="N768" s="279">
        <f>ROUND(AK75,0)</f>
        <v>0</v>
      </c>
      <c r="O768" s="279">
        <f>ROUND(AK73,0)</f>
        <v>0</v>
      </c>
      <c r="P768" s="279">
        <f>IF(AK76&gt;0,ROUND(AK76,0),0)</f>
        <v>0</v>
      </c>
      <c r="Q768" s="279">
        <f>IF(AK77&gt;0,ROUND(AK77,0),0)</f>
        <v>0</v>
      </c>
      <c r="R768" s="279">
        <f>IF(AK78&gt;0,ROUND(AK78,0),0)</f>
        <v>0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1"/>
        <v>0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">
      <c r="A769" s="209" t="str">
        <f>RIGHT($C$83,3)&amp;"*"&amp;RIGHT($C$82,4)&amp;"*"&amp;AL$55&amp;"*"&amp;"A"</f>
        <v>054*2021*7320*A</v>
      </c>
      <c r="B769" s="279">
        <f>ROUND(AL59,0)</f>
        <v>0</v>
      </c>
      <c r="C769" s="281">
        <f>ROUND(AL60,2)</f>
        <v>0</v>
      </c>
      <c r="D769" s="279">
        <f>ROUND(AL61,0)</f>
        <v>0</v>
      </c>
      <c r="E769" s="279">
        <f>ROUND(AL62,0)</f>
        <v>0</v>
      </c>
      <c r="F769" s="279">
        <f>ROUND(AL63,0)</f>
        <v>0</v>
      </c>
      <c r="G769" s="279">
        <f>ROUND(AL64,0)</f>
        <v>0</v>
      </c>
      <c r="H769" s="279">
        <f>ROUND(AL65,0)</f>
        <v>0</v>
      </c>
      <c r="I769" s="279">
        <f>ROUND(AL66,0)</f>
        <v>0</v>
      </c>
      <c r="J769" s="279">
        <f>ROUND(AL67,0)</f>
        <v>0</v>
      </c>
      <c r="K769" s="279">
        <f>ROUND(AL68,0)</f>
        <v>0</v>
      </c>
      <c r="L769" s="279">
        <f>ROUND(AL69,0)</f>
        <v>0</v>
      </c>
      <c r="M769" s="279">
        <f>ROUND(AL70,0)</f>
        <v>0</v>
      </c>
      <c r="N769" s="279">
        <f>ROUND(AL75,0)</f>
        <v>0</v>
      </c>
      <c r="O769" s="279">
        <f>ROUND(AL73,0)</f>
        <v>0</v>
      </c>
      <c r="P769" s="279">
        <f>IF(AL76&gt;0,ROUND(AL76,0),0)</f>
        <v>0</v>
      </c>
      <c r="Q769" s="279">
        <f>IF(AL77&gt;0,ROUND(AL77,0),0)</f>
        <v>0</v>
      </c>
      <c r="R769" s="279">
        <f>IF(AL78&gt;0,ROUND(AL78,0),0)</f>
        <v>0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1"/>
        <v>0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">
      <c r="A770" s="209" t="str">
        <f>RIGHT($C$83,3)&amp;"*"&amp;RIGHT($C$82,4)&amp;"*"&amp;AM$55&amp;"*"&amp;"A"</f>
        <v>054*2021*7330*A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1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">
      <c r="A771" s="209" t="str">
        <f>RIGHT($C$83,3)&amp;"*"&amp;RIGHT($C$82,4)&amp;"*"&amp;AN$55&amp;"*"&amp;"A"</f>
        <v>054*2021*7340*A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1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">
      <c r="A772" s="209" t="str">
        <f>RIGHT($C$83,3)&amp;"*"&amp;RIGHT($C$82,4)&amp;"*"&amp;AO$55&amp;"*"&amp;"A"</f>
        <v>054*2021*7350*A</v>
      </c>
      <c r="B772" s="279">
        <f>ROUND(AO59,0)</f>
        <v>0</v>
      </c>
      <c r="C772" s="281">
        <f>ROUND(AO60,2)</f>
        <v>0</v>
      </c>
      <c r="D772" s="279">
        <f>ROUND(AO61,0)</f>
        <v>0</v>
      </c>
      <c r="E772" s="279">
        <f>ROUND(AO62,0)</f>
        <v>0</v>
      </c>
      <c r="F772" s="279">
        <f>ROUND(AO63,0)</f>
        <v>0</v>
      </c>
      <c r="G772" s="279">
        <f>ROUND(AO64,0)</f>
        <v>0</v>
      </c>
      <c r="H772" s="279">
        <f>ROUND(AO65,0)</f>
        <v>0</v>
      </c>
      <c r="I772" s="279">
        <f>ROUND(AO66,0)</f>
        <v>0</v>
      </c>
      <c r="J772" s="279">
        <f>ROUND(AO67,0)</f>
        <v>0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0</v>
      </c>
      <c r="O772" s="279">
        <f>ROUND(AO73,0)</f>
        <v>0</v>
      </c>
      <c r="P772" s="279">
        <f>IF(AO76&gt;0,ROUND(AO76,0),0)</f>
        <v>0</v>
      </c>
      <c r="Q772" s="279">
        <f>IF(AO77&gt;0,ROUND(AO77,0),0)</f>
        <v>0</v>
      </c>
      <c r="R772" s="279">
        <f>IF(AO78&gt;0,ROUND(AO78,0),0)</f>
        <v>0</v>
      </c>
      <c r="S772" s="279">
        <f>IF(AO79&gt;0,ROUND(AO79,0),0)</f>
        <v>0</v>
      </c>
      <c r="T772" s="281">
        <f>IF(AO80&gt;0,ROUND(AO80,2),0)</f>
        <v>0</v>
      </c>
      <c r="U772" s="279"/>
      <c r="V772" s="280"/>
      <c r="W772" s="279"/>
      <c r="X772" s="279"/>
      <c r="Y772" s="279">
        <f t="shared" si="21"/>
        <v>0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">
      <c r="A773" s="209" t="str">
        <f>RIGHT($C$83,3)&amp;"*"&amp;RIGHT($C$82,4)&amp;"*"&amp;AP$55&amp;"*"&amp;"A"</f>
        <v>054*2021*7380*A</v>
      </c>
      <c r="B773" s="279">
        <f>ROUND(AP59,0)</f>
        <v>0</v>
      </c>
      <c r="C773" s="281">
        <f>ROUND(AP60,2)</f>
        <v>0</v>
      </c>
      <c r="D773" s="279">
        <f>ROUND(AP61,0)</f>
        <v>0</v>
      </c>
      <c r="E773" s="279">
        <f>ROUND(AP62,0)</f>
        <v>0</v>
      </c>
      <c r="F773" s="279">
        <f>ROUND(AP63,0)</f>
        <v>0</v>
      </c>
      <c r="G773" s="279">
        <f>ROUND(AP64,0)</f>
        <v>0</v>
      </c>
      <c r="H773" s="279">
        <f>ROUND(AP65,0)</f>
        <v>0</v>
      </c>
      <c r="I773" s="279">
        <f>ROUND(AP66,0)</f>
        <v>0</v>
      </c>
      <c r="J773" s="279">
        <f>ROUND(AP67,0)</f>
        <v>0</v>
      </c>
      <c r="K773" s="279">
        <f>ROUND(AP68,0)</f>
        <v>0</v>
      </c>
      <c r="L773" s="279">
        <f>ROUND(AP69,0)</f>
        <v>0</v>
      </c>
      <c r="M773" s="279">
        <f>ROUND(AP70,0)</f>
        <v>0</v>
      </c>
      <c r="N773" s="279">
        <f>ROUND(AP75,0)</f>
        <v>0</v>
      </c>
      <c r="O773" s="279">
        <f>ROUND(AP73,0)</f>
        <v>0</v>
      </c>
      <c r="P773" s="279">
        <f>IF(AP76&gt;0,ROUND(AP76,0),0)</f>
        <v>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0</v>
      </c>
      <c r="T773" s="281">
        <f>IF(AP80&gt;0,ROUND(AP80,2),0)</f>
        <v>0</v>
      </c>
      <c r="U773" s="279"/>
      <c r="V773" s="280"/>
      <c r="W773" s="279"/>
      <c r="X773" s="279"/>
      <c r="Y773" s="279">
        <f t="shared" si="21"/>
        <v>0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">
      <c r="A774" s="209" t="str">
        <f>RIGHT($C$83,3)&amp;"*"&amp;RIGHT($C$82,4)&amp;"*"&amp;AQ$55&amp;"*"&amp;"A"</f>
        <v>054*2021*7390*A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1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">
      <c r="A775" s="209" t="str">
        <f>RIGHT($C$83,3)&amp;"*"&amp;RIGHT($C$82,4)&amp;"*"&amp;AR$55&amp;"*"&amp;"A"</f>
        <v>054*2021*7400*A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1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">
      <c r="A776" s="209" t="str">
        <f>RIGHT($C$83,3)&amp;"*"&amp;RIGHT($C$82,4)&amp;"*"&amp;AS$55&amp;"*"&amp;"A"</f>
        <v>054*2021*7410*A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1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">
      <c r="A777" s="209" t="str">
        <f>RIGHT($C$83,3)&amp;"*"&amp;RIGHT($C$82,4)&amp;"*"&amp;AT$55&amp;"*"&amp;"A"</f>
        <v>054*2021*7420*A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1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">
      <c r="A778" s="209" t="str">
        <f>RIGHT($C$83,3)&amp;"*"&amp;RIGHT($C$82,4)&amp;"*"&amp;AU$55&amp;"*"&amp;"A"</f>
        <v>054*2021*7430*A</v>
      </c>
      <c r="B778" s="279">
        <f>ROUND(AU59,0)</f>
        <v>10061</v>
      </c>
      <c r="C778" s="281">
        <f>ROUND(AU60,2)</f>
        <v>18.54</v>
      </c>
      <c r="D778" s="279">
        <f>ROUND(AU61,0)</f>
        <v>1105069</v>
      </c>
      <c r="E778" s="279">
        <f>ROUND(AU62,0)</f>
        <v>341207</v>
      </c>
      <c r="F778" s="279">
        <f>ROUND(AU63,0)</f>
        <v>18500</v>
      </c>
      <c r="G778" s="279">
        <f>ROUND(AU64,0)</f>
        <v>13186</v>
      </c>
      <c r="H778" s="279">
        <f>ROUND(AU65,0)</f>
        <v>18836</v>
      </c>
      <c r="I778" s="279">
        <f>ROUND(AU66,0)</f>
        <v>81556</v>
      </c>
      <c r="J778" s="279">
        <f>ROUND(AU67,0)</f>
        <v>12321</v>
      </c>
      <c r="K778" s="279">
        <f>ROUND(AU68,0)</f>
        <v>0</v>
      </c>
      <c r="L778" s="279">
        <f>ROUND(AU69,0)</f>
        <v>27477</v>
      </c>
      <c r="M778" s="279">
        <f>ROUND(AU70,0)</f>
        <v>0</v>
      </c>
      <c r="N778" s="279">
        <f>ROUND(AU75,0)</f>
        <v>1103482</v>
      </c>
      <c r="O778" s="279">
        <f>ROUND(AU73,0)</f>
        <v>0</v>
      </c>
      <c r="P778" s="279">
        <f>IF(AU76&gt;0,ROUND(AU76,0),0)</f>
        <v>1910</v>
      </c>
      <c r="Q778" s="279">
        <f>IF(AU77&gt;0,ROUND(AU77,0),0)</f>
        <v>0</v>
      </c>
      <c r="R778" s="279">
        <f>IF(AU78&gt;0,ROUND(AU78,0),0)</f>
        <v>338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1"/>
        <v>331658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">
      <c r="A779" s="209" t="str">
        <f>RIGHT($C$83,3)&amp;"*"&amp;RIGHT($C$82,4)&amp;"*"&amp;AV$55&amp;"*"&amp;"A"</f>
        <v>054*2021*7490*A</v>
      </c>
      <c r="B779" s="279"/>
      <c r="C779" s="281">
        <f>ROUND(AV60,2)</f>
        <v>2.54</v>
      </c>
      <c r="D779" s="279">
        <f>ROUND(AV61,0)</f>
        <v>174918</v>
      </c>
      <c r="E779" s="279">
        <f>ROUND(AV62,0)</f>
        <v>54009</v>
      </c>
      <c r="F779" s="279">
        <f>ROUND(AV63,0)</f>
        <v>78661</v>
      </c>
      <c r="G779" s="279">
        <f>ROUND(AV64,0)</f>
        <v>10429</v>
      </c>
      <c r="H779" s="279">
        <f>ROUND(AV65,0)</f>
        <v>1350</v>
      </c>
      <c r="I779" s="279">
        <f>ROUND(AV66,0)</f>
        <v>6666</v>
      </c>
      <c r="J779" s="279">
        <f>ROUND(AV67,0)</f>
        <v>24457</v>
      </c>
      <c r="K779" s="279">
        <f>ROUND(AV68,0)</f>
        <v>150</v>
      </c>
      <c r="L779" s="279">
        <f>ROUND(AV69,0)</f>
        <v>2239</v>
      </c>
      <c r="M779" s="279">
        <f>ROUND(AV70,0)</f>
        <v>0</v>
      </c>
      <c r="N779" s="279">
        <f>ROUND(AV75,0)</f>
        <v>2507700</v>
      </c>
      <c r="O779" s="279">
        <f>ROUND(AV73,0)</f>
        <v>42310</v>
      </c>
      <c r="P779" s="279">
        <f>IF(AV76&gt;0,ROUND(AV76,0),0)</f>
        <v>902</v>
      </c>
      <c r="Q779" s="279">
        <f>IF(AV77&gt;0,ROUND(AV77,0),0)</f>
        <v>0</v>
      </c>
      <c r="R779" s="279">
        <f>IF(AV78&gt;0,ROUND(AV78,0),0)</f>
        <v>130</v>
      </c>
      <c r="S779" s="279">
        <f>IF(AV79&gt;0,ROUND(AV79,0),0)</f>
        <v>0</v>
      </c>
      <c r="T779" s="281">
        <f>IF(AV80&gt;0,ROUND(AV80,2),0)</f>
        <v>0</v>
      </c>
      <c r="U779" s="279"/>
      <c r="V779" s="280"/>
      <c r="W779" s="279"/>
      <c r="X779" s="279"/>
      <c r="Y779" s="279">
        <f t="shared" si="21"/>
        <v>217714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">
      <c r="A780" s="209" t="str">
        <f>RIGHT($C$83,3)&amp;"*"&amp;RIGHT($C$82,4)&amp;"*"&amp;AW$55&amp;"*"&amp;"A"</f>
        <v>054*2021*8200*A</v>
      </c>
      <c r="B780" s="279"/>
      <c r="C780" s="281">
        <f>ROUND(AW60,2)</f>
        <v>0</v>
      </c>
      <c r="D780" s="279">
        <f>ROUND(AW61,0)</f>
        <v>0</v>
      </c>
      <c r="E780" s="279">
        <f>ROUND(AW62,0)</f>
        <v>0</v>
      </c>
      <c r="F780" s="279">
        <f>ROUND(AW63,0)</f>
        <v>0</v>
      </c>
      <c r="G780" s="279">
        <f>ROUND(AW64,0)</f>
        <v>0</v>
      </c>
      <c r="H780" s="279">
        <f>ROUND(AW65,0)</f>
        <v>0</v>
      </c>
      <c r="I780" s="279">
        <f>ROUND(AW66,0)</f>
        <v>0</v>
      </c>
      <c r="J780" s="279">
        <f>ROUND(AW67,0)</f>
        <v>0</v>
      </c>
      <c r="K780" s="279">
        <f>ROUND(AW68,0)</f>
        <v>0</v>
      </c>
      <c r="L780" s="279">
        <f>ROUND(AW69,0)</f>
        <v>0</v>
      </c>
      <c r="M780" s="279">
        <f>ROUND(AW70,0)</f>
        <v>0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">
      <c r="A781" s="209" t="str">
        <f>RIGHT($C$83,3)&amp;"*"&amp;RIGHT($C$82,4)&amp;"*"&amp;AX$55&amp;"*"&amp;"A"</f>
        <v>054*2021*8310*A</v>
      </c>
      <c r="B781" s="279"/>
      <c r="C781" s="281">
        <f>ROUND(AX60,2)</f>
        <v>0</v>
      </c>
      <c r="D781" s="279">
        <f>ROUND(AX61,0)</f>
        <v>0</v>
      </c>
      <c r="E781" s="279">
        <f>ROUND(AX62,0)</f>
        <v>0</v>
      </c>
      <c r="F781" s="279">
        <f>ROUND(AX63,0)</f>
        <v>0</v>
      </c>
      <c r="G781" s="279">
        <f>ROUND(AX64,0)</f>
        <v>0</v>
      </c>
      <c r="H781" s="279">
        <f>ROUND(AX65,0)</f>
        <v>0</v>
      </c>
      <c r="I781" s="279">
        <f>ROUND(AX66,0)</f>
        <v>0</v>
      </c>
      <c r="J781" s="279">
        <f>ROUND(AX67,0)</f>
        <v>0</v>
      </c>
      <c r="K781" s="279">
        <f>ROUND(AX68,0)</f>
        <v>0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">
      <c r="A782" s="209" t="str">
        <f>RIGHT($C$83,3)&amp;"*"&amp;RIGHT($C$82,4)&amp;"*"&amp;AY$55&amp;"*"&amp;"A"</f>
        <v>054*2021*8320*A</v>
      </c>
      <c r="B782" s="279">
        <f>ROUND(AY59,0)</f>
        <v>95955</v>
      </c>
      <c r="C782" s="281">
        <f>ROUND(AY60,2)</f>
        <v>11.36</v>
      </c>
      <c r="D782" s="279">
        <f>ROUND(AY61,0)</f>
        <v>519199</v>
      </c>
      <c r="E782" s="279">
        <f>ROUND(AY62,0)</f>
        <v>160311</v>
      </c>
      <c r="F782" s="279">
        <f>ROUND(AY63,0)</f>
        <v>2457</v>
      </c>
      <c r="G782" s="279">
        <f>ROUND(AY64,0)</f>
        <v>238877</v>
      </c>
      <c r="H782" s="279">
        <f>ROUND(AY65,0)</f>
        <v>0</v>
      </c>
      <c r="I782" s="279">
        <f>ROUND(AY66,0)</f>
        <v>4048</v>
      </c>
      <c r="J782" s="279">
        <f>ROUND(AY67,0)</f>
        <v>17282</v>
      </c>
      <c r="K782" s="279">
        <f>ROUND(AY68,0)</f>
        <v>0</v>
      </c>
      <c r="L782" s="279">
        <f>ROUND(AY69,0)</f>
        <v>2454</v>
      </c>
      <c r="M782" s="279">
        <f>ROUND(AY70,0)</f>
        <v>0</v>
      </c>
      <c r="N782" s="279"/>
      <c r="O782" s="279"/>
      <c r="P782" s="279">
        <f>IF(AY76&gt;0,ROUND(AY76,0),0)</f>
        <v>1054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">
      <c r="A783" s="209" t="str">
        <f>RIGHT($C$83,3)&amp;"*"&amp;RIGHT($C$82,4)&amp;"*"&amp;AZ$55&amp;"*"&amp;"A"</f>
        <v>054*2021*8330*A</v>
      </c>
      <c r="B783" s="279">
        <f>ROUND(AZ59,0)</f>
        <v>0</v>
      </c>
      <c r="C783" s="281">
        <f>ROUND(AZ60,2)</f>
        <v>0</v>
      </c>
      <c r="D783" s="279">
        <f>ROUND(AZ61,0)</f>
        <v>0</v>
      </c>
      <c r="E783" s="279">
        <f>ROUND(AZ62,0)</f>
        <v>0</v>
      </c>
      <c r="F783" s="279">
        <f>ROUND(AZ63,0)</f>
        <v>0</v>
      </c>
      <c r="G783" s="279">
        <f>ROUND(AZ64,0)</f>
        <v>0</v>
      </c>
      <c r="H783" s="279">
        <f>ROUND(AZ65,0)</f>
        <v>0</v>
      </c>
      <c r="I783" s="279">
        <f>ROUND(AZ66,0)</f>
        <v>0</v>
      </c>
      <c r="J783" s="279">
        <f>ROUND(AZ67,0)</f>
        <v>4604</v>
      </c>
      <c r="K783" s="279">
        <f>ROUND(AZ68,0)</f>
        <v>0</v>
      </c>
      <c r="L783" s="279">
        <f>ROUND(AZ69,0)</f>
        <v>0</v>
      </c>
      <c r="M783" s="279">
        <f>ROUND(AZ70,0)</f>
        <v>0</v>
      </c>
      <c r="N783" s="279"/>
      <c r="O783" s="279"/>
      <c r="P783" s="279">
        <f>IF(AZ76&gt;0,ROUND(AZ76,0),0)</f>
        <v>736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">
      <c r="A784" s="209" t="str">
        <f>RIGHT($C$83,3)&amp;"*"&amp;RIGHT($C$82,4)&amp;"*"&amp;BA$55&amp;"*"&amp;"A"</f>
        <v>054*2021*8350*A</v>
      </c>
      <c r="B784" s="279">
        <f>ROUND(BA59,0)</f>
        <v>0</v>
      </c>
      <c r="C784" s="281">
        <f>ROUND(BA60,2)</f>
        <v>0.57999999999999996</v>
      </c>
      <c r="D784" s="279">
        <f>ROUND(BA61,0)</f>
        <v>21396</v>
      </c>
      <c r="E784" s="279">
        <f>ROUND(BA62,0)</f>
        <v>6606</v>
      </c>
      <c r="F784" s="279">
        <f>ROUND(BA63,0)</f>
        <v>0</v>
      </c>
      <c r="G784" s="279">
        <f>ROUND(BA64,0)</f>
        <v>14035</v>
      </c>
      <c r="H784" s="279">
        <f>ROUND(BA65,0)</f>
        <v>0</v>
      </c>
      <c r="I784" s="279">
        <f>ROUND(BA66,0)</f>
        <v>97212</v>
      </c>
      <c r="J784" s="279">
        <f>ROUND(BA67,0)</f>
        <v>12850</v>
      </c>
      <c r="K784" s="279">
        <f>ROUND(BA68,0)</f>
        <v>0</v>
      </c>
      <c r="L784" s="279">
        <f>ROUND(BA69,0)</f>
        <v>43</v>
      </c>
      <c r="M784" s="279">
        <f>ROUND(BA70,0)</f>
        <v>0</v>
      </c>
      <c r="N784" s="279"/>
      <c r="O784" s="279"/>
      <c r="P784" s="279">
        <f>IF(BA76&gt;0,ROUND(BA76,0),0)</f>
        <v>747</v>
      </c>
      <c r="Q784" s="279">
        <f>IF(BA77&gt;0,ROUND(BA77,0),0)</f>
        <v>0</v>
      </c>
      <c r="R784" s="279">
        <f>IF(BA78&gt;0,ROUND(BA78,0),0)</f>
        <v>2496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">
      <c r="A785" s="209" t="str">
        <f>RIGHT($C$83,3)&amp;"*"&amp;RIGHT($C$82,4)&amp;"*"&amp;BB$55&amp;"*"&amp;"A"</f>
        <v>054*2021*8360*A</v>
      </c>
      <c r="B785" s="279"/>
      <c r="C785" s="281">
        <f>ROUND(BB60,2)</f>
        <v>1.4</v>
      </c>
      <c r="D785" s="279">
        <f>ROUND(BB61,0)</f>
        <v>121828</v>
      </c>
      <c r="E785" s="279">
        <f>ROUND(BB62,0)</f>
        <v>37616</v>
      </c>
      <c r="F785" s="279">
        <f>ROUND(BB63,0)</f>
        <v>199</v>
      </c>
      <c r="G785" s="279">
        <f>ROUND(BB64,0)</f>
        <v>1298</v>
      </c>
      <c r="H785" s="279">
        <f>ROUND(BB65,0)</f>
        <v>770</v>
      </c>
      <c r="I785" s="279">
        <f>ROUND(BB66,0)</f>
        <v>0</v>
      </c>
      <c r="J785" s="279">
        <f>ROUND(BB67,0)</f>
        <v>626</v>
      </c>
      <c r="K785" s="279">
        <f>ROUND(BB68,0)</f>
        <v>0</v>
      </c>
      <c r="L785" s="279">
        <f>ROUND(BB69,0)</f>
        <v>520</v>
      </c>
      <c r="M785" s="279">
        <f>ROUND(BB70,0)</f>
        <v>0</v>
      </c>
      <c r="N785" s="279"/>
      <c r="O785" s="279"/>
      <c r="P785" s="279">
        <f>IF(BB76&gt;0,ROUND(BB76,0),0)</f>
        <v>100</v>
      </c>
      <c r="Q785" s="279">
        <f>IF(BB77&gt;0,ROUND(BB77,0),0)</f>
        <v>0</v>
      </c>
      <c r="R785" s="279">
        <f>IF(BB78&gt;0,ROUND(BB78,0),0)</f>
        <v>65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">
      <c r="A786" s="209" t="str">
        <f>RIGHT($C$83,3)&amp;"*"&amp;RIGHT($C$82,4)&amp;"*"&amp;BC$55&amp;"*"&amp;"A"</f>
        <v>054*2021*8370*A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0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">
      <c r="A787" s="209" t="str">
        <f>RIGHT($C$83,3)&amp;"*"&amp;RIGHT($C$82,4)&amp;"*"&amp;BD$55&amp;"*"&amp;"A"</f>
        <v>054*2021*8420*A</v>
      </c>
      <c r="B787" s="279"/>
      <c r="C787" s="281">
        <f>ROUND(BD60,2)</f>
        <v>2.87</v>
      </c>
      <c r="D787" s="279">
        <f>ROUND(BD61,0)</f>
        <v>165275</v>
      </c>
      <c r="E787" s="279">
        <f>ROUND(BD62,0)</f>
        <v>51031</v>
      </c>
      <c r="F787" s="279">
        <f>ROUND(BD63,0)</f>
        <v>0</v>
      </c>
      <c r="G787" s="279">
        <f>ROUND(BD64,0)</f>
        <v>2125</v>
      </c>
      <c r="H787" s="279">
        <f>ROUND(BD65,0)</f>
        <v>901</v>
      </c>
      <c r="I787" s="279">
        <f>ROUND(BD66,0)</f>
        <v>-14605</v>
      </c>
      <c r="J787" s="279">
        <f>ROUND(BD67,0)</f>
        <v>626</v>
      </c>
      <c r="K787" s="279">
        <f>ROUND(BD68,0)</f>
        <v>0</v>
      </c>
      <c r="L787" s="279">
        <f>ROUND(BD69,0)</f>
        <v>3186</v>
      </c>
      <c r="M787" s="279">
        <f>ROUND(BD70,0)</f>
        <v>0</v>
      </c>
      <c r="N787" s="279"/>
      <c r="O787" s="279"/>
      <c r="P787" s="279">
        <f>IF(BD76&gt;0,ROUND(BD76,0),0)</f>
        <v>100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">
      <c r="A788" s="209" t="str">
        <f>RIGHT($C$83,3)&amp;"*"&amp;RIGHT($C$82,4)&amp;"*"&amp;BE$55&amp;"*"&amp;"A"</f>
        <v>054*2021*8430*A</v>
      </c>
      <c r="B788" s="279">
        <f>ROUND(BE59,0)</f>
        <v>56157</v>
      </c>
      <c r="C788" s="281">
        <f>ROUND(BE60,2)</f>
        <v>6.31</v>
      </c>
      <c r="D788" s="279">
        <f>ROUND(BE61,0)</f>
        <v>423070</v>
      </c>
      <c r="E788" s="279">
        <f>ROUND(BE62,0)</f>
        <v>130630</v>
      </c>
      <c r="F788" s="279">
        <f>ROUND(BE63,0)</f>
        <v>0</v>
      </c>
      <c r="G788" s="279">
        <f>ROUND(BE64,0)</f>
        <v>73293</v>
      </c>
      <c r="H788" s="279">
        <f>ROUND(BE65,0)</f>
        <v>338021</v>
      </c>
      <c r="I788" s="279">
        <f>ROUND(BE66,0)</f>
        <v>186738</v>
      </c>
      <c r="J788" s="279">
        <f>ROUND(BE67,0)</f>
        <v>17798</v>
      </c>
      <c r="K788" s="279">
        <f>ROUND(BE68,0)</f>
        <v>20270</v>
      </c>
      <c r="L788" s="279">
        <f>ROUND(BE69,0)</f>
        <v>4664</v>
      </c>
      <c r="M788" s="279">
        <f>ROUND(BE70,0)</f>
        <v>0</v>
      </c>
      <c r="N788" s="279"/>
      <c r="O788" s="279"/>
      <c r="P788" s="279">
        <f>IF(BE76&gt;0,ROUND(BE76,0),0)</f>
        <v>1764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">
      <c r="A789" s="209" t="str">
        <f>RIGHT($C$83,3)&amp;"*"&amp;RIGHT($C$82,4)&amp;"*"&amp;BF$55&amp;"*"&amp;"A"</f>
        <v>054*2021*8460*A</v>
      </c>
      <c r="B789" s="279"/>
      <c r="C789" s="281">
        <f>ROUND(BF60,2)</f>
        <v>13.47</v>
      </c>
      <c r="D789" s="279">
        <f>ROUND(BF61,0)</f>
        <v>539098</v>
      </c>
      <c r="E789" s="279">
        <f>ROUND(BF62,0)</f>
        <v>166455</v>
      </c>
      <c r="F789" s="279">
        <f>ROUND(BF63,0)</f>
        <v>0</v>
      </c>
      <c r="G789" s="279">
        <f>ROUND(BF64,0)</f>
        <v>73445</v>
      </c>
      <c r="H789" s="279">
        <f>ROUND(BF65,0)</f>
        <v>45</v>
      </c>
      <c r="I789" s="279">
        <f>ROUND(BF66,0)</f>
        <v>15937</v>
      </c>
      <c r="J789" s="279">
        <f>ROUND(BF67,0)</f>
        <v>2303</v>
      </c>
      <c r="K789" s="279">
        <f>ROUND(BF68,0)</f>
        <v>0</v>
      </c>
      <c r="L789" s="279">
        <f>ROUND(BF69,0)</f>
        <v>2354</v>
      </c>
      <c r="M789" s="279">
        <f>ROUND(BF70,0)</f>
        <v>0</v>
      </c>
      <c r="N789" s="279"/>
      <c r="O789" s="279"/>
      <c r="P789" s="279">
        <f>IF(BF76&gt;0,ROUND(BF76,0),0)</f>
        <v>115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">
      <c r="A790" s="209" t="str">
        <f>RIGHT($C$83,3)&amp;"*"&amp;RIGHT($C$82,4)&amp;"*"&amp;BG$55&amp;"*"&amp;"A"</f>
        <v>054*2021*8470*A</v>
      </c>
      <c r="B790" s="279"/>
      <c r="C790" s="281">
        <f>ROUND(BG60,2)</f>
        <v>0</v>
      </c>
      <c r="D790" s="279">
        <f>ROUND(BG61,0)</f>
        <v>0</v>
      </c>
      <c r="E790" s="279">
        <f>ROUND(BG62,0)</f>
        <v>0</v>
      </c>
      <c r="F790" s="279">
        <f>ROUND(BG63,0)</f>
        <v>0</v>
      </c>
      <c r="G790" s="279">
        <f>ROUND(BG64,0)</f>
        <v>0</v>
      </c>
      <c r="H790" s="279">
        <f>ROUND(BG65,0)</f>
        <v>0</v>
      </c>
      <c r="I790" s="279">
        <f>ROUND(BG66,0)</f>
        <v>0</v>
      </c>
      <c r="J790" s="279">
        <f>ROUND(BG67,0)</f>
        <v>0</v>
      </c>
      <c r="K790" s="279">
        <f>ROUND(BG68,0)</f>
        <v>0</v>
      </c>
      <c r="L790" s="279">
        <f>ROUND(BG69,0)</f>
        <v>0</v>
      </c>
      <c r="M790" s="279">
        <f>ROUND(BG70,0)</f>
        <v>0</v>
      </c>
      <c r="N790" s="279"/>
      <c r="O790" s="279"/>
      <c r="P790" s="279">
        <f>IF(BG76&gt;0,ROUND(BG76,0),0)</f>
        <v>0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">
      <c r="A791" s="209" t="str">
        <f>RIGHT($C$83,3)&amp;"*"&amp;RIGHT($C$82,4)&amp;"*"&amp;BH$55&amp;"*"&amp;"A"</f>
        <v>054*2021*8480*A</v>
      </c>
      <c r="B791" s="279"/>
      <c r="C791" s="281">
        <f>ROUND(BH60,2)</f>
        <v>3.7</v>
      </c>
      <c r="D791" s="279">
        <f>ROUND(BH61,0)</f>
        <v>299113</v>
      </c>
      <c r="E791" s="279">
        <f>ROUND(BH62,0)</f>
        <v>92356</v>
      </c>
      <c r="F791" s="279">
        <f>ROUND(BH63,0)</f>
        <v>0</v>
      </c>
      <c r="G791" s="279">
        <f>ROUND(BH64,0)</f>
        <v>19881</v>
      </c>
      <c r="H791" s="279">
        <f>ROUND(BH65,0)</f>
        <v>3841</v>
      </c>
      <c r="I791" s="279">
        <f>ROUND(BH66,0)</f>
        <v>381922</v>
      </c>
      <c r="J791" s="279">
        <f>ROUND(BH67,0)</f>
        <v>87735</v>
      </c>
      <c r="K791" s="279">
        <f>ROUND(BH68,0)</f>
        <v>0</v>
      </c>
      <c r="L791" s="279">
        <f>ROUND(BH69,0)</f>
        <v>61975</v>
      </c>
      <c r="M791" s="279">
        <f>ROUND(BH70,0)</f>
        <v>0</v>
      </c>
      <c r="N791" s="279"/>
      <c r="O791" s="279"/>
      <c r="P791" s="279">
        <f>IF(BH76&gt;0,ROUND(BH76,0),0)</f>
        <v>356</v>
      </c>
      <c r="Q791" s="279">
        <f>IF(BH77&gt;0,ROUND(BH77,0),0)</f>
        <v>0</v>
      </c>
      <c r="R791" s="279">
        <f>IF(BH78&gt;0,ROUND(BH78,0),0)</f>
        <v>0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">
      <c r="A792" s="209" t="str">
        <f>RIGHT($C$83,3)&amp;"*"&amp;RIGHT($C$82,4)&amp;"*"&amp;BI$55&amp;"*"&amp;"A"</f>
        <v>054*2021*8490*A</v>
      </c>
      <c r="B792" s="279"/>
      <c r="C792" s="281">
        <f>ROUND(BI60,2)</f>
        <v>0</v>
      </c>
      <c r="D792" s="279">
        <f>ROUND(BI61,0)</f>
        <v>0</v>
      </c>
      <c r="E792" s="279">
        <f>ROUND(BI62,0)</f>
        <v>0</v>
      </c>
      <c r="F792" s="279">
        <f>ROUND(BI63,0)</f>
        <v>0</v>
      </c>
      <c r="G792" s="279">
        <f>ROUND(BI64,0)</f>
        <v>0</v>
      </c>
      <c r="H792" s="279">
        <f>ROUND(BI65,0)</f>
        <v>0</v>
      </c>
      <c r="I792" s="279">
        <f>ROUND(BI66,0)</f>
        <v>0</v>
      </c>
      <c r="J792" s="279">
        <f>ROUND(BI67,0)</f>
        <v>0</v>
      </c>
      <c r="K792" s="279">
        <f>ROUND(BI68,0)</f>
        <v>0</v>
      </c>
      <c r="L792" s="279">
        <f>ROUND(BI69,0)</f>
        <v>0</v>
      </c>
      <c r="M792" s="279">
        <f>ROUND(BI70,0)</f>
        <v>0</v>
      </c>
      <c r="N792" s="279"/>
      <c r="O792" s="279"/>
      <c r="P792" s="279">
        <f>IF(BI76&gt;0,ROUND(BI76,0),0)</f>
        <v>0</v>
      </c>
      <c r="Q792" s="279">
        <f>IF(BI77&gt;0,ROUND(BI77,0),0)</f>
        <v>0</v>
      </c>
      <c r="R792" s="279">
        <f>IF(BI78&gt;0,ROUND(BI78,0),0)</f>
        <v>0</v>
      </c>
      <c r="S792" s="279">
        <f>IF(BI79&gt;0,ROUND(BI79,0),0)</f>
        <v>0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">
      <c r="A793" s="209" t="str">
        <f>RIGHT($C$83,3)&amp;"*"&amp;RIGHT($C$82,4)&amp;"*"&amp;BJ$55&amp;"*"&amp;"A"</f>
        <v>054*2021*8510*A</v>
      </c>
      <c r="B793" s="279"/>
      <c r="C793" s="281">
        <f>ROUND(BJ60,2)</f>
        <v>4.18</v>
      </c>
      <c r="D793" s="279">
        <f>ROUND(BJ61,0)</f>
        <v>238161</v>
      </c>
      <c r="E793" s="279">
        <f>ROUND(BJ62,0)</f>
        <v>73536</v>
      </c>
      <c r="F793" s="279">
        <f>ROUND(BJ63,0)</f>
        <v>191378</v>
      </c>
      <c r="G793" s="279">
        <f>ROUND(BJ64,0)</f>
        <v>4459</v>
      </c>
      <c r="H793" s="279">
        <f>ROUND(BJ65,0)</f>
        <v>494</v>
      </c>
      <c r="I793" s="279">
        <f>ROUND(BJ66,0)</f>
        <v>47210</v>
      </c>
      <c r="J793" s="279">
        <f>ROUND(BJ67,0)</f>
        <v>0</v>
      </c>
      <c r="K793" s="279">
        <f>ROUND(BJ68,0)</f>
        <v>0</v>
      </c>
      <c r="L793" s="279">
        <f>ROUND(BJ69,0)</f>
        <v>21438</v>
      </c>
      <c r="M793" s="279">
        <f>ROUND(BJ70,0)</f>
        <v>0</v>
      </c>
      <c r="N793" s="279"/>
      <c r="O793" s="279"/>
      <c r="P793" s="279">
        <f>IF(BJ76&gt;0,ROUND(BJ76,0),0)</f>
        <v>0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">
      <c r="A794" s="209" t="str">
        <f>RIGHT($C$83,3)&amp;"*"&amp;RIGHT($C$82,4)&amp;"*"&amp;BK$55&amp;"*"&amp;"A"</f>
        <v>054*2021*8530*A</v>
      </c>
      <c r="B794" s="279"/>
      <c r="C794" s="281">
        <f>ROUND(BK60,2)</f>
        <v>15.24</v>
      </c>
      <c r="D794" s="279">
        <f>ROUND(BK61,0)</f>
        <v>740789</v>
      </c>
      <c r="E794" s="279">
        <f>ROUND(BK62,0)</f>
        <v>228730</v>
      </c>
      <c r="F794" s="279">
        <f>ROUND(BK63,0)</f>
        <v>30</v>
      </c>
      <c r="G794" s="279">
        <f>ROUND(BK64,0)</f>
        <v>18066</v>
      </c>
      <c r="H794" s="279">
        <f>ROUND(BK65,0)</f>
        <v>1026</v>
      </c>
      <c r="I794" s="279">
        <f>ROUND(BK66,0)</f>
        <v>145084</v>
      </c>
      <c r="J794" s="279">
        <f>ROUND(BK67,0)</f>
        <v>11535</v>
      </c>
      <c r="K794" s="279">
        <f>ROUND(BK68,0)</f>
        <v>0</v>
      </c>
      <c r="L794" s="279">
        <f>ROUND(BK69,0)</f>
        <v>27027</v>
      </c>
      <c r="M794" s="279">
        <f>ROUND(BK70,0)</f>
        <v>0</v>
      </c>
      <c r="N794" s="279"/>
      <c r="O794" s="279"/>
      <c r="P794" s="279">
        <f>IF(BK76&gt;0,ROUND(BK76,0),0)</f>
        <v>1844</v>
      </c>
      <c r="Q794" s="279">
        <f>IF(BK77&gt;0,ROUND(BK77,0),0)</f>
        <v>0</v>
      </c>
      <c r="R794" s="279">
        <f>IF(BK78&gt;0,ROUND(BK78,0),0)</f>
        <v>372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">
      <c r="A795" s="209" t="str">
        <f>RIGHT($C$83,3)&amp;"*"&amp;RIGHT($C$82,4)&amp;"*"&amp;BL$55&amp;"*"&amp;"A"</f>
        <v>054*2021*8560*A</v>
      </c>
      <c r="B795" s="279"/>
      <c r="C795" s="281">
        <f>ROUND(BL60,2)</f>
        <v>5.87</v>
      </c>
      <c r="D795" s="279">
        <f>ROUND(BL61,0)</f>
        <v>273855</v>
      </c>
      <c r="E795" s="279">
        <f>ROUND(BL62,0)</f>
        <v>84557</v>
      </c>
      <c r="F795" s="279">
        <f>ROUND(BL63,0)</f>
        <v>17</v>
      </c>
      <c r="G795" s="279">
        <f>ROUND(BL64,0)</f>
        <v>13759</v>
      </c>
      <c r="H795" s="279">
        <f>ROUND(BL65,0)</f>
        <v>1495</v>
      </c>
      <c r="I795" s="279">
        <f>ROUND(BL66,0)</f>
        <v>1397</v>
      </c>
      <c r="J795" s="279">
        <f>ROUND(BL67,0)</f>
        <v>950</v>
      </c>
      <c r="K795" s="279">
        <f>ROUND(BL68,0)</f>
        <v>3833</v>
      </c>
      <c r="L795" s="279">
        <f>ROUND(BL69,0)</f>
        <v>614</v>
      </c>
      <c r="M795" s="279">
        <f>ROUND(BL70,0)</f>
        <v>0</v>
      </c>
      <c r="N795" s="279"/>
      <c r="O795" s="279"/>
      <c r="P795" s="279">
        <f>IF(BL76&gt;0,ROUND(BL76,0),0)</f>
        <v>148</v>
      </c>
      <c r="Q795" s="279">
        <f>IF(BL77&gt;0,ROUND(BL77,0),0)</f>
        <v>0</v>
      </c>
      <c r="R795" s="279">
        <f>IF(BL78&gt;0,ROUND(BL78,0),0)</f>
        <v>273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">
      <c r="A796" s="209" t="str">
        <f>RIGHT($C$83,3)&amp;"*"&amp;RIGHT($C$82,4)&amp;"*"&amp;BM$55&amp;"*"&amp;"A"</f>
        <v>054*2021*8590*A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">
      <c r="A797" s="209" t="str">
        <f>RIGHT($C$83,3)&amp;"*"&amp;RIGHT($C$82,4)&amp;"*"&amp;BN$55&amp;"*"&amp;"A"</f>
        <v>054*2021*8610*A</v>
      </c>
      <c r="B797" s="279"/>
      <c r="C797" s="281">
        <f>ROUND(BN60,2)</f>
        <v>5.0999999999999996</v>
      </c>
      <c r="D797" s="279">
        <f>ROUND(BN61,0)</f>
        <v>602556</v>
      </c>
      <c r="E797" s="279">
        <f>ROUND(BN62,0)</f>
        <v>186049</v>
      </c>
      <c r="F797" s="279">
        <f>ROUND(BN63,0)</f>
        <v>62623</v>
      </c>
      <c r="G797" s="279">
        <f>ROUND(BN64,0)</f>
        <v>35922</v>
      </c>
      <c r="H797" s="279">
        <f>ROUND(BN65,0)</f>
        <v>9657</v>
      </c>
      <c r="I797" s="279">
        <f>ROUND(BN66,0)</f>
        <v>138306</v>
      </c>
      <c r="J797" s="279">
        <f>ROUND(BN67,0)</f>
        <v>59683</v>
      </c>
      <c r="K797" s="279">
        <f>ROUND(BN68,0)</f>
        <v>59368</v>
      </c>
      <c r="L797" s="279">
        <f>ROUND(BN69,0)</f>
        <v>170202</v>
      </c>
      <c r="M797" s="279">
        <f>ROUND(BN70,0)</f>
        <v>0</v>
      </c>
      <c r="N797" s="279"/>
      <c r="O797" s="279"/>
      <c r="P797" s="279">
        <f>IF(BN76&gt;0,ROUND(BN76,0),0)</f>
        <v>6685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">
      <c r="A798" s="209" t="str">
        <f>RIGHT($C$83,3)&amp;"*"&amp;RIGHT($C$82,4)&amp;"*"&amp;BO$55&amp;"*"&amp;"A"</f>
        <v>054*2021*8620*A</v>
      </c>
      <c r="B798" s="279"/>
      <c r="C798" s="281">
        <f>ROUND(BO60,2)</f>
        <v>0.5</v>
      </c>
      <c r="D798" s="279">
        <f>ROUND(BO61,0)</f>
        <v>28524</v>
      </c>
      <c r="E798" s="279">
        <f>ROUND(BO62,0)</f>
        <v>8807</v>
      </c>
      <c r="F798" s="279">
        <f>ROUND(BO63,0)</f>
        <v>0</v>
      </c>
      <c r="G798" s="279">
        <f>ROUND(BO64,0)</f>
        <v>743</v>
      </c>
      <c r="H798" s="279">
        <f>ROUND(BO65,0)</f>
        <v>0</v>
      </c>
      <c r="I798" s="279">
        <f>ROUND(BO66,0)</f>
        <v>0</v>
      </c>
      <c r="J798" s="279">
        <f>ROUND(BO67,0)</f>
        <v>0</v>
      </c>
      <c r="K798" s="279">
        <f>ROUND(BO68,0)</f>
        <v>0</v>
      </c>
      <c r="L798" s="279">
        <f>ROUND(BO69,0)</f>
        <v>0</v>
      </c>
      <c r="M798" s="279">
        <f>ROUND(BO70,0)</f>
        <v>0</v>
      </c>
      <c r="N798" s="279"/>
      <c r="O798" s="279"/>
      <c r="P798" s="279">
        <f>IF(BO76&gt;0,ROUND(BO76,0),0)</f>
        <v>0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">
      <c r="A799" s="209" t="str">
        <f>RIGHT($C$83,3)&amp;"*"&amp;RIGHT($C$82,4)&amp;"*"&amp;BP$55&amp;"*"&amp;"A"</f>
        <v>054*2021*8630*A</v>
      </c>
      <c r="B799" s="279"/>
      <c r="C799" s="281">
        <f>ROUND(BP60,2)</f>
        <v>0</v>
      </c>
      <c r="D799" s="279">
        <f>ROUND(BP61,0)</f>
        <v>0</v>
      </c>
      <c r="E799" s="279">
        <f>ROUND(BP62,0)</f>
        <v>0</v>
      </c>
      <c r="F799" s="279">
        <f>ROUND(BP63,0)</f>
        <v>0</v>
      </c>
      <c r="G799" s="279">
        <f>ROUND(BP64,0)</f>
        <v>0</v>
      </c>
      <c r="H799" s="279">
        <f>ROUND(BP65,0)</f>
        <v>0</v>
      </c>
      <c r="I799" s="279">
        <f>ROUND(BP66,0)</f>
        <v>0</v>
      </c>
      <c r="J799" s="279">
        <f>ROUND(BP67,0)</f>
        <v>0</v>
      </c>
      <c r="K799" s="279">
        <f>ROUND(BP68,0)</f>
        <v>0</v>
      </c>
      <c r="L799" s="279">
        <f>ROUND(BP69,0)</f>
        <v>0</v>
      </c>
      <c r="M799" s="279">
        <f>ROUND(BP70,0)</f>
        <v>0</v>
      </c>
      <c r="N799" s="279"/>
      <c r="O799" s="279"/>
      <c r="P799" s="279">
        <f>IF(BP76&gt;0,ROUND(BP76,0),0)</f>
        <v>0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">
      <c r="A800" s="209" t="str">
        <f>RIGHT($C$83,3)&amp;"*"&amp;RIGHT($C$82,4)&amp;"*"&amp;BQ$55&amp;"*"&amp;"A"</f>
        <v>054*2021*8640*A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">
      <c r="A801" s="209" t="str">
        <f>RIGHT($C$83,3)&amp;"*"&amp;RIGHT($C$82,4)&amp;"*"&amp;BR$55&amp;"*"&amp;"A"</f>
        <v>054*2021*8650*A</v>
      </c>
      <c r="B801" s="279"/>
      <c r="C801" s="281">
        <f>ROUND(BR60,2)</f>
        <v>2.2999999999999998</v>
      </c>
      <c r="D801" s="279">
        <f>ROUND(BR61,0)</f>
        <v>98193</v>
      </c>
      <c r="E801" s="279">
        <f>ROUND(BR62,0)</f>
        <v>30318</v>
      </c>
      <c r="F801" s="279">
        <f>ROUND(BR63,0)</f>
        <v>96773</v>
      </c>
      <c r="G801" s="279">
        <f>ROUND(BR64,0)</f>
        <v>5735</v>
      </c>
      <c r="H801" s="279">
        <f>ROUND(BR65,0)</f>
        <v>812</v>
      </c>
      <c r="I801" s="279">
        <f>ROUND(BR66,0)</f>
        <v>40475</v>
      </c>
      <c r="J801" s="279">
        <f>ROUND(BR67,0)</f>
        <v>2540</v>
      </c>
      <c r="K801" s="279">
        <f>ROUND(BR68,0)</f>
        <v>0</v>
      </c>
      <c r="L801" s="279">
        <f>ROUND(BR69,0)</f>
        <v>16716</v>
      </c>
      <c r="M801" s="279">
        <f>ROUND(BR70,0)</f>
        <v>0</v>
      </c>
      <c r="N801" s="279"/>
      <c r="O801" s="279"/>
      <c r="P801" s="279">
        <f>IF(BR76&gt;0,ROUND(BR76,0),0)</f>
        <v>406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">
      <c r="A802" s="209" t="str">
        <f>RIGHT($C$83,3)&amp;"*"&amp;RIGHT($C$82,4)&amp;"*"&amp;BS$55&amp;"*"&amp;"A"</f>
        <v>054*2021*8660*A</v>
      </c>
      <c r="B802" s="279"/>
      <c r="C802" s="281">
        <f>ROUND(BS60,2)</f>
        <v>0</v>
      </c>
      <c r="D802" s="279">
        <f>ROUND(BS61,0)</f>
        <v>0</v>
      </c>
      <c r="E802" s="279">
        <f>ROUND(BS62,0)</f>
        <v>0</v>
      </c>
      <c r="F802" s="279">
        <f>ROUND(BS63,0)</f>
        <v>0</v>
      </c>
      <c r="G802" s="279">
        <f>ROUND(BS64,0)</f>
        <v>0</v>
      </c>
      <c r="H802" s="279">
        <f>ROUND(BS65,0)</f>
        <v>0</v>
      </c>
      <c r="I802" s="279">
        <f>ROUND(BS66,0)</f>
        <v>0</v>
      </c>
      <c r="J802" s="279">
        <f>ROUND(BS67,0)</f>
        <v>0</v>
      </c>
      <c r="K802" s="279">
        <f>ROUND(BS68,0)</f>
        <v>0</v>
      </c>
      <c r="L802" s="279">
        <f>ROUND(BS69,0)</f>
        <v>0</v>
      </c>
      <c r="M802" s="279">
        <f>ROUND(BS70,0)</f>
        <v>0</v>
      </c>
      <c r="N802" s="279"/>
      <c r="O802" s="279"/>
      <c r="P802" s="279">
        <f>IF(BS76&gt;0,ROUND(BS76,0),0)</f>
        <v>0</v>
      </c>
      <c r="Q802" s="279">
        <f>IF(BS77&gt;0,ROUND(BS77,0),0)</f>
        <v>0</v>
      </c>
      <c r="R802" s="279">
        <f>IF(BS78&gt;0,ROUND(BS78,0),0)</f>
        <v>0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">
      <c r="A803" s="209" t="str">
        <f>RIGHT($C$83,3)&amp;"*"&amp;RIGHT($C$82,4)&amp;"*"&amp;BT$55&amp;"*"&amp;"A"</f>
        <v>054*2021*8670*A</v>
      </c>
      <c r="B803" s="279"/>
      <c r="C803" s="281">
        <f>ROUND(BT60,2)</f>
        <v>0</v>
      </c>
      <c r="D803" s="279">
        <f>ROUND(BT61,0)</f>
        <v>0</v>
      </c>
      <c r="E803" s="279">
        <f>ROUND(BT62,0)</f>
        <v>0</v>
      </c>
      <c r="F803" s="279">
        <f>ROUND(BT63,0)</f>
        <v>0</v>
      </c>
      <c r="G803" s="279">
        <f>ROUND(BT64,0)</f>
        <v>0</v>
      </c>
      <c r="H803" s="279">
        <f>ROUND(BT65,0)</f>
        <v>0</v>
      </c>
      <c r="I803" s="279">
        <f>ROUND(BT66,0)</f>
        <v>0</v>
      </c>
      <c r="J803" s="279">
        <f>ROUND(BT67,0)</f>
        <v>0</v>
      </c>
      <c r="K803" s="279">
        <f>ROUND(BT68,0)</f>
        <v>0</v>
      </c>
      <c r="L803" s="279">
        <f>ROUND(BT69,0)</f>
        <v>0</v>
      </c>
      <c r="M803" s="279">
        <f>ROUND(BT70,0)</f>
        <v>0</v>
      </c>
      <c r="N803" s="279"/>
      <c r="O803" s="279"/>
      <c r="P803" s="279">
        <f>IF(BT76&gt;0,ROUND(BT76,0),0)</f>
        <v>0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">
      <c r="A804" s="209" t="str">
        <f>RIGHT($C$83,3)&amp;"*"&amp;RIGHT($C$82,4)&amp;"*"&amp;BU$55&amp;"*"&amp;"A"</f>
        <v>054*2021*8680*A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">
      <c r="A805" s="209" t="str">
        <f>RIGHT($C$83,3)&amp;"*"&amp;RIGHT($C$82,4)&amp;"*"&amp;BV$55&amp;"*"&amp;"A"</f>
        <v>054*2021*8690*A</v>
      </c>
      <c r="B805" s="279"/>
      <c r="C805" s="281">
        <f>ROUND(BV60,2)</f>
        <v>4.2699999999999996</v>
      </c>
      <c r="D805" s="279">
        <f>ROUND(BV61,0)</f>
        <v>201608</v>
      </c>
      <c r="E805" s="279">
        <f>ROUND(BV62,0)</f>
        <v>62250</v>
      </c>
      <c r="F805" s="279">
        <f>ROUND(BV63,0)</f>
        <v>32774</v>
      </c>
      <c r="G805" s="279">
        <f>ROUND(BV64,0)</f>
        <v>8274</v>
      </c>
      <c r="H805" s="279">
        <f>ROUND(BV65,0)</f>
        <v>597</v>
      </c>
      <c r="I805" s="279">
        <f>ROUND(BV66,0)</f>
        <v>18042</v>
      </c>
      <c r="J805" s="279">
        <f>ROUND(BV67,0)</f>
        <v>3844</v>
      </c>
      <c r="K805" s="279">
        <f>ROUND(BV68,0)</f>
        <v>0</v>
      </c>
      <c r="L805" s="279">
        <f>ROUND(BV69,0)</f>
        <v>24147</v>
      </c>
      <c r="M805" s="279">
        <f>ROUND(BV70,0)</f>
        <v>0</v>
      </c>
      <c r="N805" s="279"/>
      <c r="O805" s="279"/>
      <c r="P805" s="279">
        <f>IF(BV76&gt;0,ROUND(BV76,0),0)</f>
        <v>612</v>
      </c>
      <c r="Q805" s="279">
        <f>IF(BV77&gt;0,ROUND(BV77,0),0)</f>
        <v>0</v>
      </c>
      <c r="R805" s="279">
        <f>IF(BV78&gt;0,ROUND(BV78,0),0)</f>
        <v>65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">
      <c r="A806" s="209" t="str">
        <f>RIGHT($C$83,3)&amp;"*"&amp;RIGHT($C$82,4)&amp;"*"&amp;BW$55&amp;"*"&amp;"A"</f>
        <v>054*2021*8700*A</v>
      </c>
      <c r="B806" s="279"/>
      <c r="C806" s="281">
        <f>ROUND(BW60,2)</f>
        <v>0</v>
      </c>
      <c r="D806" s="279">
        <f>ROUND(BW61,0)</f>
        <v>0</v>
      </c>
      <c r="E806" s="279">
        <f>ROUND(BW62,0)</f>
        <v>0</v>
      </c>
      <c r="F806" s="279">
        <f>ROUND(BW63,0)</f>
        <v>0</v>
      </c>
      <c r="G806" s="279">
        <f>ROUND(BW64,0)</f>
        <v>0</v>
      </c>
      <c r="H806" s="279">
        <f>ROUND(BW65,0)</f>
        <v>0</v>
      </c>
      <c r="I806" s="279">
        <f>ROUND(BW66,0)</f>
        <v>0</v>
      </c>
      <c r="J806" s="279">
        <f>ROUND(BW67,0)</f>
        <v>0</v>
      </c>
      <c r="K806" s="279">
        <f>ROUND(BW68,0)</f>
        <v>0</v>
      </c>
      <c r="L806" s="279">
        <f>ROUND(BW69,0)</f>
        <v>0</v>
      </c>
      <c r="M806" s="279">
        <f>ROUND(BW70,0)</f>
        <v>0</v>
      </c>
      <c r="N806" s="279"/>
      <c r="O806" s="279"/>
      <c r="P806" s="279">
        <f>IF(BW76&gt;0,ROUND(BW76,0),0)</f>
        <v>0</v>
      </c>
      <c r="Q806" s="279">
        <f>IF(BW77&gt;0,ROUND(BW77,0),0)</f>
        <v>0</v>
      </c>
      <c r="R806" s="279">
        <f>IF(BW78&gt;0,ROUND(BW78,0),0)</f>
        <v>0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">
      <c r="A807" s="209" t="str">
        <f>RIGHT($C$83,3)&amp;"*"&amp;RIGHT($C$82,4)&amp;"*"&amp;BX$55&amp;"*"&amp;"A"</f>
        <v>054*2021*8710*A</v>
      </c>
      <c r="B807" s="279"/>
      <c r="C807" s="281">
        <f>ROUND(BX60,2)</f>
        <v>0</v>
      </c>
      <c r="D807" s="279">
        <f>ROUND(BX61,0)</f>
        <v>0</v>
      </c>
      <c r="E807" s="279">
        <f>ROUND(BX62,0)</f>
        <v>0</v>
      </c>
      <c r="F807" s="279">
        <f>ROUND(BX63,0)</f>
        <v>0</v>
      </c>
      <c r="G807" s="279">
        <f>ROUND(BX64,0)</f>
        <v>0</v>
      </c>
      <c r="H807" s="279">
        <f>ROUND(BX65,0)</f>
        <v>0</v>
      </c>
      <c r="I807" s="279">
        <f>ROUND(BX66,0)</f>
        <v>0</v>
      </c>
      <c r="J807" s="279">
        <f>ROUND(BX67,0)</f>
        <v>0</v>
      </c>
      <c r="K807" s="279">
        <f>ROUND(BX68,0)</f>
        <v>0</v>
      </c>
      <c r="L807" s="279">
        <f>ROUND(BX69,0)</f>
        <v>0</v>
      </c>
      <c r="M807" s="279">
        <f>ROUND(BX70,0)</f>
        <v>0</v>
      </c>
      <c r="N807" s="279"/>
      <c r="O807" s="279"/>
      <c r="P807" s="279">
        <f>IF(BX76&gt;0,ROUND(BX76,0),0)</f>
        <v>0</v>
      </c>
      <c r="Q807" s="279">
        <f>IF(BX77&gt;0,ROUND(BX77,0),0)</f>
        <v>0</v>
      </c>
      <c r="R807" s="279">
        <f>IF(BX78&gt;0,ROUND(BX78,0),0)</f>
        <v>0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">
      <c r="A808" s="209" t="str">
        <f>RIGHT($C$83,3)&amp;"*"&amp;RIGHT($C$82,4)&amp;"*"&amp;BY$55&amp;"*"&amp;"A"</f>
        <v>054*2021*8720*A</v>
      </c>
      <c r="B808" s="279"/>
      <c r="C808" s="281">
        <f>ROUND(BY60,2)</f>
        <v>1.98</v>
      </c>
      <c r="D808" s="279">
        <f>ROUND(BY61,0)</f>
        <v>185897</v>
      </c>
      <c r="E808" s="279">
        <f>ROUND(BY62,0)</f>
        <v>57399</v>
      </c>
      <c r="F808" s="279">
        <f>ROUND(BY63,0)</f>
        <v>0</v>
      </c>
      <c r="G808" s="279">
        <f>ROUND(BY64,0)</f>
        <v>1176</v>
      </c>
      <c r="H808" s="279">
        <f>ROUND(BY65,0)</f>
        <v>133</v>
      </c>
      <c r="I808" s="279">
        <f>ROUND(BY66,0)</f>
        <v>0</v>
      </c>
      <c r="J808" s="279">
        <f>ROUND(BY67,0)</f>
        <v>1314</v>
      </c>
      <c r="K808" s="279">
        <f>ROUND(BY68,0)</f>
        <v>0</v>
      </c>
      <c r="L808" s="279">
        <f>ROUND(BY69,0)</f>
        <v>3480</v>
      </c>
      <c r="M808" s="279">
        <f>ROUND(BY70,0)</f>
        <v>0</v>
      </c>
      <c r="N808" s="279"/>
      <c r="O808" s="279"/>
      <c r="P808" s="279">
        <f>IF(BY76&gt;0,ROUND(BY76,0),0)</f>
        <v>210</v>
      </c>
      <c r="Q808" s="279">
        <f>IF(BY77&gt;0,ROUND(BY77,0),0)</f>
        <v>0</v>
      </c>
      <c r="R808" s="279">
        <f>IF(BY78&gt;0,ROUND(BY78,0),0)</f>
        <v>109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">
      <c r="A809" s="209" t="str">
        <f>RIGHT($C$83,3)&amp;"*"&amp;RIGHT($C$82,4)&amp;"*"&amp;BZ$55&amp;"*"&amp;"A"</f>
        <v>054*2021*8730*A</v>
      </c>
      <c r="B809" s="279"/>
      <c r="C809" s="281">
        <f>ROUND(BZ60,2)</f>
        <v>0</v>
      </c>
      <c r="D809" s="279">
        <f>ROUND(BZ61,0)</f>
        <v>0</v>
      </c>
      <c r="E809" s="279">
        <f>ROUND(BZ62,0)</f>
        <v>0</v>
      </c>
      <c r="F809" s="279">
        <f>ROUND(BZ63,0)</f>
        <v>0</v>
      </c>
      <c r="G809" s="279">
        <f>ROUND(BZ64,0)</f>
        <v>0</v>
      </c>
      <c r="H809" s="279">
        <f>ROUND(BZ65,0)</f>
        <v>0</v>
      </c>
      <c r="I809" s="279">
        <f>ROUND(BZ66,0)</f>
        <v>0</v>
      </c>
      <c r="J809" s="279">
        <f>ROUND(BZ67,0)</f>
        <v>0</v>
      </c>
      <c r="K809" s="279">
        <f>ROUND(BZ68,0)</f>
        <v>0</v>
      </c>
      <c r="L809" s="279">
        <f>ROUND(BZ69,0)</f>
        <v>0</v>
      </c>
      <c r="M809" s="279">
        <f>ROUND(BZ70,0)</f>
        <v>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">
      <c r="A810" s="209" t="str">
        <f>RIGHT($C$83,3)&amp;"*"&amp;RIGHT($C$82,4)&amp;"*"&amp;CA$55&amp;"*"&amp;"A"</f>
        <v>054*2021*8740*A</v>
      </c>
      <c r="B810" s="279"/>
      <c r="C810" s="281">
        <f>ROUND(CA60,2)</f>
        <v>0.2</v>
      </c>
      <c r="D810" s="279">
        <f>ROUND(CA61,0)</f>
        <v>17425</v>
      </c>
      <c r="E810" s="279">
        <f>ROUND(CA62,0)</f>
        <v>5380</v>
      </c>
      <c r="F810" s="279">
        <f>ROUND(CA63,0)</f>
        <v>0</v>
      </c>
      <c r="G810" s="279">
        <f>ROUND(CA64,0)</f>
        <v>1450</v>
      </c>
      <c r="H810" s="279">
        <f>ROUND(CA65,0)</f>
        <v>0</v>
      </c>
      <c r="I810" s="279">
        <f>ROUND(CA66,0)</f>
        <v>0</v>
      </c>
      <c r="J810" s="279">
        <f>ROUND(CA67,0)</f>
        <v>0</v>
      </c>
      <c r="K810" s="279">
        <f>ROUND(CA68,0)</f>
        <v>0</v>
      </c>
      <c r="L810" s="279">
        <f>ROUND(CA69,0)</f>
        <v>591</v>
      </c>
      <c r="M810" s="279">
        <f>ROUND(CA70,0)</f>
        <v>0</v>
      </c>
      <c r="N810" s="279"/>
      <c r="O810" s="279"/>
      <c r="P810" s="279">
        <f>IF(CA76&gt;0,ROUND(CA76,0),0)</f>
        <v>0</v>
      </c>
      <c r="Q810" s="279">
        <f>IF(CA77&gt;0,ROUND(CA77,0),0)</f>
        <v>0</v>
      </c>
      <c r="R810" s="279">
        <f>IF(CA78&gt;0,ROUND(CA78,0),0)</f>
        <v>0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">
      <c r="A811" s="209" t="str">
        <f>RIGHT($C$83,3)&amp;"*"&amp;RIGHT($C$82,4)&amp;"*"&amp;CB$55&amp;"*"&amp;"A"</f>
        <v>054*2021*8770*A</v>
      </c>
      <c r="B811" s="279"/>
      <c r="C811" s="281">
        <f>ROUND(CB60,2)</f>
        <v>3.16</v>
      </c>
      <c r="D811" s="279">
        <f>ROUND(CB61,0)</f>
        <v>307051</v>
      </c>
      <c r="E811" s="279">
        <f>ROUND(CB62,0)</f>
        <v>94807</v>
      </c>
      <c r="F811" s="279">
        <f>ROUND(CB63,0)</f>
        <v>3521</v>
      </c>
      <c r="G811" s="279">
        <f>ROUND(CB64,0)</f>
        <v>318</v>
      </c>
      <c r="H811" s="279">
        <f>ROUND(CB65,0)</f>
        <v>0</v>
      </c>
      <c r="I811" s="279">
        <f>ROUND(CB66,0)</f>
        <v>25181</v>
      </c>
      <c r="J811" s="279">
        <f>ROUND(CB67,0)</f>
        <v>0</v>
      </c>
      <c r="K811" s="279">
        <f>ROUND(CB68,0)</f>
        <v>0</v>
      </c>
      <c r="L811" s="279">
        <f>ROUND(CB69,0)</f>
        <v>13081</v>
      </c>
      <c r="M811" s="279">
        <f>ROUND(CB70,0)</f>
        <v>0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65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">
      <c r="A812" s="209" t="str">
        <f>RIGHT($C$83,3)&amp;"*"&amp;RIGHT($C$82,4)&amp;"*"&amp;CC$55&amp;"*"&amp;"A"</f>
        <v>054*2021*8790*A</v>
      </c>
      <c r="B812" s="279"/>
      <c r="C812" s="281">
        <f>ROUND(CC60,2)</f>
        <v>3.11</v>
      </c>
      <c r="D812" s="279">
        <f>ROUND(CC61,0)</f>
        <v>186952</v>
      </c>
      <c r="E812" s="279">
        <f>ROUND(CC62,0)</f>
        <v>57724</v>
      </c>
      <c r="F812" s="279">
        <f>ROUND(CC63,0)</f>
        <v>24232</v>
      </c>
      <c r="G812" s="279">
        <f>ROUND(CC64,0)</f>
        <v>328616</v>
      </c>
      <c r="H812" s="279">
        <f>ROUND(CC65,0)</f>
        <v>1119</v>
      </c>
      <c r="I812" s="279">
        <f>ROUND(CC66,0)</f>
        <v>75885</v>
      </c>
      <c r="J812" s="279">
        <f>ROUND(CC67,0)</f>
        <v>3400</v>
      </c>
      <c r="K812" s="279">
        <f>ROUND(CC68,0)</f>
        <v>994</v>
      </c>
      <c r="L812" s="279">
        <f>ROUND(CC69,0)</f>
        <v>22161</v>
      </c>
      <c r="M812" s="279">
        <f>ROUND(CC70,0)</f>
        <v>0</v>
      </c>
      <c r="N812" s="279"/>
      <c r="O812" s="279"/>
      <c r="P812" s="279">
        <f>IF(CC76&gt;0,ROUND(CC76,0),0)</f>
        <v>0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">
      <c r="A813" s="209" t="str">
        <f>RIGHT($C$83,3)&amp;"*"&amp;RIGHT($C$82,4)&amp;"*"&amp;"9000"&amp;"*"&amp;"A"</f>
        <v>054*2021*9000*A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1296887</v>
      </c>
      <c r="V813" s="280">
        <f>ROUND(CD70,0)</f>
        <v>1140235</v>
      </c>
      <c r="W813" s="279">
        <f>ROUND(CE72,0)</f>
        <v>869061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">
      <c r="B815" s="283" t="s">
        <v>1004</v>
      </c>
      <c r="C815" s="284">
        <f t="shared" ref="C815:K815" si="22">SUM(C734:C813)</f>
        <v>242.12000000000003</v>
      </c>
      <c r="D815" s="280">
        <f t="shared" si="22"/>
        <v>18214124</v>
      </c>
      <c r="E815" s="280">
        <f t="shared" si="22"/>
        <v>5623898</v>
      </c>
      <c r="F815" s="280">
        <f t="shared" si="22"/>
        <v>3108900</v>
      </c>
      <c r="G815" s="280">
        <f t="shared" si="22"/>
        <v>3727359</v>
      </c>
      <c r="H815" s="280">
        <f t="shared" si="22"/>
        <v>488954</v>
      </c>
      <c r="I815" s="280">
        <f t="shared" si="22"/>
        <v>1895533</v>
      </c>
      <c r="J815" s="280">
        <f t="shared" si="22"/>
        <v>1181084</v>
      </c>
      <c r="K815" s="280">
        <f t="shared" si="22"/>
        <v>157990</v>
      </c>
      <c r="L815" s="280">
        <f>SUM(L734:L813)+SUM(U734:U813)</f>
        <v>1844072</v>
      </c>
      <c r="M815" s="280">
        <f>SUM(M734:M813)+SUM(V734:V813)</f>
        <v>1140235</v>
      </c>
      <c r="N815" s="280">
        <f t="shared" ref="N815:Y815" si="23">SUM(N734:N813)</f>
        <v>60066260</v>
      </c>
      <c r="O815" s="280">
        <f t="shared" si="23"/>
        <v>9564085</v>
      </c>
      <c r="P815" s="280">
        <f t="shared" si="23"/>
        <v>56157</v>
      </c>
      <c r="Q815" s="280">
        <f t="shared" si="23"/>
        <v>25738</v>
      </c>
      <c r="R815" s="280">
        <f t="shared" si="23"/>
        <v>21004</v>
      </c>
      <c r="S815" s="280">
        <f t="shared" si="23"/>
        <v>134703</v>
      </c>
      <c r="T815" s="284">
        <f t="shared" si="23"/>
        <v>31.8</v>
      </c>
      <c r="U815" s="280">
        <f t="shared" si="23"/>
        <v>1296887</v>
      </c>
      <c r="V815" s="280">
        <f t="shared" si="23"/>
        <v>1140235</v>
      </c>
      <c r="W815" s="280">
        <f t="shared" si="23"/>
        <v>869061</v>
      </c>
      <c r="X815" s="280">
        <f t="shared" si="23"/>
        <v>0</v>
      </c>
      <c r="Y815" s="280">
        <f t="shared" si="23"/>
        <v>10124634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">
      <c r="B816" s="280" t="s">
        <v>1005</v>
      </c>
      <c r="C816" s="284">
        <f>CE60</f>
        <v>242.12000000000003</v>
      </c>
      <c r="D816" s="280">
        <f>CE61</f>
        <v>18214125.650000002</v>
      </c>
      <c r="E816" s="280">
        <f>CE62</f>
        <v>5623898</v>
      </c>
      <c r="F816" s="280">
        <f>CE63</f>
        <v>3108900</v>
      </c>
      <c r="G816" s="280">
        <f>CE64</f>
        <v>3727359</v>
      </c>
      <c r="H816" s="283">
        <f>CE65</f>
        <v>488954</v>
      </c>
      <c r="I816" s="283">
        <f>CE66</f>
        <v>1895533</v>
      </c>
      <c r="J816" s="283">
        <f>CE67</f>
        <v>1181084</v>
      </c>
      <c r="K816" s="283">
        <f>CE68</f>
        <v>157990</v>
      </c>
      <c r="L816" s="283">
        <f>CE69</f>
        <v>1844072</v>
      </c>
      <c r="M816" s="283">
        <f>CE70</f>
        <v>1140235</v>
      </c>
      <c r="N816" s="280">
        <f>CE75</f>
        <v>60066260</v>
      </c>
      <c r="O816" s="280">
        <f>CE73</f>
        <v>9564085</v>
      </c>
      <c r="P816" s="280">
        <f>CE76</f>
        <v>56157</v>
      </c>
      <c r="Q816" s="280">
        <f>CE77</f>
        <v>25738</v>
      </c>
      <c r="R816" s="280">
        <f>CE78</f>
        <v>21005.399999999998</v>
      </c>
      <c r="S816" s="280">
        <f>CE79</f>
        <v>134703</v>
      </c>
      <c r="T816" s="284">
        <f>CE80</f>
        <v>31.786860576923079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10124632.539999997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18214125</v>
      </c>
      <c r="E817" s="180">
        <f>C379</f>
        <v>5623900</v>
      </c>
      <c r="F817" s="180">
        <f>C380</f>
        <v>3108900</v>
      </c>
      <c r="G817" s="243">
        <f>C381</f>
        <v>3727355.82</v>
      </c>
      <c r="H817" s="243">
        <f>C382</f>
        <v>488953.02</v>
      </c>
      <c r="I817" s="243">
        <f>C383</f>
        <v>1895532.88</v>
      </c>
      <c r="J817" s="243">
        <f>C384</f>
        <v>1181084</v>
      </c>
      <c r="K817" s="243">
        <f>C385</f>
        <v>157989.85999999999</v>
      </c>
      <c r="L817" s="243">
        <f>C386+C387+C388+C389</f>
        <v>1844072.76</v>
      </c>
      <c r="M817" s="243">
        <f>C370</f>
        <v>1140235</v>
      </c>
      <c r="N817" s="180">
        <f>D361</f>
        <v>60066260.350000001</v>
      </c>
      <c r="O817" s="180">
        <f>C359</f>
        <v>9564085.3499999996</v>
      </c>
    </row>
  </sheetData>
  <sheetProtection algorithmName="SHA-512" hashValue="KVmQXI6ClooeojYeIhGVteJs0ooq06gGyQ4ROXrX19rV9FSQDJHieVZTQe4qNf1nDC7dewnlu4938c7hz9vsnQ==" saltValue="V/1/6FIJ5rjXVydzjTxMp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0" transitionEvaluation="1" transitionEntry="1" codeName="Sheet10">
    <pageSetUpPr autoPageBreaks="0" fitToPage="1"/>
  </sheetPr>
  <dimension ref="A1:CF816"/>
  <sheetViews>
    <sheetView showGridLines="0" topLeftCell="A40" zoomScale="75" workbookViewId="0">
      <selection activeCell="A71" sqref="A71:XFD71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1262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1255</v>
      </c>
      <c r="C16" s="236"/>
      <c r="E16" s="237" t="s">
        <v>1254</v>
      </c>
    </row>
    <row r="17" spans="1:6" ht="12.75" customHeight="1" x14ac:dyDescent="0.3">
      <c r="A17" s="180" t="s">
        <v>1230</v>
      </c>
      <c r="C17" s="237" t="s">
        <v>1254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">
      <c r="A21" s="199"/>
      <c r="C21" s="236"/>
    </row>
    <row r="22" spans="1:6" ht="12.65" customHeight="1" x14ac:dyDescent="0.3">
      <c r="A22" s="240" t="s">
        <v>1256</v>
      </c>
      <c r="B22" s="241"/>
      <c r="C22" s="242"/>
      <c r="D22" s="240"/>
      <c r="E22" s="240"/>
    </row>
    <row r="23" spans="1:6" ht="12.65" customHeight="1" x14ac:dyDescent="0.3">
      <c r="B23" s="199"/>
      <c r="C23" s="236"/>
    </row>
    <row r="24" spans="1:6" ht="12.65" customHeight="1" x14ac:dyDescent="0.3">
      <c r="A24" s="243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302"/>
      <c r="B44" s="302"/>
      <c r="C44" s="30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</row>
    <row r="45" spans="1:83" ht="12" customHeight="1" x14ac:dyDescent="0.3">
      <c r="A45" s="302"/>
      <c r="B45" s="335" t="s">
        <v>91</v>
      </c>
      <c r="C45" s="30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</row>
    <row r="46" spans="1:83" ht="12.65" customHeight="1" x14ac:dyDescent="0.3">
      <c r="A46" s="302" t="s">
        <v>3</v>
      </c>
      <c r="B46" s="297" t="s">
        <v>162</v>
      </c>
      <c r="C46" s="30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</row>
    <row r="47" spans="1:83" ht="12.65" customHeight="1" x14ac:dyDescent="0.3">
      <c r="A47" s="302" t="s">
        <v>204</v>
      </c>
      <c r="B47" s="307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308"/>
      <c r="AU47" s="308"/>
      <c r="AV47" s="308"/>
      <c r="AW47" s="308"/>
      <c r="AX47" s="308"/>
      <c r="AY47" s="308"/>
      <c r="AZ47" s="308"/>
      <c r="BA47" s="308"/>
      <c r="BB47" s="308"/>
      <c r="BC47" s="308"/>
      <c r="BD47" s="308"/>
      <c r="BE47" s="308"/>
      <c r="BF47" s="308"/>
      <c r="BG47" s="30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8"/>
      <c r="BS47" s="308"/>
      <c r="BT47" s="308"/>
      <c r="BU47" s="308"/>
      <c r="BV47" s="308"/>
      <c r="BW47" s="308"/>
      <c r="BX47" s="308"/>
      <c r="BY47" s="308"/>
      <c r="BZ47" s="308"/>
      <c r="CA47" s="308"/>
      <c r="CB47" s="308"/>
      <c r="CC47" s="308"/>
      <c r="CD47" s="318"/>
      <c r="CE47" s="318">
        <v>0</v>
      </c>
    </row>
    <row r="48" spans="1:83" ht="12.65" customHeight="1" x14ac:dyDescent="0.3">
      <c r="A48" s="302" t="s">
        <v>205</v>
      </c>
      <c r="B48" s="307">
        <v>5492357.7699999996</v>
      </c>
      <c r="C48" s="336">
        <v>0</v>
      </c>
      <c r="D48" s="336">
        <v>0</v>
      </c>
      <c r="E48" s="318">
        <v>453924</v>
      </c>
      <c r="F48" s="318">
        <v>0</v>
      </c>
      <c r="G48" s="318">
        <v>0</v>
      </c>
      <c r="H48" s="318">
        <v>0</v>
      </c>
      <c r="I48" s="318">
        <v>0</v>
      </c>
      <c r="J48" s="318">
        <v>0</v>
      </c>
      <c r="K48" s="318">
        <v>555706</v>
      </c>
      <c r="L48" s="318">
        <v>111510</v>
      </c>
      <c r="M48" s="318">
        <v>0</v>
      </c>
      <c r="N48" s="318">
        <v>0</v>
      </c>
      <c r="O48" s="318">
        <v>46180</v>
      </c>
      <c r="P48" s="318">
        <v>166862</v>
      </c>
      <c r="Q48" s="318">
        <v>685</v>
      </c>
      <c r="R48" s="318">
        <v>133478</v>
      </c>
      <c r="S48" s="318">
        <v>18372</v>
      </c>
      <c r="T48" s="318">
        <v>0</v>
      </c>
      <c r="U48" s="318">
        <v>198753</v>
      </c>
      <c r="V48" s="318">
        <v>0</v>
      </c>
      <c r="W48" s="318">
        <v>0</v>
      </c>
      <c r="X48" s="318">
        <v>0</v>
      </c>
      <c r="Y48" s="318">
        <v>327602</v>
      </c>
      <c r="Z48" s="318">
        <v>0</v>
      </c>
      <c r="AA48" s="318">
        <v>0</v>
      </c>
      <c r="AB48" s="318">
        <v>73626</v>
      </c>
      <c r="AC48" s="318">
        <v>26426</v>
      </c>
      <c r="AD48" s="318">
        <v>0</v>
      </c>
      <c r="AE48" s="318">
        <v>132436</v>
      </c>
      <c r="AF48" s="318">
        <v>0</v>
      </c>
      <c r="AG48" s="318">
        <v>226744</v>
      </c>
      <c r="AH48" s="318">
        <v>56505</v>
      </c>
      <c r="AI48" s="318">
        <v>42312</v>
      </c>
      <c r="AJ48" s="318">
        <v>1073808</v>
      </c>
      <c r="AK48" s="318">
        <v>0</v>
      </c>
      <c r="AL48" s="318">
        <v>0</v>
      </c>
      <c r="AM48" s="318">
        <v>0</v>
      </c>
      <c r="AN48" s="318">
        <v>0</v>
      </c>
      <c r="AO48" s="318">
        <v>0</v>
      </c>
      <c r="AP48" s="318">
        <v>0</v>
      </c>
      <c r="AQ48" s="318">
        <v>0</v>
      </c>
      <c r="AR48" s="318">
        <v>0</v>
      </c>
      <c r="AS48" s="318">
        <v>0</v>
      </c>
      <c r="AT48" s="318">
        <v>0</v>
      </c>
      <c r="AU48" s="318">
        <v>324654</v>
      </c>
      <c r="AV48" s="318">
        <v>56907</v>
      </c>
      <c r="AW48" s="318">
        <v>0</v>
      </c>
      <c r="AX48" s="318">
        <v>0</v>
      </c>
      <c r="AY48" s="318">
        <v>147851</v>
      </c>
      <c r="AZ48" s="318">
        <v>0</v>
      </c>
      <c r="BA48" s="318">
        <v>0</v>
      </c>
      <c r="BB48" s="318">
        <v>45168</v>
      </c>
      <c r="BC48" s="318">
        <v>0</v>
      </c>
      <c r="BD48" s="318">
        <v>43997</v>
      </c>
      <c r="BE48" s="318">
        <v>115426</v>
      </c>
      <c r="BF48" s="318">
        <v>160883</v>
      </c>
      <c r="BG48" s="318">
        <v>0</v>
      </c>
      <c r="BH48" s="318">
        <v>88621</v>
      </c>
      <c r="BI48" s="318">
        <v>0</v>
      </c>
      <c r="BJ48" s="318">
        <v>66199</v>
      </c>
      <c r="BK48" s="318">
        <v>201335</v>
      </c>
      <c r="BL48" s="318">
        <v>79984</v>
      </c>
      <c r="BM48" s="318">
        <v>0</v>
      </c>
      <c r="BN48" s="318">
        <v>158478</v>
      </c>
      <c r="BO48" s="318">
        <v>0</v>
      </c>
      <c r="BP48" s="318">
        <v>0</v>
      </c>
      <c r="BQ48" s="318">
        <v>0</v>
      </c>
      <c r="BR48" s="318">
        <v>53279</v>
      </c>
      <c r="BS48" s="318">
        <v>0</v>
      </c>
      <c r="BT48" s="318">
        <v>0</v>
      </c>
      <c r="BU48" s="318">
        <v>0</v>
      </c>
      <c r="BV48" s="318">
        <v>50836</v>
      </c>
      <c r="BW48" s="318">
        <v>0</v>
      </c>
      <c r="BX48" s="318">
        <v>68354</v>
      </c>
      <c r="BY48" s="318">
        <v>61169</v>
      </c>
      <c r="BZ48" s="318">
        <v>0</v>
      </c>
      <c r="CA48" s="318">
        <v>5798</v>
      </c>
      <c r="CB48" s="318">
        <v>0</v>
      </c>
      <c r="CC48" s="318">
        <v>118492</v>
      </c>
      <c r="CD48" s="318"/>
      <c r="CE48" s="318">
        <v>5492360</v>
      </c>
    </row>
    <row r="49" spans="1:84" ht="12.65" customHeight="1" x14ac:dyDescent="0.3">
      <c r="A49" s="302" t="s">
        <v>206</v>
      </c>
      <c r="B49" s="318">
        <v>5492357.7699999996</v>
      </c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318"/>
      <c r="BR49" s="318"/>
      <c r="BS49" s="318"/>
      <c r="BT49" s="318"/>
      <c r="BU49" s="318"/>
      <c r="BV49" s="318"/>
      <c r="BW49" s="318"/>
      <c r="BX49" s="318"/>
      <c r="BY49" s="318"/>
      <c r="BZ49" s="318"/>
      <c r="CA49" s="318"/>
      <c r="CB49" s="318"/>
      <c r="CC49" s="318"/>
      <c r="CD49" s="318"/>
      <c r="CE49" s="318"/>
      <c r="CF49" s="296"/>
    </row>
    <row r="50" spans="1:84" ht="12.65" customHeight="1" x14ac:dyDescent="0.3">
      <c r="A50" s="302" t="s">
        <v>6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318"/>
      <c r="BF50" s="318"/>
      <c r="BG50" s="318"/>
      <c r="BH50" s="318"/>
      <c r="BI50" s="318"/>
      <c r="BJ50" s="318"/>
      <c r="BK50" s="318"/>
      <c r="BL50" s="318"/>
      <c r="BM50" s="318"/>
      <c r="BN50" s="318"/>
      <c r="BO50" s="318"/>
      <c r="BP50" s="318"/>
      <c r="BQ50" s="318"/>
      <c r="BR50" s="318"/>
      <c r="BS50" s="318"/>
      <c r="BT50" s="318"/>
      <c r="BU50" s="318"/>
      <c r="BV50" s="318"/>
      <c r="BW50" s="318"/>
      <c r="BX50" s="318"/>
      <c r="BY50" s="318"/>
      <c r="BZ50" s="318"/>
      <c r="CA50" s="318"/>
      <c r="CB50" s="318"/>
      <c r="CC50" s="318"/>
      <c r="CD50" s="318"/>
      <c r="CE50" s="318"/>
      <c r="CF50" s="296"/>
    </row>
    <row r="51" spans="1:84" ht="12.65" customHeight="1" x14ac:dyDescent="0.3">
      <c r="A51" s="298" t="s">
        <v>207</v>
      </c>
      <c r="B51" s="308">
        <v>635191.67999999993</v>
      </c>
      <c r="C51" s="308"/>
      <c r="D51" s="308"/>
      <c r="E51" s="308">
        <v>49512.78</v>
      </c>
      <c r="F51" s="308"/>
      <c r="G51" s="308"/>
      <c r="H51" s="308"/>
      <c r="I51" s="308"/>
      <c r="J51" s="308"/>
      <c r="K51" s="308">
        <v>28978.51</v>
      </c>
      <c r="L51" s="308"/>
      <c r="M51" s="308"/>
      <c r="N51" s="308"/>
      <c r="O51" s="308">
        <v>9114.7800000000007</v>
      </c>
      <c r="P51" s="308">
        <v>65640</v>
      </c>
      <c r="Q51" s="308">
        <v>10417.75</v>
      </c>
      <c r="R51" s="308"/>
      <c r="S51" s="308"/>
      <c r="T51" s="308"/>
      <c r="U51" s="308">
        <v>31864.3</v>
      </c>
      <c r="V51" s="308">
        <v>7001.74</v>
      </c>
      <c r="W51" s="308"/>
      <c r="X51" s="308"/>
      <c r="Y51" s="308">
        <v>95266.33</v>
      </c>
      <c r="Z51" s="308"/>
      <c r="AA51" s="308"/>
      <c r="AB51" s="308">
        <v>10421.51</v>
      </c>
      <c r="AC51" s="308">
        <v>6669.14</v>
      </c>
      <c r="AD51" s="308"/>
      <c r="AE51" s="308">
        <v>6148.56</v>
      </c>
      <c r="AF51" s="308"/>
      <c r="AG51" s="308">
        <v>35842.68</v>
      </c>
      <c r="AH51" s="308">
        <v>103263.35</v>
      </c>
      <c r="AI51" s="308"/>
      <c r="AJ51" s="308">
        <v>34260.490000000005</v>
      </c>
      <c r="AK51" s="308"/>
      <c r="AL51" s="308"/>
      <c r="AM51" s="308"/>
      <c r="AN51" s="308"/>
      <c r="AO51" s="308"/>
      <c r="AP51" s="308"/>
      <c r="AQ51" s="308"/>
      <c r="AR51" s="308"/>
      <c r="AS51" s="308"/>
      <c r="AT51" s="308"/>
      <c r="AU51" s="308">
        <v>4534.91</v>
      </c>
      <c r="AV51" s="308">
        <v>15380.25</v>
      </c>
      <c r="AW51" s="308"/>
      <c r="AX51" s="308"/>
      <c r="AY51" s="308">
        <v>1065.78</v>
      </c>
      <c r="AZ51" s="308"/>
      <c r="BA51" s="308"/>
      <c r="BB51" s="308"/>
      <c r="BC51" s="308"/>
      <c r="BD51" s="308"/>
      <c r="BE51" s="308">
        <v>6534.6</v>
      </c>
      <c r="BF51" s="308">
        <v>1583.72</v>
      </c>
      <c r="BG51" s="308"/>
      <c r="BH51" s="308">
        <v>91104.98</v>
      </c>
      <c r="BI51" s="308"/>
      <c r="BJ51" s="308"/>
      <c r="BK51" s="308"/>
      <c r="BL51" s="308"/>
      <c r="BM51" s="308"/>
      <c r="BN51" s="308">
        <v>19429.310000000001</v>
      </c>
      <c r="BO51" s="308"/>
      <c r="BP51" s="308"/>
      <c r="BQ51" s="308"/>
      <c r="BR51" s="308"/>
      <c r="BS51" s="308"/>
      <c r="BT51" s="308"/>
      <c r="BU51" s="308"/>
      <c r="BV51" s="308"/>
      <c r="BW51" s="308"/>
      <c r="BX51" s="308"/>
      <c r="BY51" s="308"/>
      <c r="BZ51" s="308"/>
      <c r="CA51" s="308">
        <v>480.48</v>
      </c>
      <c r="CB51" s="308"/>
      <c r="CC51" s="308">
        <v>676.02</v>
      </c>
      <c r="CD51" s="318"/>
      <c r="CE51" s="318">
        <v>635191.97000000009</v>
      </c>
      <c r="CF51" s="296"/>
    </row>
    <row r="52" spans="1:84" ht="12.65" customHeight="1" x14ac:dyDescent="0.3">
      <c r="A52" s="298" t="s">
        <v>208</v>
      </c>
      <c r="B52" s="308">
        <v>277717.31</v>
      </c>
      <c r="C52" s="318">
        <v>0</v>
      </c>
      <c r="D52" s="318">
        <v>0</v>
      </c>
      <c r="E52" s="318">
        <v>13100</v>
      </c>
      <c r="F52" s="318">
        <v>0</v>
      </c>
      <c r="G52" s="318">
        <v>0</v>
      </c>
      <c r="H52" s="318">
        <v>0</v>
      </c>
      <c r="I52" s="318">
        <v>0</v>
      </c>
      <c r="J52" s="318">
        <v>826</v>
      </c>
      <c r="K52" s="318">
        <v>11953</v>
      </c>
      <c r="L52" s="318">
        <v>8585</v>
      </c>
      <c r="M52" s="318">
        <v>0</v>
      </c>
      <c r="N52" s="318">
        <v>0</v>
      </c>
      <c r="O52" s="318">
        <v>2601</v>
      </c>
      <c r="P52" s="318">
        <v>29776</v>
      </c>
      <c r="Q52" s="318">
        <v>0</v>
      </c>
      <c r="R52" s="318">
        <v>0</v>
      </c>
      <c r="S52" s="318">
        <v>7468</v>
      </c>
      <c r="T52" s="318">
        <v>0</v>
      </c>
      <c r="U52" s="318">
        <v>6231</v>
      </c>
      <c r="V52" s="318">
        <v>1167</v>
      </c>
      <c r="W52" s="318">
        <v>0</v>
      </c>
      <c r="X52" s="318">
        <v>0</v>
      </c>
      <c r="Y52" s="318">
        <v>12319</v>
      </c>
      <c r="Z52" s="318">
        <v>0</v>
      </c>
      <c r="AA52" s="318">
        <v>0</v>
      </c>
      <c r="AB52" s="318">
        <v>1948</v>
      </c>
      <c r="AC52" s="318">
        <v>3719</v>
      </c>
      <c r="AD52" s="318">
        <v>0</v>
      </c>
      <c r="AE52" s="318">
        <v>14816</v>
      </c>
      <c r="AF52" s="318">
        <v>0</v>
      </c>
      <c r="AG52" s="318">
        <v>7799</v>
      </c>
      <c r="AH52" s="318">
        <v>8160</v>
      </c>
      <c r="AI52" s="318">
        <v>0</v>
      </c>
      <c r="AJ52" s="318">
        <v>59770</v>
      </c>
      <c r="AK52" s="318">
        <v>0</v>
      </c>
      <c r="AL52" s="318">
        <v>0</v>
      </c>
      <c r="AM52" s="318">
        <v>0</v>
      </c>
      <c r="AN52" s="318">
        <v>0</v>
      </c>
      <c r="AO52" s="318">
        <v>0</v>
      </c>
      <c r="AP52" s="318">
        <v>0</v>
      </c>
      <c r="AQ52" s="318">
        <v>0</v>
      </c>
      <c r="AR52" s="318">
        <v>0</v>
      </c>
      <c r="AS52" s="318">
        <v>0</v>
      </c>
      <c r="AT52" s="318">
        <v>0</v>
      </c>
      <c r="AU52" s="318">
        <v>9446</v>
      </c>
      <c r="AV52" s="318">
        <v>4461</v>
      </c>
      <c r="AW52" s="318">
        <v>0</v>
      </c>
      <c r="AX52" s="318">
        <v>0</v>
      </c>
      <c r="AY52" s="318">
        <v>5212</v>
      </c>
      <c r="AZ52" s="318">
        <v>3640</v>
      </c>
      <c r="BA52" s="318">
        <v>3694</v>
      </c>
      <c r="BB52" s="318">
        <v>495</v>
      </c>
      <c r="BC52" s="318">
        <v>0</v>
      </c>
      <c r="BD52" s="318">
        <v>495</v>
      </c>
      <c r="BE52" s="318">
        <v>8724</v>
      </c>
      <c r="BF52" s="318">
        <v>569</v>
      </c>
      <c r="BG52" s="318">
        <v>0</v>
      </c>
      <c r="BH52" s="318">
        <v>1761</v>
      </c>
      <c r="BI52" s="318">
        <v>0</v>
      </c>
      <c r="BJ52" s="318">
        <v>0</v>
      </c>
      <c r="BK52" s="318">
        <v>9119</v>
      </c>
      <c r="BL52" s="318">
        <v>732</v>
      </c>
      <c r="BM52" s="318">
        <v>0</v>
      </c>
      <c r="BN52" s="318">
        <v>33060</v>
      </c>
      <c r="BO52" s="318">
        <v>0</v>
      </c>
      <c r="BP52" s="318">
        <v>0</v>
      </c>
      <c r="BQ52" s="318">
        <v>0</v>
      </c>
      <c r="BR52" s="318">
        <v>2008</v>
      </c>
      <c r="BS52" s="318">
        <v>0</v>
      </c>
      <c r="BT52" s="318">
        <v>0</v>
      </c>
      <c r="BU52" s="318">
        <v>0</v>
      </c>
      <c r="BV52" s="318">
        <v>3027</v>
      </c>
      <c r="BW52" s="318">
        <v>0</v>
      </c>
      <c r="BX52" s="318">
        <v>0</v>
      </c>
      <c r="BY52" s="318">
        <v>1039</v>
      </c>
      <c r="BZ52" s="318">
        <v>0</v>
      </c>
      <c r="CA52" s="318">
        <v>0</v>
      </c>
      <c r="CB52" s="318">
        <v>0</v>
      </c>
      <c r="CC52" s="318">
        <v>0</v>
      </c>
      <c r="CD52" s="318"/>
      <c r="CE52" s="318">
        <v>277720</v>
      </c>
      <c r="CF52" s="296"/>
    </row>
    <row r="53" spans="1:84" ht="12.65" customHeight="1" x14ac:dyDescent="0.3">
      <c r="A53" s="302" t="s">
        <v>206</v>
      </c>
      <c r="B53" s="318">
        <v>912908.99</v>
      </c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8"/>
      <c r="CD53" s="318"/>
      <c r="CE53" s="318"/>
      <c r="CF53" s="296"/>
    </row>
    <row r="54" spans="1:84" ht="15.75" customHeight="1" x14ac:dyDescent="0.3">
      <c r="A54" s="302"/>
      <c r="B54" s="302"/>
      <c r="C54" s="315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  <c r="BR54" s="302"/>
      <c r="BS54" s="302"/>
      <c r="BT54" s="302"/>
      <c r="BU54" s="302"/>
      <c r="BV54" s="302"/>
      <c r="BW54" s="302"/>
      <c r="BX54" s="302"/>
      <c r="BY54" s="302"/>
      <c r="BZ54" s="302"/>
      <c r="CA54" s="302"/>
      <c r="CB54" s="302"/>
      <c r="CC54" s="302"/>
      <c r="CD54" s="302"/>
      <c r="CE54" s="302"/>
      <c r="CF54" s="296"/>
    </row>
    <row r="55" spans="1:84" ht="12.65" customHeight="1" x14ac:dyDescent="0.3">
      <c r="A55" s="298" t="s">
        <v>209</v>
      </c>
      <c r="B55" s="302"/>
      <c r="C55" s="30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37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96"/>
    </row>
    <row r="56" spans="1:84" ht="12.65" customHeight="1" x14ac:dyDescent="0.3">
      <c r="A56" s="298" t="s">
        <v>210</v>
      </c>
      <c r="B56" s="302"/>
      <c r="C56" s="30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96"/>
    </row>
    <row r="57" spans="1:84" ht="12.65" customHeight="1" x14ac:dyDescent="0.3">
      <c r="A57" s="298" t="s">
        <v>212</v>
      </c>
      <c r="B57" s="302"/>
      <c r="C57" s="30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96"/>
    </row>
    <row r="58" spans="1:84" ht="12.65" customHeight="1" x14ac:dyDescent="0.3">
      <c r="A58" s="298" t="s">
        <v>214</v>
      </c>
      <c r="B58" s="302"/>
      <c r="C58" s="30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335" t="s">
        <v>220</v>
      </c>
      <c r="S58" s="338" t="s">
        <v>221</v>
      </c>
      <c r="T58" s="338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38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38" t="s">
        <v>221</v>
      </c>
      <c r="AW58" s="338" t="s">
        <v>221</v>
      </c>
      <c r="AX58" s="338" t="s">
        <v>221</v>
      </c>
      <c r="AY58" s="297" t="s">
        <v>231</v>
      </c>
      <c r="AZ58" s="297" t="s">
        <v>231</v>
      </c>
      <c r="BA58" s="338" t="s">
        <v>221</v>
      </c>
      <c r="BB58" s="338" t="s">
        <v>221</v>
      </c>
      <c r="BC58" s="338" t="s">
        <v>221</v>
      </c>
      <c r="BD58" s="338" t="s">
        <v>221</v>
      </c>
      <c r="BE58" s="297" t="s">
        <v>232</v>
      </c>
      <c r="BF58" s="338" t="s">
        <v>221</v>
      </c>
      <c r="BG58" s="338" t="s">
        <v>221</v>
      </c>
      <c r="BH58" s="338" t="s">
        <v>221</v>
      </c>
      <c r="BI58" s="338" t="s">
        <v>221</v>
      </c>
      <c r="BJ58" s="338" t="s">
        <v>221</v>
      </c>
      <c r="BK58" s="338" t="s">
        <v>221</v>
      </c>
      <c r="BL58" s="338" t="s">
        <v>221</v>
      </c>
      <c r="BM58" s="338" t="s">
        <v>221</v>
      </c>
      <c r="BN58" s="338" t="s">
        <v>221</v>
      </c>
      <c r="BO58" s="338" t="s">
        <v>221</v>
      </c>
      <c r="BP58" s="338" t="s">
        <v>221</v>
      </c>
      <c r="BQ58" s="338" t="s">
        <v>221</v>
      </c>
      <c r="BR58" s="338" t="s">
        <v>221</v>
      </c>
      <c r="BS58" s="338" t="s">
        <v>221</v>
      </c>
      <c r="BT58" s="338" t="s">
        <v>221</v>
      </c>
      <c r="BU58" s="338" t="s">
        <v>221</v>
      </c>
      <c r="BV58" s="338" t="s">
        <v>221</v>
      </c>
      <c r="BW58" s="338" t="s">
        <v>221</v>
      </c>
      <c r="BX58" s="338" t="s">
        <v>221</v>
      </c>
      <c r="BY58" s="338" t="s">
        <v>221</v>
      </c>
      <c r="BZ58" s="338" t="s">
        <v>221</v>
      </c>
      <c r="CA58" s="338" t="s">
        <v>221</v>
      </c>
      <c r="CB58" s="338" t="s">
        <v>221</v>
      </c>
      <c r="CC58" s="338" t="s">
        <v>221</v>
      </c>
      <c r="CD58" s="338" t="s">
        <v>221</v>
      </c>
      <c r="CE58" s="338" t="s">
        <v>221</v>
      </c>
      <c r="CF58" s="296"/>
    </row>
    <row r="59" spans="1:84" ht="12.65" customHeight="1" x14ac:dyDescent="0.3">
      <c r="A59" s="298" t="s">
        <v>233</v>
      </c>
      <c r="B59" s="302"/>
      <c r="C59" s="308"/>
      <c r="D59" s="308"/>
      <c r="E59" s="308">
        <v>647</v>
      </c>
      <c r="F59" s="308"/>
      <c r="G59" s="308"/>
      <c r="H59" s="308"/>
      <c r="I59" s="308"/>
      <c r="J59" s="308">
        <v>67</v>
      </c>
      <c r="K59" s="308">
        <v>6779</v>
      </c>
      <c r="L59" s="308">
        <v>690</v>
      </c>
      <c r="M59" s="308"/>
      <c r="N59" s="308"/>
      <c r="O59" s="308">
        <v>67</v>
      </c>
      <c r="P59" s="309">
        <v>7094</v>
      </c>
      <c r="Q59" s="309">
        <v>7601</v>
      </c>
      <c r="R59" s="309">
        <v>12415</v>
      </c>
      <c r="S59" s="339"/>
      <c r="T59" s="339"/>
      <c r="U59" s="328">
        <v>58450</v>
      </c>
      <c r="V59" s="309"/>
      <c r="W59" s="309">
        <v>4249</v>
      </c>
      <c r="X59" s="309">
        <v>10926</v>
      </c>
      <c r="Y59" s="309">
        <v>6848</v>
      </c>
      <c r="Z59" s="309"/>
      <c r="AA59" s="309">
        <v>328</v>
      </c>
      <c r="AB59" s="339"/>
      <c r="AC59" s="309">
        <v>450</v>
      </c>
      <c r="AD59" s="309"/>
      <c r="AE59" s="309">
        <v>6259</v>
      </c>
      <c r="AF59" s="309"/>
      <c r="AG59" s="309">
        <v>4102</v>
      </c>
      <c r="AH59" s="309">
        <v>845</v>
      </c>
      <c r="AI59" s="309">
        <v>382</v>
      </c>
      <c r="AJ59" s="309">
        <v>17522</v>
      </c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>
        <v>18114</v>
      </c>
      <c r="AV59" s="339"/>
      <c r="AW59" s="339"/>
      <c r="AX59" s="339"/>
      <c r="AY59" s="309">
        <v>25845</v>
      </c>
      <c r="AZ59" s="309"/>
      <c r="BA59" s="339"/>
      <c r="BB59" s="339"/>
      <c r="BC59" s="339"/>
      <c r="BD59" s="339"/>
      <c r="BE59" s="309">
        <v>56157</v>
      </c>
      <c r="BF59" s="339"/>
      <c r="BG59" s="339"/>
      <c r="BH59" s="339"/>
      <c r="BI59" s="339"/>
      <c r="BJ59" s="339"/>
      <c r="BK59" s="339"/>
      <c r="BL59" s="339"/>
      <c r="BM59" s="339"/>
      <c r="BN59" s="339"/>
      <c r="BO59" s="339"/>
      <c r="BP59" s="339"/>
      <c r="BQ59" s="339"/>
      <c r="BR59" s="339"/>
      <c r="BS59" s="339"/>
      <c r="BT59" s="339"/>
      <c r="BU59" s="339"/>
      <c r="BV59" s="339"/>
      <c r="BW59" s="339"/>
      <c r="BX59" s="339"/>
      <c r="BY59" s="339"/>
      <c r="BZ59" s="339"/>
      <c r="CA59" s="339"/>
      <c r="CB59" s="339"/>
      <c r="CC59" s="339"/>
      <c r="CD59" s="340"/>
      <c r="CE59" s="318"/>
      <c r="CF59" s="296"/>
    </row>
    <row r="60" spans="1:84" ht="12.65" customHeight="1" x14ac:dyDescent="0.3">
      <c r="A60" s="341" t="s">
        <v>234</v>
      </c>
      <c r="B60" s="302"/>
      <c r="C60" s="310"/>
      <c r="D60" s="311"/>
      <c r="E60" s="311">
        <v>14.92</v>
      </c>
      <c r="F60" s="327"/>
      <c r="G60" s="311"/>
      <c r="H60" s="311"/>
      <c r="I60" s="311"/>
      <c r="J60" s="327">
        <v>0</v>
      </c>
      <c r="K60" s="311">
        <v>28.24</v>
      </c>
      <c r="L60" s="311">
        <v>4.16</v>
      </c>
      <c r="M60" s="311"/>
      <c r="N60" s="311"/>
      <c r="O60" s="311">
        <v>0.37</v>
      </c>
      <c r="P60" s="325">
        <v>3.92</v>
      </c>
      <c r="Q60" s="325">
        <v>0</v>
      </c>
      <c r="R60" s="325">
        <v>1.04</v>
      </c>
      <c r="S60" s="325">
        <v>2.0699999999999998</v>
      </c>
      <c r="T60" s="325"/>
      <c r="U60" s="325">
        <v>9.5399999999999991</v>
      </c>
      <c r="V60" s="325"/>
      <c r="W60" s="325">
        <v>0</v>
      </c>
      <c r="X60" s="325">
        <v>0</v>
      </c>
      <c r="Y60" s="325">
        <v>9.5399999999999991</v>
      </c>
      <c r="Z60" s="325"/>
      <c r="AA60" s="325"/>
      <c r="AB60" s="325">
        <v>2.13</v>
      </c>
      <c r="AC60" s="325">
        <v>1.07</v>
      </c>
      <c r="AD60" s="325"/>
      <c r="AE60" s="325">
        <v>8.58</v>
      </c>
      <c r="AF60" s="325"/>
      <c r="AG60" s="325">
        <v>6.34</v>
      </c>
      <c r="AH60" s="325">
        <v>3.39</v>
      </c>
      <c r="AI60" s="325">
        <v>1.41</v>
      </c>
      <c r="AJ60" s="325">
        <v>36.86</v>
      </c>
      <c r="AK60" s="325"/>
      <c r="AL60" s="325"/>
      <c r="AM60" s="325"/>
      <c r="AN60" s="325"/>
      <c r="AO60" s="325"/>
      <c r="AP60" s="325"/>
      <c r="AQ60" s="325"/>
      <c r="AR60" s="325"/>
      <c r="AS60" s="325"/>
      <c r="AT60" s="325"/>
      <c r="AU60" s="325">
        <v>18.38</v>
      </c>
      <c r="AV60" s="325">
        <v>2.89</v>
      </c>
      <c r="AW60" s="325"/>
      <c r="AX60" s="325"/>
      <c r="AY60" s="325">
        <v>11.68</v>
      </c>
      <c r="AZ60" s="325"/>
      <c r="BA60" s="325"/>
      <c r="BB60" s="325">
        <v>2</v>
      </c>
      <c r="BC60" s="325"/>
      <c r="BD60" s="325">
        <v>2.69</v>
      </c>
      <c r="BE60" s="325">
        <v>5.96</v>
      </c>
      <c r="BF60" s="325">
        <v>14.66</v>
      </c>
      <c r="BG60" s="325"/>
      <c r="BH60" s="325">
        <v>3.53</v>
      </c>
      <c r="BI60" s="325"/>
      <c r="BJ60" s="325">
        <v>4.16</v>
      </c>
      <c r="BK60" s="325">
        <v>14.78</v>
      </c>
      <c r="BL60" s="325">
        <v>5.91</v>
      </c>
      <c r="BM60" s="325"/>
      <c r="BN60" s="325">
        <v>4.9000000000000004</v>
      </c>
      <c r="BO60" s="325"/>
      <c r="BP60" s="325"/>
      <c r="BQ60" s="325"/>
      <c r="BR60" s="325">
        <v>2</v>
      </c>
      <c r="BS60" s="325"/>
      <c r="BT60" s="325"/>
      <c r="BU60" s="325"/>
      <c r="BV60" s="325">
        <v>3.72</v>
      </c>
      <c r="BW60" s="325"/>
      <c r="BX60" s="325">
        <v>2.4700000000000002</v>
      </c>
      <c r="BY60" s="325">
        <v>2.12</v>
      </c>
      <c r="BZ60" s="325"/>
      <c r="CA60" s="325">
        <v>0.27</v>
      </c>
      <c r="CB60" s="325"/>
      <c r="CC60" s="325">
        <v>4.75</v>
      </c>
      <c r="CD60" s="340" t="s">
        <v>221</v>
      </c>
      <c r="CE60" s="342">
        <v>240.45</v>
      </c>
      <c r="CF60" s="296"/>
    </row>
    <row r="61" spans="1:84" ht="12.65" customHeight="1" x14ac:dyDescent="0.3">
      <c r="A61" s="298" t="s">
        <v>235</v>
      </c>
      <c r="B61" s="302"/>
      <c r="C61" s="308"/>
      <c r="D61" s="308"/>
      <c r="E61" s="308">
        <v>1446231</v>
      </c>
      <c r="F61" s="309"/>
      <c r="G61" s="308"/>
      <c r="H61" s="308"/>
      <c r="I61" s="309"/>
      <c r="J61" s="309">
        <v>0</v>
      </c>
      <c r="K61" s="309">
        <v>1770518</v>
      </c>
      <c r="L61" s="309">
        <v>355278</v>
      </c>
      <c r="M61" s="308"/>
      <c r="N61" s="308"/>
      <c r="O61" s="308">
        <v>147132</v>
      </c>
      <c r="P61" s="309">
        <v>531634</v>
      </c>
      <c r="Q61" s="309">
        <v>2182</v>
      </c>
      <c r="R61" s="309">
        <v>425271</v>
      </c>
      <c r="S61" s="309">
        <v>58536</v>
      </c>
      <c r="T61" s="309"/>
      <c r="U61" s="309">
        <v>633242</v>
      </c>
      <c r="V61" s="309"/>
      <c r="W61" s="309">
        <v>0</v>
      </c>
      <c r="X61" s="309">
        <v>0</v>
      </c>
      <c r="Y61" s="309">
        <v>1043762</v>
      </c>
      <c r="Z61" s="309"/>
      <c r="AA61" s="309"/>
      <c r="AB61" s="309">
        <v>234576</v>
      </c>
      <c r="AC61" s="309">
        <v>84194</v>
      </c>
      <c r="AD61" s="309"/>
      <c r="AE61" s="309">
        <v>421950</v>
      </c>
      <c r="AF61" s="309"/>
      <c r="AG61" s="309">
        <v>722421</v>
      </c>
      <c r="AH61" s="309">
        <v>180029</v>
      </c>
      <c r="AI61" s="309">
        <v>134808</v>
      </c>
      <c r="AJ61" s="309">
        <v>3421224</v>
      </c>
      <c r="AK61" s="309"/>
      <c r="AL61" s="309"/>
      <c r="AM61" s="309"/>
      <c r="AN61" s="309"/>
      <c r="AO61" s="309"/>
      <c r="AP61" s="309"/>
      <c r="AQ61" s="309"/>
      <c r="AR61" s="309"/>
      <c r="AS61" s="309"/>
      <c r="AT61" s="309"/>
      <c r="AU61" s="309">
        <v>1034369</v>
      </c>
      <c r="AV61" s="309">
        <v>181309</v>
      </c>
      <c r="AW61" s="309"/>
      <c r="AX61" s="309"/>
      <c r="AY61" s="309">
        <v>471063</v>
      </c>
      <c r="AZ61" s="309"/>
      <c r="BA61" s="309"/>
      <c r="BB61" s="309">
        <v>143907</v>
      </c>
      <c r="BC61" s="309"/>
      <c r="BD61" s="309">
        <v>140178</v>
      </c>
      <c r="BE61" s="309">
        <v>367754</v>
      </c>
      <c r="BF61" s="309">
        <v>512583</v>
      </c>
      <c r="BG61" s="309"/>
      <c r="BH61" s="309">
        <v>282354</v>
      </c>
      <c r="BI61" s="309"/>
      <c r="BJ61" s="309">
        <v>210914</v>
      </c>
      <c r="BK61" s="309">
        <v>641467</v>
      </c>
      <c r="BL61" s="309">
        <v>254833</v>
      </c>
      <c r="BM61" s="309"/>
      <c r="BN61" s="309">
        <v>504921</v>
      </c>
      <c r="BO61" s="309"/>
      <c r="BP61" s="309"/>
      <c r="BQ61" s="309"/>
      <c r="BR61" s="309">
        <v>169750</v>
      </c>
      <c r="BS61" s="309"/>
      <c r="BT61" s="309"/>
      <c r="BU61" s="309"/>
      <c r="BV61" s="309">
        <v>161968</v>
      </c>
      <c r="BW61" s="309"/>
      <c r="BX61" s="309">
        <v>217779</v>
      </c>
      <c r="BY61" s="309">
        <v>194887</v>
      </c>
      <c r="BZ61" s="309"/>
      <c r="CA61" s="309">
        <v>18472</v>
      </c>
      <c r="CB61" s="309"/>
      <c r="CC61" s="309">
        <v>377525</v>
      </c>
      <c r="CD61" s="340" t="s">
        <v>221</v>
      </c>
      <c r="CE61" s="318">
        <v>17499021</v>
      </c>
      <c r="CF61" s="343"/>
    </row>
    <row r="62" spans="1:84" ht="12.65" customHeight="1" x14ac:dyDescent="0.3">
      <c r="A62" s="298" t="s">
        <v>3</v>
      </c>
      <c r="B62" s="302"/>
      <c r="C62" s="318">
        <v>0</v>
      </c>
      <c r="D62" s="318">
        <v>0</v>
      </c>
      <c r="E62" s="318">
        <v>453924</v>
      </c>
      <c r="F62" s="318">
        <v>0</v>
      </c>
      <c r="G62" s="318">
        <v>0</v>
      </c>
      <c r="H62" s="318">
        <v>0</v>
      </c>
      <c r="I62" s="318">
        <v>0</v>
      </c>
      <c r="J62" s="318">
        <v>0</v>
      </c>
      <c r="K62" s="318">
        <v>555706</v>
      </c>
      <c r="L62" s="318">
        <v>111510</v>
      </c>
      <c r="M62" s="318">
        <v>0</v>
      </c>
      <c r="N62" s="318">
        <v>0</v>
      </c>
      <c r="O62" s="318">
        <v>46180</v>
      </c>
      <c r="P62" s="318">
        <v>166862</v>
      </c>
      <c r="Q62" s="318">
        <v>685</v>
      </c>
      <c r="R62" s="318">
        <v>133478</v>
      </c>
      <c r="S62" s="318">
        <v>18372</v>
      </c>
      <c r="T62" s="318">
        <v>0</v>
      </c>
      <c r="U62" s="318">
        <v>198753</v>
      </c>
      <c r="V62" s="318">
        <v>0</v>
      </c>
      <c r="W62" s="318">
        <v>0</v>
      </c>
      <c r="X62" s="318">
        <v>0</v>
      </c>
      <c r="Y62" s="318">
        <v>327602</v>
      </c>
      <c r="Z62" s="318">
        <v>0</v>
      </c>
      <c r="AA62" s="318">
        <v>0</v>
      </c>
      <c r="AB62" s="318">
        <v>73626</v>
      </c>
      <c r="AC62" s="318">
        <v>26426</v>
      </c>
      <c r="AD62" s="318">
        <v>0</v>
      </c>
      <c r="AE62" s="318">
        <v>132436</v>
      </c>
      <c r="AF62" s="318">
        <v>0</v>
      </c>
      <c r="AG62" s="318">
        <v>226744</v>
      </c>
      <c r="AH62" s="318">
        <v>56505</v>
      </c>
      <c r="AI62" s="318">
        <v>42312</v>
      </c>
      <c r="AJ62" s="318">
        <v>1073808</v>
      </c>
      <c r="AK62" s="318">
        <v>0</v>
      </c>
      <c r="AL62" s="318">
        <v>0</v>
      </c>
      <c r="AM62" s="318">
        <v>0</v>
      </c>
      <c r="AN62" s="318">
        <v>0</v>
      </c>
      <c r="AO62" s="318">
        <v>0</v>
      </c>
      <c r="AP62" s="318">
        <v>0</v>
      </c>
      <c r="AQ62" s="318">
        <v>0</v>
      </c>
      <c r="AR62" s="318">
        <v>0</v>
      </c>
      <c r="AS62" s="318">
        <v>0</v>
      </c>
      <c r="AT62" s="318">
        <v>0</v>
      </c>
      <c r="AU62" s="318">
        <v>324654</v>
      </c>
      <c r="AV62" s="318">
        <v>56907</v>
      </c>
      <c r="AW62" s="318">
        <v>0</v>
      </c>
      <c r="AX62" s="318">
        <v>0</v>
      </c>
      <c r="AY62" s="318">
        <v>147851</v>
      </c>
      <c r="AZ62" s="318">
        <v>0</v>
      </c>
      <c r="BA62" s="318">
        <v>0</v>
      </c>
      <c r="BB62" s="318">
        <v>45168</v>
      </c>
      <c r="BC62" s="318">
        <v>0</v>
      </c>
      <c r="BD62" s="318">
        <v>43997</v>
      </c>
      <c r="BE62" s="318">
        <v>115426</v>
      </c>
      <c r="BF62" s="318">
        <v>160883</v>
      </c>
      <c r="BG62" s="318">
        <v>0</v>
      </c>
      <c r="BH62" s="318">
        <v>88621</v>
      </c>
      <c r="BI62" s="318">
        <v>0</v>
      </c>
      <c r="BJ62" s="318">
        <v>66199</v>
      </c>
      <c r="BK62" s="318">
        <v>201335</v>
      </c>
      <c r="BL62" s="318">
        <v>79984</v>
      </c>
      <c r="BM62" s="318">
        <v>0</v>
      </c>
      <c r="BN62" s="318">
        <v>158478</v>
      </c>
      <c r="BO62" s="318">
        <v>0</v>
      </c>
      <c r="BP62" s="318">
        <v>0</v>
      </c>
      <c r="BQ62" s="318">
        <v>0</v>
      </c>
      <c r="BR62" s="318">
        <v>53279</v>
      </c>
      <c r="BS62" s="318">
        <v>0</v>
      </c>
      <c r="BT62" s="318">
        <v>0</v>
      </c>
      <c r="BU62" s="318">
        <v>0</v>
      </c>
      <c r="BV62" s="318">
        <v>50836</v>
      </c>
      <c r="BW62" s="318">
        <v>0</v>
      </c>
      <c r="BX62" s="318">
        <v>68354</v>
      </c>
      <c r="BY62" s="318">
        <v>61169</v>
      </c>
      <c r="BZ62" s="318">
        <v>0</v>
      </c>
      <c r="CA62" s="318">
        <v>5798</v>
      </c>
      <c r="CB62" s="318">
        <v>0</v>
      </c>
      <c r="CC62" s="318">
        <v>118492</v>
      </c>
      <c r="CD62" s="340" t="s">
        <v>221</v>
      </c>
      <c r="CE62" s="318">
        <v>5492360</v>
      </c>
      <c r="CF62" s="343"/>
    </row>
    <row r="63" spans="1:84" ht="12.65" customHeight="1" x14ac:dyDescent="0.3">
      <c r="A63" s="298" t="s">
        <v>236</v>
      </c>
      <c r="B63" s="302"/>
      <c r="C63" s="308"/>
      <c r="D63" s="308"/>
      <c r="E63" s="308">
        <v>156400</v>
      </c>
      <c r="F63" s="309"/>
      <c r="G63" s="308"/>
      <c r="H63" s="308"/>
      <c r="I63" s="309"/>
      <c r="J63" s="309"/>
      <c r="K63" s="309">
        <v>40516</v>
      </c>
      <c r="L63" s="309"/>
      <c r="M63" s="308"/>
      <c r="N63" s="308"/>
      <c r="O63" s="308">
        <v>183572</v>
      </c>
      <c r="P63" s="309">
        <v>7200</v>
      </c>
      <c r="Q63" s="309"/>
      <c r="R63" s="309">
        <v>-3</v>
      </c>
      <c r="S63" s="309"/>
      <c r="T63" s="309"/>
      <c r="U63" s="309">
        <v>251502</v>
      </c>
      <c r="V63" s="309"/>
      <c r="W63" s="309">
        <v>145310</v>
      </c>
      <c r="X63" s="309"/>
      <c r="Y63" s="309">
        <v>43665</v>
      </c>
      <c r="Z63" s="309"/>
      <c r="AA63" s="309">
        <v>55300</v>
      </c>
      <c r="AB63" s="309">
        <v>42934</v>
      </c>
      <c r="AC63" s="309">
        <v>0</v>
      </c>
      <c r="AD63" s="309"/>
      <c r="AE63" s="309">
        <v>276958</v>
      </c>
      <c r="AF63" s="309"/>
      <c r="AG63" s="309">
        <v>771846</v>
      </c>
      <c r="AH63" s="309">
        <v>0</v>
      </c>
      <c r="AI63" s="309"/>
      <c r="AJ63" s="309">
        <v>225731</v>
      </c>
      <c r="AK63" s="309"/>
      <c r="AL63" s="309"/>
      <c r="AM63" s="309"/>
      <c r="AN63" s="309"/>
      <c r="AO63" s="309"/>
      <c r="AP63" s="309"/>
      <c r="AQ63" s="309"/>
      <c r="AR63" s="309"/>
      <c r="AS63" s="309"/>
      <c r="AT63" s="309"/>
      <c r="AU63" s="309">
        <v>0</v>
      </c>
      <c r="AV63" s="309">
        <v>86047</v>
      </c>
      <c r="AW63" s="309"/>
      <c r="AX63" s="309"/>
      <c r="AY63" s="309">
        <v>1005</v>
      </c>
      <c r="AZ63" s="309"/>
      <c r="BA63" s="309"/>
      <c r="BB63" s="309">
        <v>66</v>
      </c>
      <c r="BC63" s="309"/>
      <c r="BD63" s="309"/>
      <c r="BE63" s="309"/>
      <c r="BF63" s="309"/>
      <c r="BG63" s="309"/>
      <c r="BH63" s="309"/>
      <c r="BI63" s="309"/>
      <c r="BJ63" s="309">
        <v>94994</v>
      </c>
      <c r="BK63" s="309">
        <v>8775</v>
      </c>
      <c r="BL63" s="309">
        <v>17</v>
      </c>
      <c r="BM63" s="309"/>
      <c r="BN63" s="309">
        <v>149023</v>
      </c>
      <c r="BO63" s="309"/>
      <c r="BP63" s="309"/>
      <c r="BQ63" s="309"/>
      <c r="BR63" s="309">
        <v>11986</v>
      </c>
      <c r="BS63" s="309"/>
      <c r="BT63" s="309"/>
      <c r="BU63" s="309"/>
      <c r="BV63" s="309">
        <v>33438</v>
      </c>
      <c r="BW63" s="309"/>
      <c r="BX63" s="309">
        <v>758</v>
      </c>
      <c r="BY63" s="309">
        <v>0</v>
      </c>
      <c r="BZ63" s="309"/>
      <c r="CA63" s="309"/>
      <c r="CB63" s="309"/>
      <c r="CC63" s="309">
        <v>5013</v>
      </c>
      <c r="CD63" s="340" t="s">
        <v>221</v>
      </c>
      <c r="CE63" s="318">
        <v>2592053</v>
      </c>
      <c r="CF63" s="343"/>
    </row>
    <row r="64" spans="1:84" ht="12.65" customHeight="1" x14ac:dyDescent="0.3">
      <c r="A64" s="298" t="s">
        <v>237</v>
      </c>
      <c r="B64" s="302"/>
      <c r="C64" s="308"/>
      <c r="D64" s="308"/>
      <c r="E64" s="309">
        <v>81245</v>
      </c>
      <c r="F64" s="309"/>
      <c r="G64" s="308"/>
      <c r="H64" s="308"/>
      <c r="I64" s="309"/>
      <c r="J64" s="309">
        <v>2450</v>
      </c>
      <c r="K64" s="309">
        <v>104049</v>
      </c>
      <c r="L64" s="309"/>
      <c r="M64" s="308"/>
      <c r="N64" s="308"/>
      <c r="O64" s="308">
        <v>8873</v>
      </c>
      <c r="P64" s="309">
        <v>88377</v>
      </c>
      <c r="Q64" s="309"/>
      <c r="R64" s="309">
        <v>13228</v>
      </c>
      <c r="S64" s="309">
        <v>43760</v>
      </c>
      <c r="T64" s="309"/>
      <c r="U64" s="309">
        <v>1203911</v>
      </c>
      <c r="V64" s="309">
        <v>434</v>
      </c>
      <c r="W64" s="309">
        <v>1766</v>
      </c>
      <c r="X64" s="309">
        <v>12339</v>
      </c>
      <c r="Y64" s="309">
        <v>21843</v>
      </c>
      <c r="Z64" s="309"/>
      <c r="AA64" s="309">
        <v>14074</v>
      </c>
      <c r="AB64" s="309">
        <v>743293</v>
      </c>
      <c r="AC64" s="309">
        <v>2295</v>
      </c>
      <c r="AD64" s="309"/>
      <c r="AE64" s="309">
        <v>13534</v>
      </c>
      <c r="AF64" s="309"/>
      <c r="AG64" s="309">
        <v>55349</v>
      </c>
      <c r="AH64" s="309">
        <v>32962</v>
      </c>
      <c r="AI64" s="309"/>
      <c r="AJ64" s="309">
        <v>253175</v>
      </c>
      <c r="AK64" s="309"/>
      <c r="AL64" s="309"/>
      <c r="AM64" s="309"/>
      <c r="AN64" s="309"/>
      <c r="AO64" s="309"/>
      <c r="AP64" s="309"/>
      <c r="AQ64" s="309"/>
      <c r="AR64" s="309"/>
      <c r="AS64" s="309"/>
      <c r="AT64" s="309"/>
      <c r="AU64" s="309">
        <v>9808</v>
      </c>
      <c r="AV64" s="309">
        <v>55533</v>
      </c>
      <c r="AW64" s="309"/>
      <c r="AX64" s="309"/>
      <c r="AY64" s="309">
        <v>258630</v>
      </c>
      <c r="AZ64" s="309"/>
      <c r="BA64" s="309">
        <v>10094</v>
      </c>
      <c r="BB64" s="309">
        <v>653</v>
      </c>
      <c r="BC64" s="309"/>
      <c r="BD64" s="309">
        <v>1583</v>
      </c>
      <c r="BE64" s="309">
        <v>61335</v>
      </c>
      <c r="BF64" s="309">
        <v>70340</v>
      </c>
      <c r="BG64" s="309"/>
      <c r="BH64" s="309">
        <v>16598</v>
      </c>
      <c r="BI64" s="309"/>
      <c r="BJ64" s="309">
        <v>5605</v>
      </c>
      <c r="BK64" s="309">
        <v>17880</v>
      </c>
      <c r="BL64" s="309">
        <v>9009</v>
      </c>
      <c r="BM64" s="309"/>
      <c r="BN64" s="309">
        <v>24213</v>
      </c>
      <c r="BO64" s="309"/>
      <c r="BP64" s="309"/>
      <c r="BQ64" s="309"/>
      <c r="BR64" s="309">
        <v>10110</v>
      </c>
      <c r="BS64" s="309"/>
      <c r="BT64" s="309"/>
      <c r="BU64" s="309"/>
      <c r="BV64" s="309">
        <v>6256</v>
      </c>
      <c r="BW64" s="309"/>
      <c r="BX64" s="309">
        <v>396</v>
      </c>
      <c r="BY64" s="309">
        <v>1306</v>
      </c>
      <c r="BZ64" s="309"/>
      <c r="CA64" s="309">
        <v>359</v>
      </c>
      <c r="CB64" s="309"/>
      <c r="CC64" s="309">
        <v>104722</v>
      </c>
      <c r="CD64" s="340" t="s">
        <v>221</v>
      </c>
      <c r="CE64" s="318">
        <v>3361387</v>
      </c>
      <c r="CF64" s="343"/>
    </row>
    <row r="65" spans="1:84" ht="12.65" customHeight="1" x14ac:dyDescent="0.3">
      <c r="A65" s="298" t="s">
        <v>238</v>
      </c>
      <c r="B65" s="302"/>
      <c r="C65" s="308"/>
      <c r="D65" s="308"/>
      <c r="E65" s="308">
        <v>882</v>
      </c>
      <c r="F65" s="308"/>
      <c r="G65" s="308"/>
      <c r="H65" s="308"/>
      <c r="I65" s="309"/>
      <c r="J65" s="308"/>
      <c r="K65" s="309">
        <v>639</v>
      </c>
      <c r="L65" s="309"/>
      <c r="M65" s="308"/>
      <c r="N65" s="308"/>
      <c r="O65" s="308"/>
      <c r="P65" s="309">
        <v>9133</v>
      </c>
      <c r="Q65" s="309"/>
      <c r="R65" s="309"/>
      <c r="S65" s="309"/>
      <c r="T65" s="309"/>
      <c r="U65" s="309">
        <v>457</v>
      </c>
      <c r="V65" s="309"/>
      <c r="W65" s="309"/>
      <c r="X65" s="309"/>
      <c r="Y65" s="309">
        <v>953</v>
      </c>
      <c r="Z65" s="309"/>
      <c r="AA65" s="309"/>
      <c r="AB65" s="309">
        <v>2348</v>
      </c>
      <c r="AC65" s="309">
        <v>0</v>
      </c>
      <c r="AD65" s="309"/>
      <c r="AE65" s="309">
        <v>363</v>
      </c>
      <c r="AF65" s="309"/>
      <c r="AG65" s="309">
        <v>563</v>
      </c>
      <c r="AH65" s="309">
        <v>13548</v>
      </c>
      <c r="AI65" s="309"/>
      <c r="AJ65" s="309">
        <v>74976</v>
      </c>
      <c r="AK65" s="309"/>
      <c r="AL65" s="309"/>
      <c r="AM65" s="309"/>
      <c r="AN65" s="309"/>
      <c r="AO65" s="309"/>
      <c r="AP65" s="309"/>
      <c r="AQ65" s="309"/>
      <c r="AR65" s="309"/>
      <c r="AS65" s="309"/>
      <c r="AT65" s="309"/>
      <c r="AU65" s="309">
        <v>16915</v>
      </c>
      <c r="AV65" s="309">
        <v>1224</v>
      </c>
      <c r="AW65" s="309"/>
      <c r="AX65" s="309"/>
      <c r="AY65" s="309">
        <v>56</v>
      </c>
      <c r="AZ65" s="309"/>
      <c r="BA65" s="309"/>
      <c r="BB65" s="309">
        <v>846</v>
      </c>
      <c r="BC65" s="309"/>
      <c r="BD65" s="309">
        <v>668</v>
      </c>
      <c r="BE65" s="309">
        <v>297145</v>
      </c>
      <c r="BF65" s="309">
        <v>11</v>
      </c>
      <c r="BG65" s="309"/>
      <c r="BH65" s="309">
        <v>10495</v>
      </c>
      <c r="BI65" s="309"/>
      <c r="BJ65" s="309">
        <v>373</v>
      </c>
      <c r="BK65" s="309">
        <v>504</v>
      </c>
      <c r="BL65" s="309">
        <v>855</v>
      </c>
      <c r="BM65" s="309"/>
      <c r="BN65" s="309">
        <v>9042</v>
      </c>
      <c r="BO65" s="309"/>
      <c r="BP65" s="309"/>
      <c r="BQ65" s="309"/>
      <c r="BR65" s="309">
        <v>632</v>
      </c>
      <c r="BS65" s="309"/>
      <c r="BT65" s="309"/>
      <c r="BU65" s="309"/>
      <c r="BV65" s="309">
        <v>398</v>
      </c>
      <c r="BW65" s="309"/>
      <c r="BX65" s="309">
        <v>23</v>
      </c>
      <c r="BY65" s="309">
        <v>33</v>
      </c>
      <c r="BZ65" s="309"/>
      <c r="CA65" s="309"/>
      <c r="CB65" s="309"/>
      <c r="CC65" s="309">
        <v>938</v>
      </c>
      <c r="CD65" s="340" t="s">
        <v>221</v>
      </c>
      <c r="CE65" s="318">
        <v>444020</v>
      </c>
      <c r="CF65" s="343"/>
    </row>
    <row r="66" spans="1:84" ht="12.65" customHeight="1" x14ac:dyDescent="0.3">
      <c r="A66" s="298" t="s">
        <v>239</v>
      </c>
      <c r="B66" s="302"/>
      <c r="C66" s="308"/>
      <c r="D66" s="308"/>
      <c r="E66" s="308">
        <v>32285</v>
      </c>
      <c r="F66" s="308"/>
      <c r="G66" s="308"/>
      <c r="H66" s="308"/>
      <c r="I66" s="308"/>
      <c r="J66" s="308"/>
      <c r="K66" s="309">
        <v>19062</v>
      </c>
      <c r="L66" s="309"/>
      <c r="M66" s="308"/>
      <c r="N66" s="308"/>
      <c r="O66" s="309">
        <v>166</v>
      </c>
      <c r="P66" s="309">
        <v>28682</v>
      </c>
      <c r="Q66" s="309"/>
      <c r="R66" s="309">
        <v>1627</v>
      </c>
      <c r="S66" s="308">
        <v>84</v>
      </c>
      <c r="T66" s="308"/>
      <c r="U66" s="309">
        <v>66911</v>
      </c>
      <c r="V66" s="309"/>
      <c r="W66" s="309"/>
      <c r="X66" s="309">
        <v>83628</v>
      </c>
      <c r="Y66" s="309">
        <v>187132</v>
      </c>
      <c r="Z66" s="309"/>
      <c r="AA66" s="309"/>
      <c r="AB66" s="309">
        <v>121595</v>
      </c>
      <c r="AC66" s="309">
        <v>281</v>
      </c>
      <c r="AD66" s="309"/>
      <c r="AE66" s="309">
        <v>1859</v>
      </c>
      <c r="AF66" s="309"/>
      <c r="AG66" s="309">
        <v>19746</v>
      </c>
      <c r="AH66" s="309">
        <v>28896</v>
      </c>
      <c r="AI66" s="309"/>
      <c r="AJ66" s="309">
        <v>65136</v>
      </c>
      <c r="AK66" s="309"/>
      <c r="AL66" s="309"/>
      <c r="AM66" s="309"/>
      <c r="AN66" s="309"/>
      <c r="AO66" s="309"/>
      <c r="AP66" s="309"/>
      <c r="AQ66" s="309"/>
      <c r="AR66" s="309"/>
      <c r="AS66" s="309"/>
      <c r="AT66" s="309"/>
      <c r="AU66" s="309">
        <v>104165</v>
      </c>
      <c r="AV66" s="309">
        <v>50600</v>
      </c>
      <c r="AW66" s="309"/>
      <c r="AX66" s="309"/>
      <c r="AY66" s="309">
        <v>5679</v>
      </c>
      <c r="AZ66" s="309"/>
      <c r="BA66" s="309">
        <v>212451</v>
      </c>
      <c r="BB66" s="309">
        <v>239</v>
      </c>
      <c r="BC66" s="309"/>
      <c r="BD66" s="309">
        <v>-36208</v>
      </c>
      <c r="BE66" s="309">
        <v>165856</v>
      </c>
      <c r="BF66" s="309">
        <v>12590</v>
      </c>
      <c r="BG66" s="309"/>
      <c r="BH66" s="309">
        <v>342471</v>
      </c>
      <c r="BI66" s="309"/>
      <c r="BJ66" s="309">
        <v>43313</v>
      </c>
      <c r="BK66" s="309">
        <v>97803</v>
      </c>
      <c r="BL66" s="309">
        <v>3587</v>
      </c>
      <c r="BM66" s="309"/>
      <c r="BN66" s="309">
        <v>102319</v>
      </c>
      <c r="BO66" s="309"/>
      <c r="BP66" s="309"/>
      <c r="BQ66" s="309"/>
      <c r="BR66" s="309">
        <v>46425</v>
      </c>
      <c r="BS66" s="309"/>
      <c r="BT66" s="309"/>
      <c r="BU66" s="309"/>
      <c r="BV66" s="309">
        <v>19158</v>
      </c>
      <c r="BW66" s="309"/>
      <c r="BX66" s="309">
        <v>51995</v>
      </c>
      <c r="BY66" s="309"/>
      <c r="BZ66" s="309"/>
      <c r="CA66" s="309"/>
      <c r="CB66" s="309"/>
      <c r="CC66" s="309">
        <v>23826</v>
      </c>
      <c r="CD66" s="340" t="s">
        <v>221</v>
      </c>
      <c r="CE66" s="318">
        <v>1903359</v>
      </c>
      <c r="CF66" s="343"/>
    </row>
    <row r="67" spans="1:84" ht="12.65" customHeight="1" x14ac:dyDescent="0.3">
      <c r="A67" s="298" t="s">
        <v>6</v>
      </c>
      <c r="B67" s="302"/>
      <c r="C67" s="318">
        <v>0</v>
      </c>
      <c r="D67" s="318">
        <v>0</v>
      </c>
      <c r="E67" s="318">
        <v>62613</v>
      </c>
      <c r="F67" s="318">
        <v>0</v>
      </c>
      <c r="G67" s="318">
        <v>0</v>
      </c>
      <c r="H67" s="318">
        <v>0</v>
      </c>
      <c r="I67" s="318">
        <v>0</v>
      </c>
      <c r="J67" s="318">
        <v>826</v>
      </c>
      <c r="K67" s="318">
        <v>40932</v>
      </c>
      <c r="L67" s="318">
        <v>8585</v>
      </c>
      <c r="M67" s="318">
        <v>0</v>
      </c>
      <c r="N67" s="318">
        <v>0</v>
      </c>
      <c r="O67" s="318">
        <v>11716</v>
      </c>
      <c r="P67" s="318">
        <v>95416</v>
      </c>
      <c r="Q67" s="318">
        <v>10418</v>
      </c>
      <c r="R67" s="318">
        <v>0</v>
      </c>
      <c r="S67" s="318">
        <v>7468</v>
      </c>
      <c r="T67" s="318">
        <v>0</v>
      </c>
      <c r="U67" s="318">
        <v>38095</v>
      </c>
      <c r="V67" s="318">
        <v>8169</v>
      </c>
      <c r="W67" s="318">
        <v>0</v>
      </c>
      <c r="X67" s="318">
        <v>0</v>
      </c>
      <c r="Y67" s="318">
        <v>107585</v>
      </c>
      <c r="Z67" s="318">
        <v>0</v>
      </c>
      <c r="AA67" s="318">
        <v>0</v>
      </c>
      <c r="AB67" s="318">
        <v>12370</v>
      </c>
      <c r="AC67" s="318">
        <v>10388</v>
      </c>
      <c r="AD67" s="318">
        <v>0</v>
      </c>
      <c r="AE67" s="318">
        <v>20965</v>
      </c>
      <c r="AF67" s="318">
        <v>0</v>
      </c>
      <c r="AG67" s="318">
        <v>43642</v>
      </c>
      <c r="AH67" s="318">
        <v>111423</v>
      </c>
      <c r="AI67" s="318">
        <v>0</v>
      </c>
      <c r="AJ67" s="318">
        <v>94030</v>
      </c>
      <c r="AK67" s="318">
        <v>0</v>
      </c>
      <c r="AL67" s="318">
        <v>0</v>
      </c>
      <c r="AM67" s="318">
        <v>0</v>
      </c>
      <c r="AN67" s="318">
        <v>0</v>
      </c>
      <c r="AO67" s="318">
        <v>0</v>
      </c>
      <c r="AP67" s="318">
        <v>0</v>
      </c>
      <c r="AQ67" s="318">
        <v>0</v>
      </c>
      <c r="AR67" s="318">
        <v>0</v>
      </c>
      <c r="AS67" s="318">
        <v>0</v>
      </c>
      <c r="AT67" s="318">
        <v>0</v>
      </c>
      <c r="AU67" s="318">
        <v>13981</v>
      </c>
      <c r="AV67" s="318">
        <v>19841</v>
      </c>
      <c r="AW67" s="318">
        <v>0</v>
      </c>
      <c r="AX67" s="318">
        <v>0</v>
      </c>
      <c r="AY67" s="318">
        <v>6278</v>
      </c>
      <c r="AZ67" s="318">
        <v>3640</v>
      </c>
      <c r="BA67" s="318">
        <v>3694</v>
      </c>
      <c r="BB67" s="318">
        <v>495</v>
      </c>
      <c r="BC67" s="318">
        <v>0</v>
      </c>
      <c r="BD67" s="318">
        <v>495</v>
      </c>
      <c r="BE67" s="318">
        <v>15259</v>
      </c>
      <c r="BF67" s="318">
        <v>2153</v>
      </c>
      <c r="BG67" s="318">
        <v>0</v>
      </c>
      <c r="BH67" s="318">
        <v>92866</v>
      </c>
      <c r="BI67" s="318">
        <v>0</v>
      </c>
      <c r="BJ67" s="318">
        <v>0</v>
      </c>
      <c r="BK67" s="318">
        <v>9119</v>
      </c>
      <c r="BL67" s="318">
        <v>732</v>
      </c>
      <c r="BM67" s="318">
        <v>0</v>
      </c>
      <c r="BN67" s="318">
        <v>52489</v>
      </c>
      <c r="BO67" s="318">
        <v>0</v>
      </c>
      <c r="BP67" s="318">
        <v>0</v>
      </c>
      <c r="BQ67" s="318">
        <v>0</v>
      </c>
      <c r="BR67" s="318">
        <v>2008</v>
      </c>
      <c r="BS67" s="318">
        <v>0</v>
      </c>
      <c r="BT67" s="318">
        <v>0</v>
      </c>
      <c r="BU67" s="318">
        <v>0</v>
      </c>
      <c r="BV67" s="318">
        <v>3027</v>
      </c>
      <c r="BW67" s="318">
        <v>0</v>
      </c>
      <c r="BX67" s="318">
        <v>0</v>
      </c>
      <c r="BY67" s="318">
        <v>1039</v>
      </c>
      <c r="BZ67" s="318">
        <v>0</v>
      </c>
      <c r="CA67" s="318">
        <v>480</v>
      </c>
      <c r="CB67" s="318">
        <v>0</v>
      </c>
      <c r="CC67" s="318">
        <v>676</v>
      </c>
      <c r="CD67" s="340" t="s">
        <v>221</v>
      </c>
      <c r="CE67" s="318">
        <v>912913</v>
      </c>
      <c r="CF67" s="343"/>
    </row>
    <row r="68" spans="1:84" ht="12.65" customHeight="1" x14ac:dyDescent="0.3">
      <c r="A68" s="298" t="s">
        <v>240</v>
      </c>
      <c r="B68" s="302"/>
      <c r="C68" s="308"/>
      <c r="D68" s="308"/>
      <c r="E68" s="308">
        <v>0</v>
      </c>
      <c r="F68" s="308"/>
      <c r="G68" s="308"/>
      <c r="H68" s="308"/>
      <c r="I68" s="308"/>
      <c r="J68" s="308"/>
      <c r="K68" s="309">
        <v>2640</v>
      </c>
      <c r="L68" s="309"/>
      <c r="M68" s="308"/>
      <c r="N68" s="308"/>
      <c r="O68" s="308"/>
      <c r="P68" s="309">
        <v>0</v>
      </c>
      <c r="Q68" s="309"/>
      <c r="R68" s="309"/>
      <c r="S68" s="309"/>
      <c r="T68" s="309"/>
      <c r="U68" s="309">
        <v>23135</v>
      </c>
      <c r="V68" s="309"/>
      <c r="W68" s="309"/>
      <c r="X68" s="309"/>
      <c r="Y68" s="309">
        <v>0</v>
      </c>
      <c r="Z68" s="309"/>
      <c r="AA68" s="309"/>
      <c r="AB68" s="309"/>
      <c r="AC68" s="309"/>
      <c r="AD68" s="309"/>
      <c r="AE68" s="309"/>
      <c r="AF68" s="309"/>
      <c r="AG68" s="309">
        <v>0</v>
      </c>
      <c r="AH68" s="309">
        <v>4315</v>
      </c>
      <c r="AI68" s="309"/>
      <c r="AJ68" s="309">
        <v>277</v>
      </c>
      <c r="AK68" s="309"/>
      <c r="AL68" s="309"/>
      <c r="AM68" s="309"/>
      <c r="AN68" s="309"/>
      <c r="AO68" s="309"/>
      <c r="AP68" s="309"/>
      <c r="AQ68" s="309"/>
      <c r="AR68" s="309"/>
      <c r="AS68" s="309"/>
      <c r="AT68" s="309"/>
      <c r="AU68" s="309">
        <v>0</v>
      </c>
      <c r="AV68" s="309">
        <v>0</v>
      </c>
      <c r="AW68" s="309"/>
      <c r="AX68" s="309"/>
      <c r="AY68" s="309"/>
      <c r="AZ68" s="309"/>
      <c r="BA68" s="309"/>
      <c r="BB68" s="309"/>
      <c r="BC68" s="309"/>
      <c r="BD68" s="309"/>
      <c r="BE68" s="309">
        <v>20169</v>
      </c>
      <c r="BF68" s="309"/>
      <c r="BG68" s="309"/>
      <c r="BH68" s="309">
        <v>0</v>
      </c>
      <c r="BI68" s="309"/>
      <c r="BJ68" s="309"/>
      <c r="BK68" s="309"/>
      <c r="BL68" s="309">
        <v>4101</v>
      </c>
      <c r="BM68" s="309"/>
      <c r="BN68" s="309">
        <v>42760</v>
      </c>
      <c r="BO68" s="309"/>
      <c r="BP68" s="309"/>
      <c r="BQ68" s="309"/>
      <c r="BR68" s="309">
        <v>0</v>
      </c>
      <c r="BS68" s="309"/>
      <c r="BT68" s="309"/>
      <c r="BU68" s="309"/>
      <c r="BV68" s="309"/>
      <c r="BW68" s="309"/>
      <c r="BX68" s="309">
        <v>0</v>
      </c>
      <c r="BY68" s="309"/>
      <c r="BZ68" s="309"/>
      <c r="CA68" s="309"/>
      <c r="CB68" s="309"/>
      <c r="CC68" s="309">
        <v>4306</v>
      </c>
      <c r="CD68" s="340" t="s">
        <v>221</v>
      </c>
      <c r="CE68" s="318">
        <v>101703</v>
      </c>
      <c r="CF68" s="343"/>
    </row>
    <row r="69" spans="1:84" ht="12.65" customHeight="1" x14ac:dyDescent="0.3">
      <c r="A69" s="298" t="s">
        <v>241</v>
      </c>
      <c r="B69" s="302"/>
      <c r="C69" s="308"/>
      <c r="D69" s="308"/>
      <c r="E69" s="309">
        <v>1651.6099999999997</v>
      </c>
      <c r="F69" s="309"/>
      <c r="G69" s="308"/>
      <c r="H69" s="308"/>
      <c r="I69" s="309"/>
      <c r="J69" s="309"/>
      <c r="K69" s="309">
        <v>5887.81</v>
      </c>
      <c r="L69" s="309"/>
      <c r="M69" s="308"/>
      <c r="N69" s="308"/>
      <c r="O69" s="308">
        <v>8394</v>
      </c>
      <c r="P69" s="309">
        <v>3047</v>
      </c>
      <c r="Q69" s="309"/>
      <c r="R69" s="328">
        <v>3697.77</v>
      </c>
      <c r="S69" s="309"/>
      <c r="T69" s="308"/>
      <c r="U69" s="309">
        <v>9425</v>
      </c>
      <c r="V69" s="309"/>
      <c r="W69" s="308"/>
      <c r="X69" s="309">
        <v>1251</v>
      </c>
      <c r="Y69" s="309">
        <v>5259.04</v>
      </c>
      <c r="Z69" s="309"/>
      <c r="AA69" s="309">
        <v>29</v>
      </c>
      <c r="AB69" s="309">
        <v>14516</v>
      </c>
      <c r="AC69" s="309">
        <v>187</v>
      </c>
      <c r="AD69" s="309"/>
      <c r="AE69" s="309">
        <v>4056</v>
      </c>
      <c r="AF69" s="309"/>
      <c r="AG69" s="309">
        <v>10443.759999999998</v>
      </c>
      <c r="AH69" s="309">
        <v>7352</v>
      </c>
      <c r="AI69" s="309"/>
      <c r="AJ69" s="309">
        <v>198991.39999999997</v>
      </c>
      <c r="AK69" s="309"/>
      <c r="AL69" s="309"/>
      <c r="AM69" s="309"/>
      <c r="AN69" s="309"/>
      <c r="AO69" s="308"/>
      <c r="AP69" s="309"/>
      <c r="AQ69" s="308"/>
      <c r="AR69" s="308"/>
      <c r="AS69" s="308"/>
      <c r="AT69" s="308"/>
      <c r="AU69" s="309">
        <v>18717.36</v>
      </c>
      <c r="AV69" s="309">
        <v>1531</v>
      </c>
      <c r="AW69" s="309"/>
      <c r="AX69" s="309"/>
      <c r="AY69" s="309">
        <v>815</v>
      </c>
      <c r="AZ69" s="309"/>
      <c r="BA69" s="309"/>
      <c r="BB69" s="309">
        <v>540</v>
      </c>
      <c r="BC69" s="309"/>
      <c r="BD69" s="309">
        <v>604</v>
      </c>
      <c r="BE69" s="309">
        <v>229</v>
      </c>
      <c r="BF69" s="309">
        <v>193</v>
      </c>
      <c r="BG69" s="309"/>
      <c r="BH69" s="328">
        <v>30956</v>
      </c>
      <c r="BI69" s="309"/>
      <c r="BJ69" s="309">
        <v>11191</v>
      </c>
      <c r="BK69" s="309">
        <v>8967</v>
      </c>
      <c r="BL69" s="309">
        <v>15702</v>
      </c>
      <c r="BM69" s="309"/>
      <c r="BN69" s="309">
        <v>20448.929999999993</v>
      </c>
      <c r="BO69" s="309"/>
      <c r="BP69" s="309"/>
      <c r="BQ69" s="309"/>
      <c r="BR69" s="309">
        <v>13142</v>
      </c>
      <c r="BS69" s="309"/>
      <c r="BT69" s="309"/>
      <c r="BU69" s="309"/>
      <c r="BV69" s="309">
        <v>13709</v>
      </c>
      <c r="BW69" s="309"/>
      <c r="BX69" s="309">
        <v>18735</v>
      </c>
      <c r="BY69" s="309">
        <v>278</v>
      </c>
      <c r="BZ69" s="309"/>
      <c r="CA69" s="309">
        <v>-1941</v>
      </c>
      <c r="CB69" s="309"/>
      <c r="CC69" s="309">
        <v>37319</v>
      </c>
      <c r="CD69" s="312">
        <v>892163</v>
      </c>
      <c r="CE69" s="318">
        <v>1357487.68</v>
      </c>
      <c r="CF69" s="343"/>
    </row>
    <row r="70" spans="1:84" ht="12.65" customHeight="1" x14ac:dyDescent="0.3">
      <c r="A70" s="298" t="s">
        <v>242</v>
      </c>
      <c r="B70" s="302"/>
      <c r="C70" s="308"/>
      <c r="D70" s="308"/>
      <c r="E70" s="308"/>
      <c r="F70" s="309"/>
      <c r="G70" s="308"/>
      <c r="H70" s="308"/>
      <c r="I70" s="308"/>
      <c r="J70" s="309"/>
      <c r="K70" s="309"/>
      <c r="L70" s="309"/>
      <c r="M70" s="308"/>
      <c r="N70" s="308"/>
      <c r="O70" s="308"/>
      <c r="P70" s="308"/>
      <c r="Q70" s="308"/>
      <c r="R70" s="308"/>
      <c r="S70" s="308"/>
      <c r="T70" s="308"/>
      <c r="U70" s="309"/>
      <c r="V70" s="308"/>
      <c r="W70" s="308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  <c r="BJ70" s="309"/>
      <c r="BK70" s="309"/>
      <c r="BL70" s="309"/>
      <c r="BM70" s="309"/>
      <c r="BN70" s="309"/>
      <c r="BO70" s="309"/>
      <c r="BP70" s="309"/>
      <c r="BQ70" s="309"/>
      <c r="BR70" s="309"/>
      <c r="BS70" s="309"/>
      <c r="BT70" s="309"/>
      <c r="BU70" s="309"/>
      <c r="BV70" s="309"/>
      <c r="BW70" s="309"/>
      <c r="BX70" s="309"/>
      <c r="BY70" s="309"/>
      <c r="BZ70" s="309"/>
      <c r="CA70" s="309"/>
      <c r="CB70" s="309"/>
      <c r="CC70" s="309"/>
      <c r="CD70" s="312">
        <v>1205036</v>
      </c>
      <c r="CE70" s="318">
        <v>1205036</v>
      </c>
      <c r="CF70" s="343"/>
    </row>
    <row r="71" spans="1:84" ht="12.65" customHeight="1" x14ac:dyDescent="0.3">
      <c r="A71" s="298" t="s">
        <v>243</v>
      </c>
      <c r="B71" s="302"/>
      <c r="C71" s="318">
        <v>0</v>
      </c>
      <c r="D71" s="318">
        <v>0</v>
      </c>
      <c r="E71" s="318">
        <v>2235231.61</v>
      </c>
      <c r="F71" s="318">
        <v>0</v>
      </c>
      <c r="G71" s="318">
        <v>0</v>
      </c>
      <c r="H71" s="318">
        <v>0</v>
      </c>
      <c r="I71" s="318">
        <v>0</v>
      </c>
      <c r="J71" s="318">
        <v>3276</v>
      </c>
      <c r="K71" s="318">
        <v>2539949.81</v>
      </c>
      <c r="L71" s="318">
        <v>475373</v>
      </c>
      <c r="M71" s="318">
        <v>0</v>
      </c>
      <c r="N71" s="318">
        <v>0</v>
      </c>
      <c r="O71" s="318">
        <v>406033</v>
      </c>
      <c r="P71" s="318">
        <v>930351</v>
      </c>
      <c r="Q71" s="318">
        <v>13285</v>
      </c>
      <c r="R71" s="318">
        <v>577298.77</v>
      </c>
      <c r="S71" s="318">
        <v>128220</v>
      </c>
      <c r="T71" s="318">
        <v>0</v>
      </c>
      <c r="U71" s="318">
        <v>2425431</v>
      </c>
      <c r="V71" s="318">
        <v>8603</v>
      </c>
      <c r="W71" s="318">
        <v>147076</v>
      </c>
      <c r="X71" s="318">
        <v>97218</v>
      </c>
      <c r="Y71" s="318">
        <v>1737801.04</v>
      </c>
      <c r="Z71" s="318">
        <v>0</v>
      </c>
      <c r="AA71" s="318">
        <v>69403</v>
      </c>
      <c r="AB71" s="318">
        <v>1245258</v>
      </c>
      <c r="AC71" s="318">
        <v>123771</v>
      </c>
      <c r="AD71" s="318">
        <v>0</v>
      </c>
      <c r="AE71" s="318">
        <v>872121</v>
      </c>
      <c r="AF71" s="318">
        <v>0</v>
      </c>
      <c r="AG71" s="318">
        <v>1850754.76</v>
      </c>
      <c r="AH71" s="318">
        <v>435030</v>
      </c>
      <c r="AI71" s="318">
        <v>177120</v>
      </c>
      <c r="AJ71" s="318">
        <v>5407348.4000000004</v>
      </c>
      <c r="AK71" s="318">
        <v>0</v>
      </c>
      <c r="AL71" s="318">
        <v>0</v>
      </c>
      <c r="AM71" s="318">
        <v>0</v>
      </c>
      <c r="AN71" s="318">
        <v>0</v>
      </c>
      <c r="AO71" s="318">
        <v>0</v>
      </c>
      <c r="AP71" s="318">
        <v>0</v>
      </c>
      <c r="AQ71" s="318">
        <v>0</v>
      </c>
      <c r="AR71" s="318">
        <v>0</v>
      </c>
      <c r="AS71" s="318">
        <v>0</v>
      </c>
      <c r="AT71" s="318">
        <v>0</v>
      </c>
      <c r="AU71" s="318">
        <v>1522609.36</v>
      </c>
      <c r="AV71" s="318">
        <v>452992</v>
      </c>
      <c r="AW71" s="318">
        <v>0</v>
      </c>
      <c r="AX71" s="318">
        <v>0</v>
      </c>
      <c r="AY71" s="318">
        <v>891377</v>
      </c>
      <c r="AZ71" s="318">
        <v>3640</v>
      </c>
      <c r="BA71" s="318">
        <v>226239</v>
      </c>
      <c r="BB71" s="318">
        <v>191914</v>
      </c>
      <c r="BC71" s="318">
        <v>0</v>
      </c>
      <c r="BD71" s="318">
        <v>151317</v>
      </c>
      <c r="BE71" s="318">
        <v>1043173</v>
      </c>
      <c r="BF71" s="318">
        <v>758753</v>
      </c>
      <c r="BG71" s="318">
        <v>0</v>
      </c>
      <c r="BH71" s="318">
        <v>864361</v>
      </c>
      <c r="BI71" s="318">
        <v>0</v>
      </c>
      <c r="BJ71" s="318">
        <v>432589</v>
      </c>
      <c r="BK71" s="318">
        <v>985850</v>
      </c>
      <c r="BL71" s="318">
        <v>368820</v>
      </c>
      <c r="BM71" s="318">
        <v>0</v>
      </c>
      <c r="BN71" s="318">
        <v>1063693.93</v>
      </c>
      <c r="BO71" s="318">
        <v>0</v>
      </c>
      <c r="BP71" s="318">
        <v>0</v>
      </c>
      <c r="BQ71" s="318">
        <v>0</v>
      </c>
      <c r="BR71" s="318">
        <v>307332</v>
      </c>
      <c r="BS71" s="318">
        <v>0</v>
      </c>
      <c r="BT71" s="318">
        <v>0</v>
      </c>
      <c r="BU71" s="318">
        <v>0</v>
      </c>
      <c r="BV71" s="318">
        <v>288790</v>
      </c>
      <c r="BW71" s="318">
        <v>0</v>
      </c>
      <c r="BX71" s="318">
        <v>358040</v>
      </c>
      <c r="BY71" s="318">
        <v>258712</v>
      </c>
      <c r="BZ71" s="318">
        <v>0</v>
      </c>
      <c r="CA71" s="318">
        <v>23168</v>
      </c>
      <c r="CB71" s="318">
        <v>0</v>
      </c>
      <c r="CC71" s="318">
        <v>672817</v>
      </c>
      <c r="CD71" s="336">
        <v>-312873</v>
      </c>
      <c r="CE71" s="318">
        <v>32459267.68</v>
      </c>
      <c r="CF71" s="343"/>
    </row>
    <row r="72" spans="1:84" ht="12.65" customHeight="1" x14ac:dyDescent="0.3">
      <c r="A72" s="298" t="s">
        <v>244</v>
      </c>
      <c r="B72" s="302"/>
      <c r="C72" s="340" t="s">
        <v>221</v>
      </c>
      <c r="D72" s="340" t="s">
        <v>221</v>
      </c>
      <c r="E72" s="340" t="s">
        <v>221</v>
      </c>
      <c r="F72" s="340" t="s">
        <v>221</v>
      </c>
      <c r="G72" s="340" t="s">
        <v>221</v>
      </c>
      <c r="H72" s="340" t="s">
        <v>221</v>
      </c>
      <c r="I72" s="340" t="s">
        <v>221</v>
      </c>
      <c r="J72" s="340" t="s">
        <v>221</v>
      </c>
      <c r="K72" s="344" t="s">
        <v>221</v>
      </c>
      <c r="L72" s="340" t="s">
        <v>221</v>
      </c>
      <c r="M72" s="340" t="s">
        <v>221</v>
      </c>
      <c r="N72" s="340" t="s">
        <v>221</v>
      </c>
      <c r="O72" s="340" t="s">
        <v>221</v>
      </c>
      <c r="P72" s="340" t="s">
        <v>221</v>
      </c>
      <c r="Q72" s="340" t="s">
        <v>221</v>
      </c>
      <c r="R72" s="340" t="s">
        <v>221</v>
      </c>
      <c r="S72" s="340" t="s">
        <v>221</v>
      </c>
      <c r="T72" s="340" t="s">
        <v>221</v>
      </c>
      <c r="U72" s="340" t="s">
        <v>221</v>
      </c>
      <c r="V72" s="340" t="s">
        <v>221</v>
      </c>
      <c r="W72" s="340" t="s">
        <v>221</v>
      </c>
      <c r="X72" s="340" t="s">
        <v>221</v>
      </c>
      <c r="Y72" s="340" t="s">
        <v>221</v>
      </c>
      <c r="Z72" s="340" t="s">
        <v>221</v>
      </c>
      <c r="AA72" s="340" t="s">
        <v>221</v>
      </c>
      <c r="AB72" s="340" t="s">
        <v>221</v>
      </c>
      <c r="AC72" s="340" t="s">
        <v>221</v>
      </c>
      <c r="AD72" s="340" t="s">
        <v>221</v>
      </c>
      <c r="AE72" s="340" t="s">
        <v>221</v>
      </c>
      <c r="AF72" s="340" t="s">
        <v>221</v>
      </c>
      <c r="AG72" s="340" t="s">
        <v>221</v>
      </c>
      <c r="AH72" s="340" t="s">
        <v>221</v>
      </c>
      <c r="AI72" s="340" t="s">
        <v>221</v>
      </c>
      <c r="AJ72" s="340" t="s">
        <v>221</v>
      </c>
      <c r="AK72" s="340" t="s">
        <v>221</v>
      </c>
      <c r="AL72" s="340" t="s">
        <v>221</v>
      </c>
      <c r="AM72" s="340" t="s">
        <v>221</v>
      </c>
      <c r="AN72" s="340" t="s">
        <v>221</v>
      </c>
      <c r="AO72" s="340" t="s">
        <v>221</v>
      </c>
      <c r="AP72" s="340" t="s">
        <v>221</v>
      </c>
      <c r="AQ72" s="340" t="s">
        <v>221</v>
      </c>
      <c r="AR72" s="340" t="s">
        <v>221</v>
      </c>
      <c r="AS72" s="340" t="s">
        <v>221</v>
      </c>
      <c r="AT72" s="340" t="s">
        <v>221</v>
      </c>
      <c r="AU72" s="340" t="s">
        <v>221</v>
      </c>
      <c r="AV72" s="340" t="s">
        <v>221</v>
      </c>
      <c r="AW72" s="340" t="s">
        <v>221</v>
      </c>
      <c r="AX72" s="340" t="s">
        <v>221</v>
      </c>
      <c r="AY72" s="340" t="s">
        <v>221</v>
      </c>
      <c r="AZ72" s="340" t="s">
        <v>221</v>
      </c>
      <c r="BA72" s="340" t="s">
        <v>221</v>
      </c>
      <c r="BB72" s="340" t="s">
        <v>221</v>
      </c>
      <c r="BC72" s="340" t="s">
        <v>221</v>
      </c>
      <c r="BD72" s="340" t="s">
        <v>221</v>
      </c>
      <c r="BE72" s="340" t="s">
        <v>221</v>
      </c>
      <c r="BF72" s="340" t="s">
        <v>221</v>
      </c>
      <c r="BG72" s="340" t="s">
        <v>221</v>
      </c>
      <c r="BH72" s="340" t="s">
        <v>221</v>
      </c>
      <c r="BI72" s="340" t="s">
        <v>221</v>
      </c>
      <c r="BJ72" s="340" t="s">
        <v>221</v>
      </c>
      <c r="BK72" s="340" t="s">
        <v>221</v>
      </c>
      <c r="BL72" s="340" t="s">
        <v>221</v>
      </c>
      <c r="BM72" s="340" t="s">
        <v>221</v>
      </c>
      <c r="BN72" s="340" t="s">
        <v>221</v>
      </c>
      <c r="BO72" s="340" t="s">
        <v>221</v>
      </c>
      <c r="BP72" s="340" t="s">
        <v>221</v>
      </c>
      <c r="BQ72" s="340" t="s">
        <v>221</v>
      </c>
      <c r="BR72" s="340" t="s">
        <v>221</v>
      </c>
      <c r="BS72" s="340" t="s">
        <v>221</v>
      </c>
      <c r="BT72" s="340" t="s">
        <v>221</v>
      </c>
      <c r="BU72" s="340" t="s">
        <v>221</v>
      </c>
      <c r="BV72" s="340" t="s">
        <v>221</v>
      </c>
      <c r="BW72" s="340" t="s">
        <v>221</v>
      </c>
      <c r="BX72" s="340" t="s">
        <v>221</v>
      </c>
      <c r="BY72" s="340" t="s">
        <v>221</v>
      </c>
      <c r="BZ72" s="340" t="s">
        <v>221</v>
      </c>
      <c r="CA72" s="340" t="s">
        <v>221</v>
      </c>
      <c r="CB72" s="340" t="s">
        <v>221</v>
      </c>
      <c r="CC72" s="340" t="s">
        <v>221</v>
      </c>
      <c r="CD72" s="340" t="s">
        <v>221</v>
      </c>
      <c r="CE72" s="312">
        <v>698268.83</v>
      </c>
      <c r="CF72" s="343"/>
    </row>
    <row r="73" spans="1:84" ht="12.65" customHeight="1" x14ac:dyDescent="0.3">
      <c r="A73" s="298" t="s">
        <v>245</v>
      </c>
      <c r="B73" s="302"/>
      <c r="C73" s="308"/>
      <c r="D73" s="308"/>
      <c r="E73" s="309">
        <v>2228310</v>
      </c>
      <c r="F73" s="309"/>
      <c r="G73" s="308"/>
      <c r="H73" s="308"/>
      <c r="I73" s="309"/>
      <c r="J73" s="309">
        <v>75227</v>
      </c>
      <c r="K73" s="309">
        <v>1620377</v>
      </c>
      <c r="L73" s="309">
        <v>1219276</v>
      </c>
      <c r="M73" s="308"/>
      <c r="N73" s="308"/>
      <c r="O73" s="308">
        <v>186490</v>
      </c>
      <c r="P73" s="309">
        <v>230927</v>
      </c>
      <c r="Q73" s="309">
        <v>9452</v>
      </c>
      <c r="R73" s="309">
        <v>160726</v>
      </c>
      <c r="S73" s="309">
        <v>113820</v>
      </c>
      <c r="T73" s="309"/>
      <c r="U73" s="309">
        <v>650230</v>
      </c>
      <c r="V73" s="309"/>
      <c r="W73" s="309">
        <v>19828</v>
      </c>
      <c r="X73" s="309">
        <v>158799</v>
      </c>
      <c r="Y73" s="309">
        <v>160506</v>
      </c>
      <c r="Z73" s="309"/>
      <c r="AA73" s="309"/>
      <c r="AB73" s="309">
        <v>547878</v>
      </c>
      <c r="AC73" s="309">
        <v>69463</v>
      </c>
      <c r="AD73" s="309"/>
      <c r="AE73" s="309">
        <v>409069</v>
      </c>
      <c r="AF73" s="309"/>
      <c r="AG73" s="309"/>
      <c r="AH73" s="309">
        <v>71847</v>
      </c>
      <c r="AI73" s="309">
        <v>96970</v>
      </c>
      <c r="AJ73" s="309"/>
      <c r="AK73" s="309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>
        <v>42509</v>
      </c>
      <c r="AW73" s="340" t="s">
        <v>221</v>
      </c>
      <c r="AX73" s="340" t="s">
        <v>221</v>
      </c>
      <c r="AY73" s="340" t="s">
        <v>221</v>
      </c>
      <c r="AZ73" s="340" t="s">
        <v>221</v>
      </c>
      <c r="BA73" s="340" t="s">
        <v>221</v>
      </c>
      <c r="BB73" s="340" t="s">
        <v>221</v>
      </c>
      <c r="BC73" s="340" t="s">
        <v>221</v>
      </c>
      <c r="BD73" s="340" t="s">
        <v>221</v>
      </c>
      <c r="BE73" s="340" t="s">
        <v>221</v>
      </c>
      <c r="BF73" s="340" t="s">
        <v>221</v>
      </c>
      <c r="BG73" s="340" t="s">
        <v>221</v>
      </c>
      <c r="BH73" s="340" t="s">
        <v>221</v>
      </c>
      <c r="BI73" s="340" t="s">
        <v>221</v>
      </c>
      <c r="BJ73" s="340" t="s">
        <v>221</v>
      </c>
      <c r="BK73" s="340" t="s">
        <v>221</v>
      </c>
      <c r="BL73" s="340" t="s">
        <v>221</v>
      </c>
      <c r="BM73" s="340" t="s">
        <v>221</v>
      </c>
      <c r="BN73" s="340" t="s">
        <v>221</v>
      </c>
      <c r="BO73" s="340" t="s">
        <v>221</v>
      </c>
      <c r="BP73" s="340" t="s">
        <v>221</v>
      </c>
      <c r="BQ73" s="340" t="s">
        <v>221</v>
      </c>
      <c r="BR73" s="340" t="s">
        <v>221</v>
      </c>
      <c r="BS73" s="340" t="s">
        <v>221</v>
      </c>
      <c r="BT73" s="340" t="s">
        <v>221</v>
      </c>
      <c r="BU73" s="340" t="s">
        <v>221</v>
      </c>
      <c r="BV73" s="340" t="s">
        <v>221</v>
      </c>
      <c r="BW73" s="340" t="s">
        <v>221</v>
      </c>
      <c r="BX73" s="340" t="s">
        <v>221</v>
      </c>
      <c r="BY73" s="340" t="s">
        <v>221</v>
      </c>
      <c r="BZ73" s="340" t="s">
        <v>221</v>
      </c>
      <c r="CA73" s="340" t="s">
        <v>221</v>
      </c>
      <c r="CB73" s="340" t="s">
        <v>221</v>
      </c>
      <c r="CC73" s="340" t="s">
        <v>221</v>
      </c>
      <c r="CD73" s="340" t="s">
        <v>221</v>
      </c>
      <c r="CE73" s="318">
        <v>8071704</v>
      </c>
      <c r="CF73" s="343"/>
    </row>
    <row r="74" spans="1:84" ht="12.65" customHeight="1" x14ac:dyDescent="0.3">
      <c r="A74" s="298" t="s">
        <v>246</v>
      </c>
      <c r="B74" s="302"/>
      <c r="C74" s="308"/>
      <c r="D74" s="308"/>
      <c r="E74" s="309">
        <v>420379.61</v>
      </c>
      <c r="F74" s="309"/>
      <c r="G74" s="308"/>
      <c r="H74" s="308"/>
      <c r="I74" s="308"/>
      <c r="J74" s="309">
        <v>1330</v>
      </c>
      <c r="K74" s="309">
        <v>35141.81</v>
      </c>
      <c r="L74" s="309">
        <v>128704</v>
      </c>
      <c r="M74" s="308"/>
      <c r="N74" s="308"/>
      <c r="O74" s="308">
        <v>51332</v>
      </c>
      <c r="P74" s="309">
        <v>1250205</v>
      </c>
      <c r="Q74" s="309">
        <v>164515</v>
      </c>
      <c r="R74" s="309">
        <v>881624.77</v>
      </c>
      <c r="S74" s="309">
        <v>199282</v>
      </c>
      <c r="T74" s="309"/>
      <c r="U74" s="309">
        <v>8053279</v>
      </c>
      <c r="V74" s="309"/>
      <c r="W74" s="309">
        <v>1354855</v>
      </c>
      <c r="X74" s="309">
        <v>5011346</v>
      </c>
      <c r="Y74" s="309">
        <v>5067880.04</v>
      </c>
      <c r="Z74" s="309"/>
      <c r="AA74" s="309">
        <v>217490</v>
      </c>
      <c r="AB74" s="309">
        <v>2892304</v>
      </c>
      <c r="AC74" s="309">
        <v>46793</v>
      </c>
      <c r="AD74" s="309"/>
      <c r="AE74" s="309">
        <v>3255546</v>
      </c>
      <c r="AF74" s="309"/>
      <c r="AG74" s="309">
        <v>7446986.7599999998</v>
      </c>
      <c r="AH74" s="309">
        <v>597403</v>
      </c>
      <c r="AI74" s="309">
        <v>1086948</v>
      </c>
      <c r="AJ74" s="309">
        <v>5598150.459999999</v>
      </c>
      <c r="AK74" s="309"/>
      <c r="AL74" s="309"/>
      <c r="AM74" s="309"/>
      <c r="AN74" s="309"/>
      <c r="AO74" s="309"/>
      <c r="AP74" s="309"/>
      <c r="AQ74" s="309"/>
      <c r="AR74" s="309"/>
      <c r="AS74" s="309"/>
      <c r="AT74" s="309"/>
      <c r="AU74" s="309">
        <v>1355958.36</v>
      </c>
      <c r="AV74" s="309">
        <v>1329000</v>
      </c>
      <c r="AW74" s="340" t="s">
        <v>221</v>
      </c>
      <c r="AX74" s="340" t="s">
        <v>221</v>
      </c>
      <c r="AY74" s="340" t="s">
        <v>221</v>
      </c>
      <c r="AZ74" s="340" t="s">
        <v>221</v>
      </c>
      <c r="BA74" s="340" t="s">
        <v>221</v>
      </c>
      <c r="BB74" s="340" t="s">
        <v>221</v>
      </c>
      <c r="BC74" s="340" t="s">
        <v>221</v>
      </c>
      <c r="BD74" s="340" t="s">
        <v>221</v>
      </c>
      <c r="BE74" s="340" t="s">
        <v>221</v>
      </c>
      <c r="BF74" s="340" t="s">
        <v>221</v>
      </c>
      <c r="BG74" s="340" t="s">
        <v>221</v>
      </c>
      <c r="BH74" s="340" t="s">
        <v>221</v>
      </c>
      <c r="BI74" s="340" t="s">
        <v>221</v>
      </c>
      <c r="BJ74" s="340" t="s">
        <v>221</v>
      </c>
      <c r="BK74" s="340" t="s">
        <v>221</v>
      </c>
      <c r="BL74" s="340" t="s">
        <v>221</v>
      </c>
      <c r="BM74" s="340" t="s">
        <v>221</v>
      </c>
      <c r="BN74" s="340" t="s">
        <v>221</v>
      </c>
      <c r="BO74" s="340" t="s">
        <v>221</v>
      </c>
      <c r="BP74" s="340" t="s">
        <v>221</v>
      </c>
      <c r="BQ74" s="340" t="s">
        <v>221</v>
      </c>
      <c r="BR74" s="340" t="s">
        <v>221</v>
      </c>
      <c r="BS74" s="340" t="s">
        <v>221</v>
      </c>
      <c r="BT74" s="340" t="s">
        <v>221</v>
      </c>
      <c r="BU74" s="340" t="s">
        <v>221</v>
      </c>
      <c r="BV74" s="340" t="s">
        <v>221</v>
      </c>
      <c r="BW74" s="340" t="s">
        <v>221</v>
      </c>
      <c r="BX74" s="340" t="s">
        <v>221</v>
      </c>
      <c r="BY74" s="340" t="s">
        <v>221</v>
      </c>
      <c r="BZ74" s="340" t="s">
        <v>221</v>
      </c>
      <c r="CA74" s="340" t="s">
        <v>221</v>
      </c>
      <c r="CB74" s="340" t="s">
        <v>221</v>
      </c>
      <c r="CC74" s="340" t="s">
        <v>221</v>
      </c>
      <c r="CD74" s="340" t="s">
        <v>221</v>
      </c>
      <c r="CE74" s="318">
        <v>46446453.809999995</v>
      </c>
      <c r="CF74" s="343"/>
    </row>
    <row r="75" spans="1:84" ht="12.65" customHeight="1" x14ac:dyDescent="0.3">
      <c r="A75" s="298" t="s">
        <v>247</v>
      </c>
      <c r="B75" s="302"/>
      <c r="C75" s="318">
        <v>0</v>
      </c>
      <c r="D75" s="318">
        <v>0</v>
      </c>
      <c r="E75" s="318">
        <v>2648689.61</v>
      </c>
      <c r="F75" s="318">
        <v>0</v>
      </c>
      <c r="G75" s="318">
        <v>0</v>
      </c>
      <c r="H75" s="318">
        <v>0</v>
      </c>
      <c r="I75" s="318">
        <v>0</v>
      </c>
      <c r="J75" s="318">
        <v>76557</v>
      </c>
      <c r="K75" s="318">
        <v>1655518.81</v>
      </c>
      <c r="L75" s="318">
        <v>1347980</v>
      </c>
      <c r="M75" s="318">
        <v>0</v>
      </c>
      <c r="N75" s="318">
        <v>0</v>
      </c>
      <c r="O75" s="318">
        <v>237822</v>
      </c>
      <c r="P75" s="318">
        <v>1481132</v>
      </c>
      <c r="Q75" s="318">
        <v>173967</v>
      </c>
      <c r="R75" s="318">
        <v>1042350.77</v>
      </c>
      <c r="S75" s="318">
        <v>313102</v>
      </c>
      <c r="T75" s="318">
        <v>0</v>
      </c>
      <c r="U75" s="318">
        <v>8703509</v>
      </c>
      <c r="V75" s="318">
        <v>0</v>
      </c>
      <c r="W75" s="318">
        <v>1374683</v>
      </c>
      <c r="X75" s="318">
        <v>5170145</v>
      </c>
      <c r="Y75" s="318">
        <v>5228386.04</v>
      </c>
      <c r="Z75" s="318">
        <v>0</v>
      </c>
      <c r="AA75" s="318">
        <v>217490</v>
      </c>
      <c r="AB75" s="318">
        <v>3440182</v>
      </c>
      <c r="AC75" s="318">
        <v>116256</v>
      </c>
      <c r="AD75" s="318">
        <v>0</v>
      </c>
      <c r="AE75" s="318">
        <v>3664615</v>
      </c>
      <c r="AF75" s="318">
        <v>0</v>
      </c>
      <c r="AG75" s="318">
        <v>7446986.7599999998</v>
      </c>
      <c r="AH75" s="318">
        <v>669250</v>
      </c>
      <c r="AI75" s="318">
        <v>1183918</v>
      </c>
      <c r="AJ75" s="318">
        <v>5598150.459999999</v>
      </c>
      <c r="AK75" s="318">
        <v>0</v>
      </c>
      <c r="AL75" s="318">
        <v>0</v>
      </c>
      <c r="AM75" s="318">
        <v>0</v>
      </c>
      <c r="AN75" s="318">
        <v>0</v>
      </c>
      <c r="AO75" s="318">
        <v>0</v>
      </c>
      <c r="AP75" s="318">
        <v>0</v>
      </c>
      <c r="AQ75" s="318">
        <v>0</v>
      </c>
      <c r="AR75" s="318">
        <v>0</v>
      </c>
      <c r="AS75" s="318">
        <v>0</v>
      </c>
      <c r="AT75" s="318">
        <v>0</v>
      </c>
      <c r="AU75" s="318">
        <v>1355958.36</v>
      </c>
      <c r="AV75" s="318">
        <v>1371509</v>
      </c>
      <c r="AW75" s="340" t="s">
        <v>221</v>
      </c>
      <c r="AX75" s="340" t="s">
        <v>221</v>
      </c>
      <c r="AY75" s="340" t="s">
        <v>221</v>
      </c>
      <c r="AZ75" s="340" t="s">
        <v>221</v>
      </c>
      <c r="BA75" s="340" t="s">
        <v>221</v>
      </c>
      <c r="BB75" s="340" t="s">
        <v>221</v>
      </c>
      <c r="BC75" s="340" t="s">
        <v>221</v>
      </c>
      <c r="BD75" s="340" t="s">
        <v>221</v>
      </c>
      <c r="BE75" s="340" t="s">
        <v>221</v>
      </c>
      <c r="BF75" s="340" t="s">
        <v>221</v>
      </c>
      <c r="BG75" s="340" t="s">
        <v>221</v>
      </c>
      <c r="BH75" s="340" t="s">
        <v>221</v>
      </c>
      <c r="BI75" s="340" t="s">
        <v>221</v>
      </c>
      <c r="BJ75" s="340" t="s">
        <v>221</v>
      </c>
      <c r="BK75" s="340" t="s">
        <v>221</v>
      </c>
      <c r="BL75" s="340" t="s">
        <v>221</v>
      </c>
      <c r="BM75" s="340" t="s">
        <v>221</v>
      </c>
      <c r="BN75" s="340" t="s">
        <v>221</v>
      </c>
      <c r="BO75" s="340" t="s">
        <v>221</v>
      </c>
      <c r="BP75" s="340" t="s">
        <v>221</v>
      </c>
      <c r="BQ75" s="340" t="s">
        <v>221</v>
      </c>
      <c r="BR75" s="340" t="s">
        <v>221</v>
      </c>
      <c r="BS75" s="340" t="s">
        <v>221</v>
      </c>
      <c r="BT75" s="340" t="s">
        <v>221</v>
      </c>
      <c r="BU75" s="340" t="s">
        <v>221</v>
      </c>
      <c r="BV75" s="340" t="s">
        <v>221</v>
      </c>
      <c r="BW75" s="340" t="s">
        <v>221</v>
      </c>
      <c r="BX75" s="340" t="s">
        <v>221</v>
      </c>
      <c r="BY75" s="340" t="s">
        <v>221</v>
      </c>
      <c r="BZ75" s="340" t="s">
        <v>221</v>
      </c>
      <c r="CA75" s="340" t="s">
        <v>221</v>
      </c>
      <c r="CB75" s="340" t="s">
        <v>221</v>
      </c>
      <c r="CC75" s="340" t="s">
        <v>221</v>
      </c>
      <c r="CD75" s="340" t="s">
        <v>221</v>
      </c>
      <c r="CE75" s="318">
        <v>54518157.809999995</v>
      </c>
      <c r="CF75" s="343"/>
    </row>
    <row r="76" spans="1:84" ht="12.65" customHeight="1" x14ac:dyDescent="0.3">
      <c r="A76" s="298" t="s">
        <v>248</v>
      </c>
      <c r="B76" s="302"/>
      <c r="C76" s="308"/>
      <c r="D76" s="308"/>
      <c r="E76" s="309">
        <v>2649</v>
      </c>
      <c r="F76" s="309"/>
      <c r="G76" s="308"/>
      <c r="H76" s="308"/>
      <c r="I76" s="309"/>
      <c r="J76" s="309">
        <v>167</v>
      </c>
      <c r="K76" s="309">
        <v>2417</v>
      </c>
      <c r="L76" s="309">
        <v>1736</v>
      </c>
      <c r="M76" s="309"/>
      <c r="N76" s="309"/>
      <c r="O76" s="309">
        <v>526</v>
      </c>
      <c r="P76" s="309">
        <v>6021</v>
      </c>
      <c r="Q76" s="309"/>
      <c r="R76" s="309"/>
      <c r="S76" s="309">
        <v>1510</v>
      </c>
      <c r="T76" s="309"/>
      <c r="U76" s="309">
        <v>1260</v>
      </c>
      <c r="V76" s="309">
        <v>236</v>
      </c>
      <c r="W76" s="309"/>
      <c r="X76" s="309"/>
      <c r="Y76" s="309">
        <v>2491</v>
      </c>
      <c r="Z76" s="309"/>
      <c r="AA76" s="309"/>
      <c r="AB76" s="309">
        <v>394</v>
      </c>
      <c r="AC76" s="309">
        <v>752</v>
      </c>
      <c r="AD76" s="309"/>
      <c r="AE76" s="309">
        <v>2996</v>
      </c>
      <c r="AF76" s="309"/>
      <c r="AG76" s="309">
        <v>1577</v>
      </c>
      <c r="AH76" s="309">
        <v>1650</v>
      </c>
      <c r="AI76" s="309"/>
      <c r="AJ76" s="309">
        <v>12086</v>
      </c>
      <c r="AK76" s="309"/>
      <c r="AL76" s="309"/>
      <c r="AM76" s="309"/>
      <c r="AN76" s="309"/>
      <c r="AO76" s="309"/>
      <c r="AP76" s="309"/>
      <c r="AQ76" s="309"/>
      <c r="AR76" s="309"/>
      <c r="AS76" s="309"/>
      <c r="AT76" s="309"/>
      <c r="AU76" s="309">
        <v>1910</v>
      </c>
      <c r="AV76" s="309">
        <v>902</v>
      </c>
      <c r="AW76" s="309"/>
      <c r="AX76" s="309"/>
      <c r="AY76" s="309">
        <v>1054</v>
      </c>
      <c r="AZ76" s="309">
        <v>736</v>
      </c>
      <c r="BA76" s="309">
        <v>747</v>
      </c>
      <c r="BB76" s="309">
        <v>100</v>
      </c>
      <c r="BC76" s="309"/>
      <c r="BD76" s="309">
        <v>100</v>
      </c>
      <c r="BE76" s="309">
        <v>1764</v>
      </c>
      <c r="BF76" s="309">
        <v>115</v>
      </c>
      <c r="BG76" s="309"/>
      <c r="BH76" s="309">
        <v>356</v>
      </c>
      <c r="BI76" s="309"/>
      <c r="BJ76" s="309"/>
      <c r="BK76" s="309">
        <v>1844</v>
      </c>
      <c r="BL76" s="309">
        <v>148</v>
      </c>
      <c r="BM76" s="309"/>
      <c r="BN76" s="309">
        <v>6685</v>
      </c>
      <c r="BO76" s="309"/>
      <c r="BP76" s="309"/>
      <c r="BQ76" s="309"/>
      <c r="BR76" s="309">
        <v>406</v>
      </c>
      <c r="BS76" s="309"/>
      <c r="BT76" s="309"/>
      <c r="BU76" s="309"/>
      <c r="BV76" s="309">
        <v>612</v>
      </c>
      <c r="BW76" s="309"/>
      <c r="BX76" s="309"/>
      <c r="BY76" s="309">
        <v>210</v>
      </c>
      <c r="BZ76" s="309"/>
      <c r="CA76" s="309"/>
      <c r="CB76" s="309"/>
      <c r="CC76" s="309"/>
      <c r="CD76" s="340" t="s">
        <v>221</v>
      </c>
      <c r="CE76" s="318">
        <v>56157</v>
      </c>
      <c r="CF76" s="318">
        <v>0</v>
      </c>
    </row>
    <row r="77" spans="1:84" ht="12.65" customHeight="1" x14ac:dyDescent="0.3">
      <c r="A77" s="298" t="s">
        <v>249</v>
      </c>
      <c r="B77" s="302"/>
      <c r="C77" s="308"/>
      <c r="D77" s="308"/>
      <c r="E77" s="308">
        <v>5038</v>
      </c>
      <c r="F77" s="308"/>
      <c r="G77" s="308"/>
      <c r="H77" s="308"/>
      <c r="I77" s="308"/>
      <c r="J77" s="308"/>
      <c r="K77" s="308"/>
      <c r="L77" s="308">
        <v>20807</v>
      </c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40" t="s">
        <v>221</v>
      </c>
      <c r="AY77" s="340" t="s">
        <v>221</v>
      </c>
      <c r="AZ77" s="308"/>
      <c r="BA77" s="308"/>
      <c r="BB77" s="308"/>
      <c r="BC77" s="308"/>
      <c r="BD77" s="340" t="s">
        <v>221</v>
      </c>
      <c r="BE77" s="340" t="s">
        <v>221</v>
      </c>
      <c r="BF77" s="308"/>
      <c r="BG77" s="340" t="s">
        <v>221</v>
      </c>
      <c r="BH77" s="308"/>
      <c r="BI77" s="308"/>
      <c r="BJ77" s="340" t="s">
        <v>221</v>
      </c>
      <c r="BK77" s="308"/>
      <c r="BL77" s="308"/>
      <c r="BM77" s="308"/>
      <c r="BN77" s="340" t="s">
        <v>221</v>
      </c>
      <c r="BO77" s="340" t="s">
        <v>221</v>
      </c>
      <c r="BP77" s="340" t="s">
        <v>221</v>
      </c>
      <c r="BQ77" s="340" t="s">
        <v>221</v>
      </c>
      <c r="BR77" s="308"/>
      <c r="BS77" s="308"/>
      <c r="BT77" s="308"/>
      <c r="BU77" s="308"/>
      <c r="BV77" s="308"/>
      <c r="BW77" s="308"/>
      <c r="BX77" s="308"/>
      <c r="BY77" s="308"/>
      <c r="BZ77" s="308"/>
      <c r="CA77" s="308"/>
      <c r="CB77" s="308"/>
      <c r="CC77" s="340" t="s">
        <v>221</v>
      </c>
      <c r="CD77" s="340" t="s">
        <v>221</v>
      </c>
      <c r="CE77" s="318">
        <v>25845</v>
      </c>
      <c r="CF77" s="318">
        <v>0</v>
      </c>
    </row>
    <row r="78" spans="1:84" ht="12.65" customHeight="1" x14ac:dyDescent="0.3">
      <c r="A78" s="298" t="s">
        <v>250</v>
      </c>
      <c r="B78" s="302"/>
      <c r="C78" s="308"/>
      <c r="D78" s="308"/>
      <c r="E78" s="308">
        <v>1216</v>
      </c>
      <c r="F78" s="308">
        <v>0</v>
      </c>
      <c r="G78" s="308">
        <v>0</v>
      </c>
      <c r="H78" s="308">
        <v>0</v>
      </c>
      <c r="I78" s="308">
        <v>0</v>
      </c>
      <c r="J78" s="308">
        <v>34</v>
      </c>
      <c r="K78" s="308">
        <v>2019</v>
      </c>
      <c r="L78" s="308">
        <v>1076</v>
      </c>
      <c r="M78" s="308">
        <v>0</v>
      </c>
      <c r="N78" s="308">
        <v>0</v>
      </c>
      <c r="O78" s="308">
        <v>204</v>
      </c>
      <c r="P78" s="308">
        <v>1396</v>
      </c>
      <c r="Q78" s="308">
        <v>21</v>
      </c>
      <c r="R78" s="308">
        <v>0</v>
      </c>
      <c r="S78" s="308">
        <v>232</v>
      </c>
      <c r="T78" s="308">
        <v>0</v>
      </c>
      <c r="U78" s="308">
        <v>408</v>
      </c>
      <c r="V78" s="308"/>
      <c r="W78" s="308">
        <v>17</v>
      </c>
      <c r="X78" s="308">
        <v>39</v>
      </c>
      <c r="Y78" s="308">
        <v>578</v>
      </c>
      <c r="Z78" s="308">
        <v>0</v>
      </c>
      <c r="AA78" s="308">
        <v>0</v>
      </c>
      <c r="AB78" s="308">
        <v>115</v>
      </c>
      <c r="AC78" s="308">
        <v>141</v>
      </c>
      <c r="AD78" s="308">
        <v>0</v>
      </c>
      <c r="AE78" s="308">
        <v>927</v>
      </c>
      <c r="AF78" s="308">
        <v>0</v>
      </c>
      <c r="AG78" s="308">
        <v>962</v>
      </c>
      <c r="AH78" s="308">
        <v>240</v>
      </c>
      <c r="AI78" s="308">
        <v>0</v>
      </c>
      <c r="AJ78" s="308">
        <v>3061</v>
      </c>
      <c r="AK78" s="308">
        <v>13</v>
      </c>
      <c r="AL78" s="308">
        <v>10</v>
      </c>
      <c r="AM78" s="308">
        <v>0</v>
      </c>
      <c r="AN78" s="308">
        <v>0</v>
      </c>
      <c r="AO78" s="308">
        <v>45</v>
      </c>
      <c r="AP78" s="308">
        <v>0</v>
      </c>
      <c r="AQ78" s="308">
        <v>0</v>
      </c>
      <c r="AR78" s="308">
        <v>0</v>
      </c>
      <c r="AS78" s="308">
        <v>0</v>
      </c>
      <c r="AT78" s="308">
        <v>0</v>
      </c>
      <c r="AU78" s="308">
        <v>278</v>
      </c>
      <c r="AV78" s="308">
        <v>248</v>
      </c>
      <c r="AW78" s="308"/>
      <c r="AX78" s="340" t="s">
        <v>221</v>
      </c>
      <c r="AY78" s="340" t="s">
        <v>221</v>
      </c>
      <c r="AZ78" s="340" t="s">
        <v>221</v>
      </c>
      <c r="BA78" s="308">
        <v>240</v>
      </c>
      <c r="BB78" s="308">
        <v>40</v>
      </c>
      <c r="BC78" s="308"/>
      <c r="BD78" s="340" t="s">
        <v>221</v>
      </c>
      <c r="BE78" s="340" t="s">
        <v>221</v>
      </c>
      <c r="BF78" s="340" t="s">
        <v>221</v>
      </c>
      <c r="BG78" s="340" t="s">
        <v>221</v>
      </c>
      <c r="BH78" s="308">
        <v>87</v>
      </c>
      <c r="BI78" s="308"/>
      <c r="BJ78" s="340" t="s">
        <v>221</v>
      </c>
      <c r="BK78" s="308">
        <v>333</v>
      </c>
      <c r="BL78" s="308">
        <v>128</v>
      </c>
      <c r="BM78" s="308">
        <v>0</v>
      </c>
      <c r="BN78" s="340" t="s">
        <v>221</v>
      </c>
      <c r="BO78" s="340" t="s">
        <v>221</v>
      </c>
      <c r="BP78" s="340" t="s">
        <v>221</v>
      </c>
      <c r="BQ78" s="340" t="s">
        <v>221</v>
      </c>
      <c r="BR78" s="340" t="s">
        <v>221</v>
      </c>
      <c r="BS78" s="308"/>
      <c r="BT78" s="308"/>
      <c r="BU78" s="308"/>
      <c r="BV78" s="308"/>
      <c r="BW78" s="308"/>
      <c r="BX78" s="308"/>
      <c r="BY78" s="308"/>
      <c r="BZ78" s="308"/>
      <c r="CA78" s="308"/>
      <c r="CB78" s="308"/>
      <c r="CC78" s="340" t="s">
        <v>221</v>
      </c>
      <c r="CD78" s="340" t="s">
        <v>221</v>
      </c>
      <c r="CE78" s="318">
        <v>14108</v>
      </c>
      <c r="CF78" s="318"/>
    </row>
    <row r="79" spans="1:84" ht="12.65" customHeight="1" x14ac:dyDescent="0.3">
      <c r="A79" s="298" t="s">
        <v>251</v>
      </c>
      <c r="B79" s="302"/>
      <c r="C79" s="329"/>
      <c r="D79" s="329"/>
      <c r="E79" s="308">
        <v>21507.765010556792</v>
      </c>
      <c r="F79" s="308"/>
      <c r="G79" s="308"/>
      <c r="H79" s="308"/>
      <c r="I79" s="308"/>
      <c r="J79" s="308"/>
      <c r="K79" s="308">
        <v>114904.51075194296</v>
      </c>
      <c r="L79" s="308">
        <v>22936.414293745642</v>
      </c>
      <c r="M79" s="308"/>
      <c r="N79" s="308"/>
      <c r="O79" s="308">
        <v>5560.8500086433505</v>
      </c>
      <c r="P79" s="308">
        <v>11027.402284554611</v>
      </c>
      <c r="Q79" s="308"/>
      <c r="R79" s="308"/>
      <c r="S79" s="308"/>
      <c r="T79" s="308"/>
      <c r="U79" s="308"/>
      <c r="V79" s="308"/>
      <c r="W79" s="308"/>
      <c r="X79" s="308">
        <v>21514.079787112682</v>
      </c>
      <c r="Y79" s="308">
        <v>13486.417360222831</v>
      </c>
      <c r="Z79" s="308"/>
      <c r="AA79" s="308"/>
      <c r="AB79" s="308"/>
      <c r="AC79" s="308"/>
      <c r="AD79" s="308"/>
      <c r="AE79" s="308">
        <v>1988.3530507980904</v>
      </c>
      <c r="AF79" s="308"/>
      <c r="AG79" s="308">
        <v>15947.207452423056</v>
      </c>
      <c r="AH79" s="308"/>
      <c r="AI79" s="308">
        <v>10369</v>
      </c>
      <c r="AJ79" s="308">
        <v>45764</v>
      </c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40" t="s">
        <v>221</v>
      </c>
      <c r="AY79" s="340" t="s">
        <v>221</v>
      </c>
      <c r="AZ79" s="340" t="s">
        <v>221</v>
      </c>
      <c r="BA79" s="340" t="s">
        <v>221</v>
      </c>
      <c r="BB79" s="308"/>
      <c r="BC79" s="308"/>
      <c r="BD79" s="340" t="s">
        <v>221</v>
      </c>
      <c r="BE79" s="340" t="s">
        <v>221</v>
      </c>
      <c r="BF79" s="340" t="s">
        <v>221</v>
      </c>
      <c r="BG79" s="340" t="s">
        <v>221</v>
      </c>
      <c r="BH79" s="308"/>
      <c r="BI79" s="308"/>
      <c r="BJ79" s="340" t="s">
        <v>221</v>
      </c>
      <c r="BK79" s="308"/>
      <c r="BL79" s="308"/>
      <c r="BM79" s="308"/>
      <c r="BN79" s="340" t="s">
        <v>221</v>
      </c>
      <c r="BO79" s="340" t="s">
        <v>221</v>
      </c>
      <c r="BP79" s="340" t="s">
        <v>221</v>
      </c>
      <c r="BQ79" s="340" t="s">
        <v>221</v>
      </c>
      <c r="BR79" s="340" t="s">
        <v>221</v>
      </c>
      <c r="BS79" s="308"/>
      <c r="BT79" s="308"/>
      <c r="BU79" s="308"/>
      <c r="BV79" s="308"/>
      <c r="BW79" s="308"/>
      <c r="BX79" s="308"/>
      <c r="BY79" s="308"/>
      <c r="BZ79" s="308"/>
      <c r="CA79" s="308"/>
      <c r="CB79" s="308"/>
      <c r="CC79" s="340" t="s">
        <v>221</v>
      </c>
      <c r="CD79" s="340" t="s">
        <v>221</v>
      </c>
      <c r="CE79" s="318">
        <v>285006</v>
      </c>
      <c r="CF79" s="318">
        <v>0</v>
      </c>
    </row>
    <row r="80" spans="1:84" ht="12.65" customHeight="1" x14ac:dyDescent="0.3">
      <c r="A80" s="298" t="s">
        <v>252</v>
      </c>
      <c r="B80" s="302"/>
      <c r="C80" s="311"/>
      <c r="D80" s="311"/>
      <c r="E80" s="311">
        <v>7.1499999999999995</v>
      </c>
      <c r="F80" s="311"/>
      <c r="G80" s="311"/>
      <c r="H80" s="311"/>
      <c r="I80" s="311"/>
      <c r="J80" s="311"/>
      <c r="K80" s="311">
        <v>8.33</v>
      </c>
      <c r="L80" s="311">
        <v>3.3499999999999996</v>
      </c>
      <c r="M80" s="311"/>
      <c r="N80" s="311"/>
      <c r="O80" s="311">
        <v>0.35</v>
      </c>
      <c r="P80" s="311">
        <v>1.86</v>
      </c>
      <c r="Q80" s="311"/>
      <c r="R80" s="311">
        <v>1.02</v>
      </c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>
        <v>1.3</v>
      </c>
      <c r="AH80" s="311"/>
      <c r="AI80" s="311">
        <v>1.25</v>
      </c>
      <c r="AJ80" s="311">
        <v>7.85</v>
      </c>
      <c r="AK80" s="311"/>
      <c r="AL80" s="311"/>
      <c r="AM80" s="311"/>
      <c r="AN80" s="311"/>
      <c r="AO80" s="311"/>
      <c r="AP80" s="311"/>
      <c r="AQ80" s="311"/>
      <c r="AR80" s="311"/>
      <c r="AS80" s="311"/>
      <c r="AT80" s="311"/>
      <c r="AU80" s="311"/>
      <c r="AV80" s="311"/>
      <c r="AW80" s="340" t="s">
        <v>221</v>
      </c>
      <c r="AX80" s="340" t="s">
        <v>221</v>
      </c>
      <c r="AY80" s="340" t="s">
        <v>221</v>
      </c>
      <c r="AZ80" s="340" t="s">
        <v>221</v>
      </c>
      <c r="BA80" s="340" t="s">
        <v>221</v>
      </c>
      <c r="BB80" s="340" t="s">
        <v>221</v>
      </c>
      <c r="BC80" s="340" t="s">
        <v>221</v>
      </c>
      <c r="BD80" s="340" t="s">
        <v>221</v>
      </c>
      <c r="BE80" s="340" t="s">
        <v>221</v>
      </c>
      <c r="BF80" s="340" t="s">
        <v>221</v>
      </c>
      <c r="BG80" s="340" t="s">
        <v>221</v>
      </c>
      <c r="BH80" s="340" t="s">
        <v>221</v>
      </c>
      <c r="BI80" s="340" t="s">
        <v>221</v>
      </c>
      <c r="BJ80" s="340" t="s">
        <v>221</v>
      </c>
      <c r="BK80" s="340" t="s">
        <v>221</v>
      </c>
      <c r="BL80" s="340" t="s">
        <v>221</v>
      </c>
      <c r="BM80" s="340" t="s">
        <v>221</v>
      </c>
      <c r="BN80" s="340" t="s">
        <v>221</v>
      </c>
      <c r="BO80" s="340" t="s">
        <v>221</v>
      </c>
      <c r="BP80" s="340" t="s">
        <v>221</v>
      </c>
      <c r="BQ80" s="340" t="s">
        <v>221</v>
      </c>
      <c r="BR80" s="340" t="s">
        <v>221</v>
      </c>
      <c r="BS80" s="340" t="s">
        <v>221</v>
      </c>
      <c r="BT80" s="340" t="s">
        <v>221</v>
      </c>
      <c r="BU80" s="345"/>
      <c r="BV80" s="345"/>
      <c r="BW80" s="345"/>
      <c r="BX80" s="345"/>
      <c r="BY80" s="345"/>
      <c r="BZ80" s="345"/>
      <c r="CA80" s="345"/>
      <c r="CB80" s="345"/>
      <c r="CC80" s="340" t="s">
        <v>221</v>
      </c>
      <c r="CD80" s="340" t="s">
        <v>221</v>
      </c>
      <c r="CE80" s="346">
        <v>32.46</v>
      </c>
      <c r="CF80" s="346"/>
    </row>
    <row r="81" spans="1:84" ht="21" customHeight="1" x14ac:dyDescent="0.3">
      <c r="A81" s="324" t="s">
        <v>253</v>
      </c>
      <c r="B81" s="324"/>
      <c r="C81" s="324"/>
      <c r="D81" s="324"/>
      <c r="E81" s="324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7"/>
      <c r="BV81" s="257"/>
      <c r="BW81" s="257"/>
      <c r="BX81" s="257"/>
      <c r="BY81" s="257"/>
      <c r="BZ81" s="257"/>
      <c r="CA81" s="257"/>
      <c r="CB81" s="257"/>
      <c r="CC81" s="252"/>
      <c r="CD81" s="252"/>
      <c r="CE81" s="258"/>
      <c r="CF81" s="258"/>
    </row>
    <row r="82" spans="1:84" ht="12.65" customHeight="1" x14ac:dyDescent="0.3">
      <c r="A82" s="298" t="s">
        <v>254</v>
      </c>
      <c r="B82" s="299"/>
      <c r="C82" s="355" t="s">
        <v>1282</v>
      </c>
      <c r="D82" s="347"/>
      <c r="E82" s="302"/>
    </row>
    <row r="83" spans="1:84" ht="12.65" customHeight="1" x14ac:dyDescent="0.3">
      <c r="A83" s="300" t="s">
        <v>255</v>
      </c>
      <c r="B83" s="299" t="s">
        <v>256</v>
      </c>
      <c r="C83" s="331" t="s">
        <v>1281</v>
      </c>
      <c r="D83" s="347"/>
      <c r="E83" s="302"/>
    </row>
    <row r="84" spans="1:84" ht="12.65" customHeight="1" x14ac:dyDescent="0.3">
      <c r="A84" s="300" t="s">
        <v>257</v>
      </c>
      <c r="B84" s="299" t="s">
        <v>256</v>
      </c>
      <c r="C84" s="332" t="s">
        <v>1272</v>
      </c>
      <c r="D84" s="322"/>
      <c r="E84" s="321"/>
    </row>
    <row r="85" spans="1:84" ht="12.65" customHeight="1" x14ac:dyDescent="0.3">
      <c r="A85" s="300" t="s">
        <v>1251</v>
      </c>
      <c r="B85" s="299"/>
      <c r="C85" s="353" t="s">
        <v>1273</v>
      </c>
      <c r="D85" s="322"/>
      <c r="E85" s="321"/>
    </row>
    <row r="86" spans="1:84" ht="12.65" customHeight="1" x14ac:dyDescent="0.3">
      <c r="A86" s="300" t="s">
        <v>1252</v>
      </c>
      <c r="B86" s="299" t="s">
        <v>256</v>
      </c>
      <c r="C86" s="333" t="s">
        <v>1273</v>
      </c>
      <c r="D86" s="322"/>
      <c r="E86" s="321"/>
    </row>
    <row r="87" spans="1:84" ht="12.65" customHeight="1" x14ac:dyDescent="0.3">
      <c r="A87" s="300" t="s">
        <v>258</v>
      </c>
      <c r="B87" s="299" t="s">
        <v>256</v>
      </c>
      <c r="C87" s="332" t="s">
        <v>1274</v>
      </c>
      <c r="D87" s="322"/>
      <c r="E87" s="321"/>
    </row>
    <row r="88" spans="1:84" ht="12.65" customHeight="1" x14ac:dyDescent="0.3">
      <c r="A88" s="300" t="s">
        <v>259</v>
      </c>
      <c r="B88" s="299" t="s">
        <v>256</v>
      </c>
      <c r="C88" s="332" t="s">
        <v>1275</v>
      </c>
      <c r="D88" s="322"/>
      <c r="E88" s="321"/>
    </row>
    <row r="89" spans="1:84" ht="12.65" customHeight="1" x14ac:dyDescent="0.3">
      <c r="A89" s="300" t="s">
        <v>260</v>
      </c>
      <c r="B89" s="299" t="s">
        <v>256</v>
      </c>
      <c r="C89" s="332" t="s">
        <v>1276</v>
      </c>
      <c r="D89" s="322"/>
      <c r="E89" s="321"/>
    </row>
    <row r="90" spans="1:84" ht="12.65" customHeight="1" x14ac:dyDescent="0.3">
      <c r="A90" s="300" t="s">
        <v>261</v>
      </c>
      <c r="B90" s="299" t="s">
        <v>256</v>
      </c>
      <c r="C90" s="332" t="s">
        <v>1277</v>
      </c>
      <c r="D90" s="322"/>
      <c r="E90" s="321"/>
    </row>
    <row r="91" spans="1:84" ht="12.65" customHeight="1" x14ac:dyDescent="0.3">
      <c r="A91" s="300" t="s">
        <v>262</v>
      </c>
      <c r="B91" s="299" t="s">
        <v>256</v>
      </c>
      <c r="C91" s="332" t="s">
        <v>1278</v>
      </c>
      <c r="D91" s="322"/>
      <c r="E91" s="321"/>
    </row>
    <row r="92" spans="1:84" ht="12.65" customHeight="1" x14ac:dyDescent="0.3">
      <c r="A92" s="300" t="s">
        <v>263</v>
      </c>
      <c r="B92" s="299" t="s">
        <v>256</v>
      </c>
      <c r="C92" s="330" t="s">
        <v>1279</v>
      </c>
      <c r="D92" s="347"/>
      <c r="E92" s="302"/>
    </row>
    <row r="93" spans="1:84" ht="12.65" customHeight="1" x14ac:dyDescent="0.3">
      <c r="A93" s="300" t="s">
        <v>264</v>
      </c>
      <c r="B93" s="299" t="s">
        <v>256</v>
      </c>
      <c r="C93" s="352" t="s">
        <v>1280</v>
      </c>
      <c r="D93" s="347"/>
      <c r="E93" s="302"/>
    </row>
    <row r="94" spans="1:84" ht="12.65" customHeight="1" x14ac:dyDescent="0.3">
      <c r="A94" s="300"/>
      <c r="B94" s="300"/>
      <c r="C94" s="315"/>
      <c r="D94" s="302"/>
      <c r="E94" s="302"/>
    </row>
    <row r="95" spans="1:84" ht="12.65" customHeight="1" x14ac:dyDescent="0.3">
      <c r="A95" s="324" t="s">
        <v>265</v>
      </c>
      <c r="B95" s="324"/>
      <c r="C95" s="324"/>
      <c r="D95" s="324"/>
      <c r="E95" s="324"/>
    </row>
    <row r="96" spans="1:84" ht="12.65" customHeight="1" x14ac:dyDescent="0.3">
      <c r="A96" s="348" t="s">
        <v>266</v>
      </c>
      <c r="B96" s="348"/>
      <c r="C96" s="348"/>
      <c r="D96" s="348"/>
      <c r="E96" s="348"/>
    </row>
    <row r="97" spans="1:5" ht="12.65" customHeight="1" x14ac:dyDescent="0.3">
      <c r="A97" s="300" t="s">
        <v>267</v>
      </c>
      <c r="B97" s="299" t="s">
        <v>256</v>
      </c>
      <c r="C97" s="313"/>
      <c r="D97" s="302"/>
      <c r="E97" s="302"/>
    </row>
    <row r="98" spans="1:5" ht="12.65" customHeight="1" x14ac:dyDescent="0.3">
      <c r="A98" s="300" t="s">
        <v>259</v>
      </c>
      <c r="B98" s="299" t="s">
        <v>256</v>
      </c>
      <c r="C98" s="313"/>
      <c r="D98" s="302"/>
      <c r="E98" s="302"/>
    </row>
    <row r="99" spans="1:5" ht="12.65" customHeight="1" x14ac:dyDescent="0.3">
      <c r="A99" s="300" t="s">
        <v>268</v>
      </c>
      <c r="B99" s="299" t="s">
        <v>256</v>
      </c>
      <c r="C99" s="313">
        <v>1</v>
      </c>
      <c r="D99" s="302"/>
      <c r="E99" s="302"/>
    </row>
    <row r="100" spans="1:5" ht="12.65" customHeight="1" x14ac:dyDescent="0.3">
      <c r="A100" s="348" t="s">
        <v>269</v>
      </c>
      <c r="B100" s="348"/>
      <c r="C100" s="348"/>
      <c r="D100" s="348"/>
      <c r="E100" s="348"/>
    </row>
    <row r="101" spans="1:5" ht="12.65" customHeight="1" x14ac:dyDescent="0.3">
      <c r="A101" s="300" t="s">
        <v>270</v>
      </c>
      <c r="B101" s="299" t="s">
        <v>256</v>
      </c>
      <c r="C101" s="313"/>
      <c r="D101" s="302"/>
      <c r="E101" s="302"/>
    </row>
    <row r="102" spans="1:5" ht="12.65" customHeight="1" x14ac:dyDescent="0.3">
      <c r="A102" s="300" t="s">
        <v>132</v>
      </c>
      <c r="B102" s="299" t="s">
        <v>256</v>
      </c>
      <c r="C102" s="326"/>
      <c r="D102" s="302"/>
      <c r="E102" s="302"/>
    </row>
    <row r="103" spans="1:5" ht="12.65" customHeight="1" x14ac:dyDescent="0.3">
      <c r="A103" s="348" t="s">
        <v>271</v>
      </c>
      <c r="B103" s="348"/>
      <c r="C103" s="348"/>
      <c r="D103" s="348"/>
      <c r="E103" s="348"/>
    </row>
    <row r="104" spans="1:5" ht="12.65" customHeight="1" x14ac:dyDescent="0.3">
      <c r="A104" s="300" t="s">
        <v>272</v>
      </c>
      <c r="B104" s="299" t="s">
        <v>256</v>
      </c>
      <c r="C104" s="313"/>
      <c r="D104" s="302"/>
      <c r="E104" s="302"/>
    </row>
    <row r="105" spans="1:5" ht="12.65" customHeight="1" x14ac:dyDescent="0.3">
      <c r="A105" s="300" t="s">
        <v>273</v>
      </c>
      <c r="B105" s="299" t="s">
        <v>256</v>
      </c>
      <c r="C105" s="313"/>
      <c r="D105" s="302"/>
      <c r="E105" s="302"/>
    </row>
    <row r="106" spans="1:5" ht="12.65" customHeight="1" x14ac:dyDescent="0.3">
      <c r="A106" s="300" t="s">
        <v>274</v>
      </c>
      <c r="B106" s="299" t="s">
        <v>256</v>
      </c>
      <c r="C106" s="313"/>
      <c r="D106" s="302"/>
      <c r="E106" s="302"/>
    </row>
    <row r="107" spans="1:5" ht="12.65" customHeight="1" x14ac:dyDescent="0.3">
      <c r="A107" s="300"/>
      <c r="B107" s="299"/>
      <c r="C107" s="314"/>
      <c r="D107" s="302"/>
      <c r="E107" s="302"/>
    </row>
    <row r="108" spans="1:5" ht="21.75" customHeight="1" x14ac:dyDescent="0.3">
      <c r="A108" s="323" t="s">
        <v>275</v>
      </c>
      <c r="B108" s="324"/>
      <c r="C108" s="324"/>
      <c r="D108" s="324"/>
      <c r="E108" s="324"/>
    </row>
    <row r="109" spans="1:5" ht="13.5" customHeight="1" x14ac:dyDescent="0.3">
      <c r="A109" s="300"/>
      <c r="B109" s="299"/>
      <c r="C109" s="314"/>
      <c r="D109" s="302"/>
      <c r="E109" s="302"/>
    </row>
    <row r="110" spans="1:5" ht="13.5" customHeight="1" x14ac:dyDescent="0.3">
      <c r="A110" s="298" t="s">
        <v>276</v>
      </c>
      <c r="B110" s="302"/>
      <c r="C110" s="306" t="s">
        <v>277</v>
      </c>
      <c r="D110" s="297" t="s">
        <v>215</v>
      </c>
      <c r="E110" s="302"/>
    </row>
    <row r="111" spans="1:5" ht="12.65" customHeight="1" x14ac:dyDescent="0.3">
      <c r="A111" s="300" t="s">
        <v>278</v>
      </c>
      <c r="B111" s="299" t="s">
        <v>256</v>
      </c>
      <c r="C111" s="313">
        <v>234</v>
      </c>
      <c r="D111" s="301">
        <v>647</v>
      </c>
      <c r="E111" s="302"/>
    </row>
    <row r="112" spans="1:5" ht="12.65" customHeight="1" x14ac:dyDescent="0.3">
      <c r="A112" s="300" t="s">
        <v>279</v>
      </c>
      <c r="B112" s="299" t="s">
        <v>256</v>
      </c>
      <c r="C112" s="313">
        <v>138</v>
      </c>
      <c r="D112" s="301">
        <v>7469</v>
      </c>
      <c r="E112" s="302"/>
    </row>
    <row r="113" spans="1:5" ht="12.65" customHeight="1" x14ac:dyDescent="0.3">
      <c r="A113" s="300" t="s">
        <v>280</v>
      </c>
      <c r="B113" s="299" t="s">
        <v>256</v>
      </c>
      <c r="C113" s="313"/>
      <c r="D113" s="301"/>
      <c r="E113" s="302"/>
    </row>
    <row r="114" spans="1:5" ht="12.65" customHeight="1" x14ac:dyDescent="0.3">
      <c r="A114" s="300" t="s">
        <v>281</v>
      </c>
      <c r="B114" s="299" t="s">
        <v>256</v>
      </c>
      <c r="C114" s="313">
        <v>45</v>
      </c>
      <c r="D114" s="301">
        <v>67</v>
      </c>
      <c r="E114" s="302"/>
    </row>
    <row r="115" spans="1:5" ht="12.65" customHeight="1" x14ac:dyDescent="0.3">
      <c r="A115" s="298" t="s">
        <v>282</v>
      </c>
      <c r="B115" s="302"/>
      <c r="C115" s="306" t="s">
        <v>167</v>
      </c>
      <c r="D115" s="302"/>
      <c r="E115" s="302"/>
    </row>
    <row r="116" spans="1:5" ht="12.65" customHeight="1" x14ac:dyDescent="0.3">
      <c r="A116" s="300" t="s">
        <v>283</v>
      </c>
      <c r="B116" s="299" t="s">
        <v>256</v>
      </c>
      <c r="C116" s="313"/>
      <c r="D116" s="302"/>
      <c r="E116" s="302"/>
    </row>
    <row r="117" spans="1:5" ht="12.65" customHeight="1" x14ac:dyDescent="0.3">
      <c r="A117" s="300" t="s">
        <v>284</v>
      </c>
      <c r="B117" s="299" t="s">
        <v>256</v>
      </c>
      <c r="C117" s="313"/>
      <c r="D117" s="302"/>
      <c r="E117" s="302"/>
    </row>
    <row r="118" spans="1:5" ht="12.65" customHeight="1" x14ac:dyDescent="0.3">
      <c r="A118" s="300" t="s">
        <v>1239</v>
      </c>
      <c r="B118" s="299" t="s">
        <v>256</v>
      </c>
      <c r="C118" s="313">
        <v>17</v>
      </c>
      <c r="D118" s="302"/>
      <c r="E118" s="302"/>
    </row>
    <row r="119" spans="1:5" ht="12.65" customHeight="1" x14ac:dyDescent="0.3">
      <c r="A119" s="300" t="s">
        <v>285</v>
      </c>
      <c r="B119" s="299" t="s">
        <v>256</v>
      </c>
      <c r="C119" s="313"/>
      <c r="D119" s="302"/>
      <c r="E119" s="302"/>
    </row>
    <row r="120" spans="1:5" ht="12.65" customHeight="1" x14ac:dyDescent="0.3">
      <c r="A120" s="300" t="s">
        <v>286</v>
      </c>
      <c r="B120" s="299" t="s">
        <v>256</v>
      </c>
      <c r="C120" s="313"/>
      <c r="D120" s="302"/>
      <c r="E120" s="302"/>
    </row>
    <row r="121" spans="1:5" ht="12.65" customHeight="1" x14ac:dyDescent="0.3">
      <c r="A121" s="300" t="s">
        <v>287</v>
      </c>
      <c r="B121" s="299" t="s">
        <v>256</v>
      </c>
      <c r="C121" s="313"/>
      <c r="D121" s="302"/>
      <c r="E121" s="302"/>
    </row>
    <row r="122" spans="1:5" ht="12.65" customHeight="1" x14ac:dyDescent="0.3">
      <c r="A122" s="300" t="s">
        <v>97</v>
      </c>
      <c r="B122" s="299" t="s">
        <v>256</v>
      </c>
      <c r="C122" s="313"/>
      <c r="D122" s="302"/>
      <c r="E122" s="302"/>
    </row>
    <row r="123" spans="1:5" ht="12.65" customHeight="1" x14ac:dyDescent="0.3">
      <c r="A123" s="300" t="s">
        <v>288</v>
      </c>
      <c r="B123" s="299" t="s">
        <v>256</v>
      </c>
      <c r="C123" s="313">
        <v>20</v>
      </c>
      <c r="D123" s="302"/>
      <c r="E123" s="302"/>
    </row>
    <row r="124" spans="1:5" ht="12.65" customHeight="1" x14ac:dyDescent="0.3">
      <c r="A124" s="300" t="s">
        <v>289</v>
      </c>
      <c r="B124" s="299"/>
      <c r="C124" s="313"/>
      <c r="D124" s="302"/>
      <c r="E124" s="302"/>
    </row>
    <row r="125" spans="1:5" ht="12.65" customHeight="1" x14ac:dyDescent="0.3">
      <c r="A125" s="300" t="s">
        <v>280</v>
      </c>
      <c r="B125" s="299" t="s">
        <v>256</v>
      </c>
      <c r="C125" s="313"/>
      <c r="D125" s="302"/>
      <c r="E125" s="302"/>
    </row>
    <row r="126" spans="1:5" ht="12.65" customHeight="1" x14ac:dyDescent="0.3">
      <c r="A126" s="300" t="s">
        <v>290</v>
      </c>
      <c r="B126" s="299" t="s">
        <v>256</v>
      </c>
      <c r="C126" s="313"/>
      <c r="D126" s="302"/>
      <c r="E126" s="302"/>
    </row>
    <row r="127" spans="1:5" ht="12.65" customHeight="1" x14ac:dyDescent="0.3">
      <c r="A127" s="300" t="s">
        <v>291</v>
      </c>
      <c r="B127" s="302"/>
      <c r="C127" s="315"/>
      <c r="D127" s="302"/>
      <c r="E127" s="302">
        <v>37</v>
      </c>
    </row>
    <row r="128" spans="1:5" ht="12.65" customHeight="1" x14ac:dyDescent="0.3">
      <c r="A128" s="300" t="s">
        <v>292</v>
      </c>
      <c r="B128" s="299" t="s">
        <v>256</v>
      </c>
      <c r="C128" s="313">
        <v>37</v>
      </c>
      <c r="D128" s="302"/>
      <c r="E128" s="302"/>
    </row>
    <row r="129" spans="1:6" ht="12.65" customHeight="1" x14ac:dyDescent="0.3">
      <c r="A129" s="300" t="s">
        <v>293</v>
      </c>
      <c r="B129" s="299" t="s">
        <v>256</v>
      </c>
      <c r="C129" s="313"/>
      <c r="D129" s="302"/>
      <c r="E129" s="302"/>
      <c r="F129" s="296"/>
    </row>
    <row r="130" spans="1:6" ht="12.65" customHeight="1" x14ac:dyDescent="0.3">
      <c r="A130" s="300"/>
      <c r="B130" s="302"/>
      <c r="C130" s="315"/>
      <c r="D130" s="302"/>
      <c r="E130" s="302"/>
      <c r="F130" s="296"/>
    </row>
    <row r="131" spans="1:6" ht="12.65" customHeight="1" x14ac:dyDescent="0.3">
      <c r="A131" s="300" t="s">
        <v>294</v>
      </c>
      <c r="B131" s="299" t="s">
        <v>256</v>
      </c>
      <c r="C131" s="313"/>
      <c r="D131" s="302"/>
      <c r="E131" s="302"/>
      <c r="F131" s="296"/>
    </row>
    <row r="132" spans="1:6" ht="12.65" customHeight="1" x14ac:dyDescent="0.3">
      <c r="A132" s="300"/>
      <c r="B132" s="300"/>
      <c r="C132" s="315"/>
      <c r="D132" s="302"/>
      <c r="E132" s="302"/>
      <c r="F132" s="296"/>
    </row>
    <row r="133" spans="1:6" ht="12.65" customHeight="1" x14ac:dyDescent="0.3">
      <c r="A133" s="300"/>
      <c r="B133" s="300"/>
      <c r="C133" s="315"/>
      <c r="D133" s="302"/>
      <c r="E133" s="302"/>
      <c r="F133" s="296"/>
    </row>
    <row r="134" spans="1:6" ht="12.65" customHeight="1" x14ac:dyDescent="0.3">
      <c r="A134" s="300"/>
      <c r="B134" s="300"/>
      <c r="C134" s="315"/>
      <c r="D134" s="302"/>
      <c r="E134" s="302"/>
      <c r="F134" s="296"/>
    </row>
    <row r="135" spans="1:6" ht="12.65" customHeight="1" x14ac:dyDescent="0.3">
      <c r="A135" s="300"/>
      <c r="B135" s="300"/>
      <c r="C135" s="315"/>
      <c r="D135" s="302"/>
      <c r="E135" s="302"/>
      <c r="F135" s="296"/>
    </row>
    <row r="136" spans="1:6" ht="18" customHeight="1" x14ac:dyDescent="0.3">
      <c r="A136" s="324" t="s">
        <v>1240</v>
      </c>
      <c r="B136" s="323"/>
      <c r="C136" s="323"/>
      <c r="D136" s="323"/>
      <c r="E136" s="323"/>
      <c r="F136" s="296"/>
    </row>
    <row r="137" spans="1:6" ht="12.65" customHeight="1" x14ac:dyDescent="0.3">
      <c r="A137" s="349" t="s">
        <v>295</v>
      </c>
      <c r="B137" s="303" t="s">
        <v>296</v>
      </c>
      <c r="C137" s="316" t="s">
        <v>297</v>
      </c>
      <c r="D137" s="303" t="s">
        <v>132</v>
      </c>
      <c r="E137" s="303" t="s">
        <v>203</v>
      </c>
      <c r="F137" s="296"/>
    </row>
    <row r="138" spans="1:6" ht="12.65" customHeight="1" x14ac:dyDescent="0.3">
      <c r="A138" s="300" t="s">
        <v>277</v>
      </c>
      <c r="B138" s="301">
        <v>127</v>
      </c>
      <c r="C138" s="313">
        <v>21</v>
      </c>
      <c r="D138" s="301">
        <v>86</v>
      </c>
      <c r="E138" s="302">
        <v>234</v>
      </c>
      <c r="F138" s="296"/>
    </row>
    <row r="139" spans="1:6" ht="12.65" customHeight="1" x14ac:dyDescent="0.3">
      <c r="A139" s="300" t="s">
        <v>215</v>
      </c>
      <c r="B139" s="301">
        <v>408</v>
      </c>
      <c r="C139" s="313">
        <v>45</v>
      </c>
      <c r="D139" s="301">
        <v>194</v>
      </c>
      <c r="E139" s="302">
        <v>647</v>
      </c>
      <c r="F139" s="296"/>
    </row>
    <row r="140" spans="1:6" ht="12.65" customHeight="1" x14ac:dyDescent="0.3">
      <c r="A140" s="300" t="s">
        <v>298</v>
      </c>
      <c r="B140" s="301"/>
      <c r="C140" s="301"/>
      <c r="D140" s="301"/>
      <c r="E140" s="302">
        <v>0</v>
      </c>
      <c r="F140" s="296"/>
    </row>
    <row r="141" spans="1:6" ht="12.65" customHeight="1" x14ac:dyDescent="0.3">
      <c r="A141" s="300" t="s">
        <v>245</v>
      </c>
      <c r="B141" s="301">
        <v>2548003.92</v>
      </c>
      <c r="C141" s="313">
        <v>1172794</v>
      </c>
      <c r="D141" s="301">
        <v>770981.08000000007</v>
      </c>
      <c r="E141" s="302">
        <v>4491779</v>
      </c>
      <c r="F141" s="320"/>
    </row>
    <row r="142" spans="1:6" ht="12.65" customHeight="1" x14ac:dyDescent="0.3">
      <c r="A142" s="300" t="s">
        <v>246</v>
      </c>
      <c r="B142" s="301">
        <v>16745376.08</v>
      </c>
      <c r="C142" s="313">
        <v>11635130</v>
      </c>
      <c r="D142" s="301">
        <v>18065948.200000003</v>
      </c>
      <c r="E142" s="302">
        <v>46446454.280000001</v>
      </c>
      <c r="F142" s="320"/>
    </row>
    <row r="143" spans="1:6" ht="12.65" customHeight="1" x14ac:dyDescent="0.3">
      <c r="A143" s="349" t="s">
        <v>299</v>
      </c>
      <c r="B143" s="303" t="s">
        <v>296</v>
      </c>
      <c r="C143" s="316" t="s">
        <v>297</v>
      </c>
      <c r="D143" s="303" t="s">
        <v>132</v>
      </c>
      <c r="E143" s="303" t="s">
        <v>203</v>
      </c>
      <c r="F143" s="296"/>
    </row>
    <row r="144" spans="1:6" ht="12.65" customHeight="1" x14ac:dyDescent="0.3">
      <c r="A144" s="300" t="s">
        <v>277</v>
      </c>
      <c r="B144" s="301">
        <v>53</v>
      </c>
      <c r="C144" s="313">
        <v>57</v>
      </c>
      <c r="D144" s="301">
        <v>28</v>
      </c>
      <c r="E144" s="302">
        <v>138</v>
      </c>
      <c r="F144" s="296"/>
    </row>
    <row r="145" spans="1:5" ht="12.65" customHeight="1" x14ac:dyDescent="0.3">
      <c r="A145" s="300" t="s">
        <v>215</v>
      </c>
      <c r="B145" s="301">
        <v>408</v>
      </c>
      <c r="C145" s="313">
        <v>4866</v>
      </c>
      <c r="D145" s="301">
        <v>2195</v>
      </c>
      <c r="E145" s="302">
        <v>7469</v>
      </c>
    </row>
    <row r="146" spans="1:5" ht="12.65" customHeight="1" x14ac:dyDescent="0.3">
      <c r="A146" s="300" t="s">
        <v>298</v>
      </c>
      <c r="B146" s="301"/>
      <c r="C146" s="313"/>
      <c r="D146" s="301"/>
      <c r="E146" s="302">
        <v>0</v>
      </c>
    </row>
    <row r="147" spans="1:5" ht="12.65" customHeight="1" x14ac:dyDescent="0.3">
      <c r="A147" s="300" t="s">
        <v>245</v>
      </c>
      <c r="B147" s="301">
        <v>1182227</v>
      </c>
      <c r="C147" s="313">
        <v>1574225</v>
      </c>
      <c r="D147" s="301">
        <v>823473</v>
      </c>
      <c r="E147" s="302">
        <v>3579925</v>
      </c>
    </row>
    <row r="148" spans="1:5" ht="12.65" customHeight="1" x14ac:dyDescent="0.3">
      <c r="A148" s="300" t="s">
        <v>246</v>
      </c>
      <c r="B148" s="301"/>
      <c r="C148" s="313"/>
      <c r="D148" s="301"/>
      <c r="E148" s="302">
        <v>0</v>
      </c>
    </row>
    <row r="149" spans="1:5" ht="12.65" customHeight="1" x14ac:dyDescent="0.3">
      <c r="A149" s="349" t="s">
        <v>300</v>
      </c>
      <c r="B149" s="303" t="s">
        <v>296</v>
      </c>
      <c r="C149" s="316" t="s">
        <v>297</v>
      </c>
      <c r="D149" s="303" t="s">
        <v>132</v>
      </c>
      <c r="E149" s="303" t="s">
        <v>203</v>
      </c>
    </row>
    <row r="150" spans="1:5" ht="12.65" customHeight="1" x14ac:dyDescent="0.3">
      <c r="A150" s="300" t="s">
        <v>277</v>
      </c>
      <c r="B150" s="301"/>
      <c r="C150" s="313"/>
      <c r="D150" s="301"/>
      <c r="E150" s="302">
        <v>0</v>
      </c>
    </row>
    <row r="151" spans="1:5" ht="12.65" customHeight="1" x14ac:dyDescent="0.3">
      <c r="A151" s="300" t="s">
        <v>215</v>
      </c>
      <c r="B151" s="301"/>
      <c r="C151" s="313"/>
      <c r="D151" s="301"/>
      <c r="E151" s="302">
        <v>0</v>
      </c>
    </row>
    <row r="152" spans="1:5" ht="12.65" customHeight="1" x14ac:dyDescent="0.3">
      <c r="A152" s="300" t="s">
        <v>298</v>
      </c>
      <c r="B152" s="301"/>
      <c r="C152" s="313"/>
      <c r="D152" s="301"/>
      <c r="E152" s="302">
        <v>0</v>
      </c>
    </row>
    <row r="153" spans="1:5" ht="12.65" customHeight="1" x14ac:dyDescent="0.3">
      <c r="A153" s="300" t="s">
        <v>245</v>
      </c>
      <c r="B153" s="301"/>
      <c r="C153" s="313"/>
      <c r="D153" s="301"/>
      <c r="E153" s="302">
        <v>0</v>
      </c>
    </row>
    <row r="154" spans="1:5" ht="12.65" customHeight="1" x14ac:dyDescent="0.3">
      <c r="A154" s="300" t="s">
        <v>246</v>
      </c>
      <c r="B154" s="301"/>
      <c r="C154" s="313"/>
      <c r="D154" s="301"/>
      <c r="E154" s="302">
        <v>0</v>
      </c>
    </row>
    <row r="155" spans="1:5" ht="12.65" customHeight="1" x14ac:dyDescent="0.3">
      <c r="A155" s="304"/>
      <c r="B155" s="304"/>
      <c r="C155" s="317"/>
      <c r="D155" s="305"/>
      <c r="E155" s="302"/>
    </row>
    <row r="156" spans="1:5" ht="12.65" customHeight="1" x14ac:dyDescent="0.3">
      <c r="A156" s="349" t="s">
        <v>301</v>
      </c>
      <c r="B156" s="303" t="s">
        <v>302</v>
      </c>
      <c r="C156" s="316" t="s">
        <v>303</v>
      </c>
      <c r="D156" s="302"/>
      <c r="E156" s="302"/>
    </row>
    <row r="157" spans="1:5" ht="12.65" customHeight="1" x14ac:dyDescent="0.3">
      <c r="A157" s="304" t="s">
        <v>304</v>
      </c>
      <c r="B157" s="301"/>
      <c r="C157" s="301"/>
      <c r="D157" s="302"/>
      <c r="E157" s="302"/>
    </row>
    <row r="158" spans="1:5" ht="12.65" customHeight="1" x14ac:dyDescent="0.3">
      <c r="A158" s="304"/>
      <c r="B158" s="305"/>
      <c r="C158" s="317"/>
      <c r="D158" s="302"/>
      <c r="E158" s="302"/>
    </row>
    <row r="159" spans="1:5" ht="12.65" customHeight="1" x14ac:dyDescent="0.3">
      <c r="A159" s="304"/>
      <c r="B159" s="304"/>
      <c r="C159" s="317"/>
      <c r="D159" s="305"/>
      <c r="E159" s="302"/>
    </row>
    <row r="160" spans="1:5" ht="12.65" customHeight="1" x14ac:dyDescent="0.3">
      <c r="A160" s="304"/>
      <c r="B160" s="304"/>
      <c r="C160" s="317"/>
      <c r="D160" s="305"/>
      <c r="E160" s="302"/>
    </row>
    <row r="161" spans="1:5" ht="12.65" customHeight="1" x14ac:dyDescent="0.3">
      <c r="A161" s="304"/>
      <c r="B161" s="304"/>
      <c r="C161" s="317"/>
      <c r="D161" s="305"/>
      <c r="E161" s="302"/>
    </row>
    <row r="162" spans="1:5" ht="12.65" customHeight="1" x14ac:dyDescent="0.3">
      <c r="A162" s="304"/>
      <c r="B162" s="304"/>
      <c r="C162" s="317"/>
      <c r="D162" s="305"/>
      <c r="E162" s="302"/>
    </row>
    <row r="163" spans="1:5" ht="21.75" customHeight="1" x14ac:dyDescent="0.3">
      <c r="A163" s="323" t="s">
        <v>305</v>
      </c>
      <c r="B163" s="324"/>
      <c r="C163" s="324"/>
      <c r="D163" s="324"/>
      <c r="E163" s="324"/>
    </row>
    <row r="164" spans="1:5" ht="11.5" customHeight="1" x14ac:dyDescent="0.3">
      <c r="A164" s="348" t="s">
        <v>306</v>
      </c>
      <c r="B164" s="348"/>
      <c r="C164" s="348"/>
      <c r="D164" s="348"/>
      <c r="E164" s="348"/>
    </row>
    <row r="165" spans="1:5" ht="11.5" customHeight="1" x14ac:dyDescent="0.3">
      <c r="A165" s="300" t="s">
        <v>307</v>
      </c>
      <c r="B165" s="299" t="s">
        <v>256</v>
      </c>
      <c r="C165" s="313">
        <v>246481</v>
      </c>
      <c r="D165" s="302"/>
      <c r="E165" s="302"/>
    </row>
    <row r="166" spans="1:5" ht="11.5" customHeight="1" x14ac:dyDescent="0.3">
      <c r="A166" s="300" t="s">
        <v>308</v>
      </c>
      <c r="B166" s="299" t="s">
        <v>256</v>
      </c>
      <c r="C166" s="313">
        <v>56379</v>
      </c>
      <c r="D166" s="302"/>
      <c r="E166" s="302"/>
    </row>
    <row r="167" spans="1:5" ht="11.5" customHeight="1" x14ac:dyDescent="0.3">
      <c r="A167" s="304" t="s">
        <v>309</v>
      </c>
      <c r="B167" s="299" t="s">
        <v>256</v>
      </c>
      <c r="C167" s="313">
        <v>204437</v>
      </c>
      <c r="D167" s="302"/>
      <c r="E167" s="302"/>
    </row>
    <row r="168" spans="1:5" ht="11.5" customHeight="1" x14ac:dyDescent="0.3">
      <c r="A168" s="300" t="s">
        <v>310</v>
      </c>
      <c r="B168" s="299" t="s">
        <v>256</v>
      </c>
      <c r="C168" s="313">
        <f>3269206</f>
        <v>3269206</v>
      </c>
      <c r="D168" s="302"/>
      <c r="E168" s="302"/>
    </row>
    <row r="169" spans="1:5" ht="11.5" customHeight="1" x14ac:dyDescent="0.3">
      <c r="A169" s="300" t="s">
        <v>311</v>
      </c>
      <c r="B169" s="299" t="s">
        <v>256</v>
      </c>
      <c r="C169" s="313">
        <f>0</f>
        <v>0</v>
      </c>
      <c r="D169" s="302"/>
      <c r="E169" s="302"/>
    </row>
    <row r="170" spans="1:5" ht="11.5" customHeight="1" x14ac:dyDescent="0.3">
      <c r="A170" s="300" t="s">
        <v>312</v>
      </c>
      <c r="B170" s="299" t="s">
        <v>256</v>
      </c>
      <c r="C170" s="313">
        <f>618596+4013+792897</f>
        <v>1415506</v>
      </c>
      <c r="D170" s="302"/>
      <c r="E170" s="302"/>
    </row>
    <row r="171" spans="1:5" ht="11.5" customHeight="1" x14ac:dyDescent="0.3">
      <c r="A171" s="300" t="s">
        <v>313</v>
      </c>
      <c r="B171" s="299" t="s">
        <v>256</v>
      </c>
      <c r="C171" s="313">
        <f>117869+1434+17423</f>
        <v>136726</v>
      </c>
      <c r="D171" s="302"/>
      <c r="E171" s="302"/>
    </row>
    <row r="172" spans="1:5" ht="11.5" customHeight="1" x14ac:dyDescent="0.3">
      <c r="A172" s="300" t="s">
        <v>313</v>
      </c>
      <c r="B172" s="299" t="s">
        <v>256</v>
      </c>
      <c r="C172" s="313">
        <v>163631</v>
      </c>
      <c r="D172" s="302"/>
      <c r="E172" s="302"/>
    </row>
    <row r="173" spans="1:5" ht="11.5" customHeight="1" x14ac:dyDescent="0.3">
      <c r="A173" s="300" t="s">
        <v>203</v>
      </c>
      <c r="B173" s="302"/>
      <c r="C173" s="315"/>
      <c r="D173" s="302">
        <f>SUM(C165:C172)</f>
        <v>5492366</v>
      </c>
      <c r="E173" s="302"/>
    </row>
    <row r="174" spans="1:5" ht="11.5" customHeight="1" x14ac:dyDescent="0.3">
      <c r="A174" s="348" t="s">
        <v>314</v>
      </c>
      <c r="B174" s="348"/>
      <c r="C174" s="348"/>
      <c r="D174" s="348"/>
      <c r="E174" s="348"/>
    </row>
    <row r="175" spans="1:5" ht="11.5" customHeight="1" x14ac:dyDescent="0.3">
      <c r="A175" s="300" t="s">
        <v>315</v>
      </c>
      <c r="B175" s="299" t="s">
        <v>256</v>
      </c>
      <c r="C175" s="313">
        <v>42760</v>
      </c>
      <c r="D175" s="302"/>
      <c r="E175" s="302"/>
    </row>
    <row r="176" spans="1:5" ht="11.5" customHeight="1" x14ac:dyDescent="0.3">
      <c r="A176" s="300" t="s">
        <v>316</v>
      </c>
      <c r="B176" s="299" t="s">
        <v>256</v>
      </c>
      <c r="C176" s="313">
        <v>58943</v>
      </c>
      <c r="D176" s="302"/>
      <c r="E176" s="302"/>
    </row>
    <row r="177" spans="1:5" ht="11.5" customHeight="1" x14ac:dyDescent="0.3">
      <c r="A177" s="300" t="s">
        <v>203</v>
      </c>
      <c r="B177" s="302"/>
      <c r="C177" s="315"/>
      <c r="D177" s="302">
        <v>101703</v>
      </c>
      <c r="E177" s="302"/>
    </row>
    <row r="178" spans="1:5" ht="11.5" customHeight="1" x14ac:dyDescent="0.3">
      <c r="A178" s="348" t="s">
        <v>317</v>
      </c>
      <c r="B178" s="348"/>
      <c r="C178" s="348"/>
      <c r="D178" s="348"/>
      <c r="E178" s="348"/>
    </row>
    <row r="179" spans="1:5" ht="11.5" customHeight="1" x14ac:dyDescent="0.3">
      <c r="A179" s="300" t="s">
        <v>318</v>
      </c>
      <c r="B179" s="299" t="s">
        <v>256</v>
      </c>
      <c r="C179" s="313">
        <v>290737</v>
      </c>
      <c r="D179" s="302"/>
      <c r="E179" s="302"/>
    </row>
    <row r="180" spans="1:5" ht="11.5" customHeight="1" x14ac:dyDescent="0.3">
      <c r="A180" s="300" t="s">
        <v>319</v>
      </c>
      <c r="B180" s="299" t="s">
        <v>256</v>
      </c>
      <c r="C180" s="313"/>
      <c r="D180" s="302"/>
      <c r="E180" s="302"/>
    </row>
    <row r="181" spans="1:5" ht="11.5" customHeight="1" x14ac:dyDescent="0.3">
      <c r="A181" s="300" t="s">
        <v>203</v>
      </c>
      <c r="B181" s="302"/>
      <c r="C181" s="315"/>
      <c r="D181" s="302">
        <v>290737</v>
      </c>
      <c r="E181" s="302"/>
    </row>
    <row r="182" spans="1:5" ht="11.5" customHeight="1" x14ac:dyDescent="0.3">
      <c r="A182" s="348" t="s">
        <v>320</v>
      </c>
      <c r="B182" s="348"/>
      <c r="C182" s="348"/>
      <c r="D182" s="348"/>
      <c r="E182" s="348"/>
    </row>
    <row r="183" spans="1:5" ht="11.5" customHeight="1" x14ac:dyDescent="0.3">
      <c r="A183" s="300" t="s">
        <v>321</v>
      </c>
      <c r="B183" s="299" t="s">
        <v>256</v>
      </c>
      <c r="C183" s="313">
        <v>63712</v>
      </c>
      <c r="D183" s="302"/>
      <c r="E183" s="302"/>
    </row>
    <row r="184" spans="1:5" ht="11.5" customHeight="1" x14ac:dyDescent="0.3">
      <c r="A184" s="300" t="s">
        <v>322</v>
      </c>
      <c r="B184" s="299" t="s">
        <v>256</v>
      </c>
      <c r="C184" s="313">
        <v>299143</v>
      </c>
      <c r="D184" s="302"/>
      <c r="E184" s="302"/>
    </row>
    <row r="185" spans="1:5" ht="11.5" customHeight="1" x14ac:dyDescent="0.3">
      <c r="A185" s="300" t="s">
        <v>132</v>
      </c>
      <c r="B185" s="299" t="s">
        <v>256</v>
      </c>
      <c r="C185" s="313"/>
      <c r="D185" s="302"/>
      <c r="E185" s="302"/>
    </row>
    <row r="186" spans="1:5" ht="11.5" customHeight="1" x14ac:dyDescent="0.3">
      <c r="A186" s="300" t="s">
        <v>203</v>
      </c>
      <c r="B186" s="302"/>
      <c r="C186" s="315"/>
      <c r="D186" s="302">
        <v>362855</v>
      </c>
      <c r="E186" s="302"/>
    </row>
    <row r="187" spans="1:5" ht="11.5" customHeight="1" x14ac:dyDescent="0.3">
      <c r="A187" s="348" t="s">
        <v>323</v>
      </c>
      <c r="B187" s="348"/>
      <c r="C187" s="348"/>
      <c r="D187" s="348"/>
      <c r="E187" s="348"/>
    </row>
    <row r="188" spans="1:5" ht="11.5" customHeight="1" x14ac:dyDescent="0.3">
      <c r="A188" s="300" t="s">
        <v>324</v>
      </c>
      <c r="B188" s="299" t="s">
        <v>256</v>
      </c>
      <c r="C188" s="313">
        <v>27322</v>
      </c>
      <c r="D188" s="302"/>
      <c r="E188" s="302"/>
    </row>
    <row r="189" spans="1:5" ht="11.5" customHeight="1" x14ac:dyDescent="0.3">
      <c r="A189" s="300" t="s">
        <v>325</v>
      </c>
      <c r="B189" s="299" t="s">
        <v>256</v>
      </c>
      <c r="C189" s="313">
        <v>211249</v>
      </c>
      <c r="D189" s="302"/>
      <c r="E189" s="302"/>
    </row>
    <row r="190" spans="1:5" ht="11.5" customHeight="1" x14ac:dyDescent="0.3">
      <c r="A190" s="300" t="s">
        <v>203</v>
      </c>
      <c r="B190" s="302"/>
      <c r="C190" s="315"/>
      <c r="D190" s="302">
        <v>238571</v>
      </c>
      <c r="E190" s="302"/>
    </row>
    <row r="191" spans="1:5" ht="11.5" customHeight="1" x14ac:dyDescent="0.3">
      <c r="A191" s="300"/>
      <c r="B191" s="302"/>
      <c r="C191" s="315"/>
      <c r="D191" s="302"/>
      <c r="E191" s="302"/>
    </row>
    <row r="192" spans="1:5" ht="18" customHeight="1" x14ac:dyDescent="0.3">
      <c r="A192" s="324" t="s">
        <v>326</v>
      </c>
      <c r="B192" s="324"/>
      <c r="C192" s="324"/>
      <c r="D192" s="324"/>
      <c r="E192" s="324"/>
    </row>
    <row r="193" spans="1:8" ht="12.65" customHeight="1" x14ac:dyDescent="0.3">
      <c r="A193" s="323" t="s">
        <v>327</v>
      </c>
      <c r="B193" s="324"/>
      <c r="C193" s="324"/>
      <c r="D193" s="324"/>
      <c r="E193" s="324"/>
      <c r="F193" s="296"/>
      <c r="G193" s="296"/>
      <c r="H193" s="296"/>
    </row>
    <row r="194" spans="1:8" ht="12.65" customHeight="1" x14ac:dyDescent="0.3">
      <c r="A194" s="298"/>
      <c r="B194" s="297" t="s">
        <v>328</v>
      </c>
      <c r="C194" s="306" t="s">
        <v>329</v>
      </c>
      <c r="D194" s="297" t="s">
        <v>330</v>
      </c>
      <c r="E194" s="297" t="s">
        <v>331</v>
      </c>
      <c r="F194" s="296"/>
      <c r="G194" s="296"/>
      <c r="H194" s="296"/>
    </row>
    <row r="195" spans="1:8" ht="12.65" customHeight="1" x14ac:dyDescent="0.3">
      <c r="A195" s="300" t="s">
        <v>332</v>
      </c>
      <c r="B195" s="301">
        <v>378503.29</v>
      </c>
      <c r="C195" s="313"/>
      <c r="D195" s="301"/>
      <c r="E195" s="302">
        <v>378503.29</v>
      </c>
      <c r="F195" s="296"/>
      <c r="G195" s="296"/>
      <c r="H195" s="296"/>
    </row>
    <row r="196" spans="1:8" ht="12.65" customHeight="1" x14ac:dyDescent="0.3">
      <c r="A196" s="300" t="s">
        <v>333</v>
      </c>
      <c r="B196" s="301">
        <v>935265.77</v>
      </c>
      <c r="C196" s="313"/>
      <c r="D196" s="301"/>
      <c r="E196" s="302">
        <v>935265.77</v>
      </c>
      <c r="F196" s="296"/>
      <c r="G196" s="296"/>
      <c r="H196" s="296"/>
    </row>
    <row r="197" spans="1:8" ht="12.65" customHeight="1" x14ac:dyDescent="0.3">
      <c r="A197" s="300" t="s">
        <v>334</v>
      </c>
      <c r="B197" s="301">
        <v>15475259.18</v>
      </c>
      <c r="C197" s="313">
        <v>99190.69</v>
      </c>
      <c r="D197" s="301"/>
      <c r="E197" s="302">
        <v>15574449.869999999</v>
      </c>
      <c r="F197" s="296"/>
      <c r="G197" s="296"/>
      <c r="H197" s="296"/>
    </row>
    <row r="198" spans="1:8" ht="12.65" customHeight="1" x14ac:dyDescent="0.3">
      <c r="A198" s="300" t="s">
        <v>335</v>
      </c>
      <c r="B198" s="301"/>
      <c r="C198" s="313"/>
      <c r="D198" s="301"/>
      <c r="E198" s="302">
        <v>0</v>
      </c>
      <c r="F198" s="296"/>
      <c r="G198" s="296"/>
      <c r="H198" s="296"/>
    </row>
    <row r="199" spans="1:8" ht="12.65" customHeight="1" x14ac:dyDescent="0.3">
      <c r="A199" s="300" t="s">
        <v>336</v>
      </c>
      <c r="B199" s="301">
        <v>15868717.99</v>
      </c>
      <c r="C199" s="313">
        <v>560857.5</v>
      </c>
      <c r="D199" s="301">
        <v>158017</v>
      </c>
      <c r="E199" s="302">
        <v>16271558.49</v>
      </c>
      <c r="F199" s="296"/>
      <c r="G199" s="296"/>
      <c r="H199" s="296"/>
    </row>
    <row r="200" spans="1:8" ht="12.65" customHeight="1" x14ac:dyDescent="0.3">
      <c r="A200" s="300" t="s">
        <v>337</v>
      </c>
      <c r="B200" s="301"/>
      <c r="C200" s="313"/>
      <c r="D200" s="301"/>
      <c r="E200" s="302">
        <v>0</v>
      </c>
      <c r="F200" s="296"/>
      <c r="G200" s="296"/>
      <c r="H200" s="296"/>
    </row>
    <row r="201" spans="1:8" ht="12.65" customHeight="1" x14ac:dyDescent="0.3">
      <c r="A201" s="300" t="s">
        <v>338</v>
      </c>
      <c r="B201" s="301"/>
      <c r="C201" s="313"/>
      <c r="D201" s="301"/>
      <c r="E201" s="302">
        <v>0</v>
      </c>
      <c r="F201" s="296"/>
      <c r="G201" s="296"/>
      <c r="H201" s="296"/>
    </row>
    <row r="202" spans="1:8" ht="12.65" customHeight="1" x14ac:dyDescent="0.3">
      <c r="A202" s="300" t="s">
        <v>339</v>
      </c>
      <c r="B202" s="301"/>
      <c r="C202" s="313"/>
      <c r="D202" s="301"/>
      <c r="E202" s="302">
        <v>0</v>
      </c>
      <c r="F202" s="296"/>
      <c r="G202" s="296"/>
      <c r="H202" s="296"/>
    </row>
    <row r="203" spans="1:8" ht="12.65" customHeight="1" x14ac:dyDescent="0.3">
      <c r="A203" s="300" t="s">
        <v>340</v>
      </c>
      <c r="B203" s="301">
        <v>161665</v>
      </c>
      <c r="C203" s="313">
        <v>6592</v>
      </c>
      <c r="D203" s="301"/>
      <c r="E203" s="302">
        <v>168257</v>
      </c>
      <c r="F203" s="296"/>
      <c r="G203" s="296"/>
      <c r="H203" s="296"/>
    </row>
    <row r="204" spans="1:8" ht="12.65" customHeight="1" x14ac:dyDescent="0.3">
      <c r="A204" s="300" t="s">
        <v>203</v>
      </c>
      <c r="B204" s="302">
        <v>32819411.229999997</v>
      </c>
      <c r="C204" s="315">
        <v>666640.18999999994</v>
      </c>
      <c r="D204" s="302">
        <v>158017</v>
      </c>
      <c r="E204" s="302">
        <v>33328034.420000002</v>
      </c>
      <c r="F204" s="296"/>
      <c r="G204" s="296"/>
      <c r="H204" s="296"/>
    </row>
    <row r="205" spans="1:8" ht="12.65" customHeight="1" x14ac:dyDescent="0.3">
      <c r="A205" s="300"/>
      <c r="B205" s="300"/>
      <c r="C205" s="315"/>
      <c r="D205" s="302"/>
      <c r="E205" s="302"/>
      <c r="F205" s="296"/>
      <c r="G205" s="296"/>
      <c r="H205" s="296"/>
    </row>
    <row r="206" spans="1:8" ht="12.65" customHeight="1" x14ac:dyDescent="0.3">
      <c r="A206" s="323" t="s">
        <v>341</v>
      </c>
      <c r="B206" s="323"/>
      <c r="C206" s="323"/>
      <c r="D206" s="323"/>
      <c r="E206" s="323"/>
      <c r="F206" s="296"/>
      <c r="G206" s="296"/>
      <c r="H206" s="296"/>
    </row>
    <row r="207" spans="1:8" ht="12.65" customHeight="1" x14ac:dyDescent="0.3">
      <c r="A207" s="298"/>
      <c r="B207" s="297" t="s">
        <v>328</v>
      </c>
      <c r="C207" s="306" t="s">
        <v>329</v>
      </c>
      <c r="D207" s="297" t="s">
        <v>330</v>
      </c>
      <c r="E207" s="297" t="s">
        <v>331</v>
      </c>
      <c r="F207" s="296"/>
      <c r="G207" s="296"/>
      <c r="H207" s="350"/>
    </row>
    <row r="208" spans="1:8" ht="12.65" customHeight="1" x14ac:dyDescent="0.3">
      <c r="A208" s="300" t="s">
        <v>332</v>
      </c>
      <c r="B208" s="305"/>
      <c r="C208" s="317"/>
      <c r="D208" s="305"/>
      <c r="E208" s="302"/>
      <c r="F208" s="296"/>
      <c r="G208" s="296"/>
      <c r="H208" s="350"/>
    </row>
    <row r="209" spans="1:8" ht="12.65" customHeight="1" x14ac:dyDescent="0.3">
      <c r="A209" s="300" t="s">
        <v>333</v>
      </c>
      <c r="B209" s="301">
        <v>815088.33</v>
      </c>
      <c r="C209" s="313">
        <v>27295.119999999999</v>
      </c>
      <c r="D209" s="301"/>
      <c r="E209" s="302">
        <v>842383.45</v>
      </c>
      <c r="F209" s="296"/>
      <c r="G209" s="296"/>
      <c r="H209" s="350"/>
    </row>
    <row r="210" spans="1:8" ht="12.65" customHeight="1" x14ac:dyDescent="0.3">
      <c r="A210" s="300" t="s">
        <v>334</v>
      </c>
      <c r="B210" s="301">
        <v>12010081.710000001</v>
      </c>
      <c r="C210" s="313">
        <v>331454.19</v>
      </c>
      <c r="D210" s="301"/>
      <c r="E210" s="302">
        <v>12341535.9</v>
      </c>
      <c r="F210" s="296"/>
      <c r="G210" s="296"/>
      <c r="H210" s="350"/>
    </row>
    <row r="211" spans="1:8" ht="12.65" customHeight="1" x14ac:dyDescent="0.3">
      <c r="A211" s="300" t="s">
        <v>335</v>
      </c>
      <c r="B211" s="301"/>
      <c r="C211" s="313"/>
      <c r="D211" s="301"/>
      <c r="E211" s="302">
        <v>0</v>
      </c>
      <c r="F211" s="296"/>
      <c r="G211" s="296"/>
      <c r="H211" s="350"/>
    </row>
    <row r="212" spans="1:8" ht="12.65" customHeight="1" x14ac:dyDescent="0.3">
      <c r="A212" s="300" t="s">
        <v>336</v>
      </c>
      <c r="B212" s="301"/>
      <c r="C212" s="313"/>
      <c r="D212" s="301"/>
      <c r="E212" s="302">
        <v>0</v>
      </c>
      <c r="F212" s="296"/>
      <c r="G212" s="296"/>
      <c r="H212" s="350"/>
    </row>
    <row r="213" spans="1:8" ht="12.65" customHeight="1" x14ac:dyDescent="0.3">
      <c r="A213" s="300" t="s">
        <v>337</v>
      </c>
      <c r="B213" s="301">
        <v>13703868.59</v>
      </c>
      <c r="C213" s="313">
        <v>554163.94999999995</v>
      </c>
      <c r="D213" s="301">
        <v>151557.73000000001</v>
      </c>
      <c r="E213" s="302">
        <v>14106474.809999999</v>
      </c>
      <c r="F213" s="296"/>
      <c r="G213" s="296"/>
      <c r="H213" s="350"/>
    </row>
    <row r="214" spans="1:8" ht="12.65" customHeight="1" x14ac:dyDescent="0.3">
      <c r="A214" s="300" t="s">
        <v>338</v>
      </c>
      <c r="B214" s="301"/>
      <c r="C214" s="313"/>
      <c r="D214" s="301"/>
      <c r="E214" s="302">
        <v>0</v>
      </c>
      <c r="F214" s="296"/>
      <c r="G214" s="296"/>
      <c r="H214" s="350"/>
    </row>
    <row r="215" spans="1:8" ht="12.65" customHeight="1" x14ac:dyDescent="0.3">
      <c r="A215" s="300" t="s">
        <v>339</v>
      </c>
      <c r="B215" s="301"/>
      <c r="C215" s="313"/>
      <c r="D215" s="301"/>
      <c r="E215" s="302">
        <v>0</v>
      </c>
      <c r="F215" s="296"/>
      <c r="G215" s="296"/>
      <c r="H215" s="350"/>
    </row>
    <row r="216" spans="1:8" ht="12.65" customHeight="1" x14ac:dyDescent="0.3">
      <c r="A216" s="300" t="s">
        <v>340</v>
      </c>
      <c r="B216" s="301"/>
      <c r="C216" s="313"/>
      <c r="D216" s="301"/>
      <c r="E216" s="302">
        <v>0</v>
      </c>
      <c r="F216" s="296"/>
      <c r="G216" s="296"/>
      <c r="H216" s="350"/>
    </row>
    <row r="217" spans="1:8" ht="12.65" customHeight="1" x14ac:dyDescent="0.3">
      <c r="A217" s="300" t="s">
        <v>203</v>
      </c>
      <c r="B217" s="302">
        <v>26529038.630000003</v>
      </c>
      <c r="C217" s="315">
        <v>912913.26</v>
      </c>
      <c r="D217" s="302">
        <v>151557.73000000001</v>
      </c>
      <c r="E217" s="302">
        <v>27290394.159999996</v>
      </c>
      <c r="F217" s="296"/>
      <c r="G217" s="296"/>
      <c r="H217" s="296"/>
    </row>
    <row r="218" spans="1:8" ht="12.65" customHeight="1" x14ac:dyDescent="0.3">
      <c r="A218" s="300"/>
      <c r="B218" s="302"/>
      <c r="C218" s="315"/>
      <c r="D218" s="302"/>
      <c r="E218" s="302"/>
      <c r="F218" s="296"/>
      <c r="G218" s="296"/>
      <c r="H218" s="296"/>
    </row>
    <row r="219" spans="1:8" ht="21.75" customHeight="1" x14ac:dyDescent="0.3">
      <c r="A219" s="324" t="s">
        <v>342</v>
      </c>
      <c r="B219" s="324"/>
      <c r="C219" s="324"/>
      <c r="D219" s="324"/>
      <c r="E219" s="324"/>
      <c r="F219" s="296"/>
      <c r="G219" s="296"/>
      <c r="H219" s="296"/>
    </row>
    <row r="220" spans="1:8" ht="12.65" customHeight="1" x14ac:dyDescent="0.3">
      <c r="A220" s="324"/>
      <c r="B220" s="356" t="s">
        <v>1257</v>
      </c>
      <c r="C220" s="356"/>
      <c r="D220" s="324"/>
      <c r="E220" s="324"/>
      <c r="F220" s="296"/>
      <c r="G220" s="296"/>
      <c r="H220" s="296"/>
    </row>
    <row r="221" spans="1:8" ht="12.65" customHeight="1" x14ac:dyDescent="0.3">
      <c r="A221" s="354" t="s">
        <v>1257</v>
      </c>
      <c r="B221" s="324"/>
      <c r="C221" s="313">
        <v>1097272.8400000001</v>
      </c>
      <c r="D221" s="299">
        <v>1097272.8400000001</v>
      </c>
      <c r="E221" s="324"/>
      <c r="F221" s="296"/>
      <c r="G221" s="296"/>
      <c r="H221" s="296"/>
    </row>
    <row r="222" spans="1:8" ht="12.65" customHeight="1" x14ac:dyDescent="0.3">
      <c r="A222" s="348" t="s">
        <v>343</v>
      </c>
      <c r="B222" s="348"/>
      <c r="C222" s="348"/>
      <c r="D222" s="348"/>
      <c r="E222" s="348"/>
      <c r="F222" s="296"/>
      <c r="G222" s="296"/>
      <c r="H222" s="296"/>
    </row>
    <row r="223" spans="1:8" ht="12.65" customHeight="1" x14ac:dyDescent="0.3">
      <c r="A223" s="300" t="s">
        <v>344</v>
      </c>
      <c r="B223" s="299" t="s">
        <v>256</v>
      </c>
      <c r="C223" s="313">
        <v>9178480</v>
      </c>
      <c r="D223" s="302"/>
      <c r="E223" s="302"/>
      <c r="F223" s="296"/>
      <c r="G223" s="296"/>
      <c r="H223" s="296"/>
    </row>
    <row r="224" spans="1:8" ht="12.65" customHeight="1" x14ac:dyDescent="0.3">
      <c r="A224" s="300" t="s">
        <v>345</v>
      </c>
      <c r="B224" s="299" t="s">
        <v>256</v>
      </c>
      <c r="C224" s="313">
        <v>2142621</v>
      </c>
      <c r="D224" s="302"/>
      <c r="E224" s="302"/>
      <c r="F224" s="296"/>
      <c r="G224" s="296"/>
      <c r="H224" s="296"/>
    </row>
    <row r="225" spans="1:5" ht="12.65" customHeight="1" x14ac:dyDescent="0.3">
      <c r="A225" s="300" t="s">
        <v>346</v>
      </c>
      <c r="B225" s="299" t="s">
        <v>256</v>
      </c>
      <c r="C225" s="313">
        <v>788829</v>
      </c>
      <c r="D225" s="302"/>
      <c r="E225" s="302"/>
    </row>
    <row r="226" spans="1:5" ht="12.65" customHeight="1" x14ac:dyDescent="0.3">
      <c r="A226" s="300" t="s">
        <v>347</v>
      </c>
      <c r="B226" s="299" t="s">
        <v>256</v>
      </c>
      <c r="C226" s="313">
        <v>3813235</v>
      </c>
      <c r="D226" s="302"/>
      <c r="E226" s="302"/>
    </row>
    <row r="227" spans="1:5" ht="12.65" customHeight="1" x14ac:dyDescent="0.3">
      <c r="A227" s="300" t="s">
        <v>348</v>
      </c>
      <c r="B227" s="299" t="s">
        <v>256</v>
      </c>
      <c r="C227" s="313">
        <v>4887051</v>
      </c>
      <c r="D227" s="302"/>
      <c r="E227" s="302"/>
    </row>
    <row r="228" spans="1:5" ht="12.65" customHeight="1" x14ac:dyDescent="0.3">
      <c r="A228" s="300" t="s">
        <v>349</v>
      </c>
      <c r="B228" s="299" t="s">
        <v>256</v>
      </c>
      <c r="C228" s="313"/>
      <c r="D228" s="302"/>
      <c r="E228" s="302"/>
    </row>
    <row r="229" spans="1:5" ht="12.65" customHeight="1" x14ac:dyDescent="0.3">
      <c r="A229" s="300" t="s">
        <v>350</v>
      </c>
      <c r="B229" s="302"/>
      <c r="C229" s="315"/>
      <c r="D229" s="302">
        <v>20810216</v>
      </c>
      <c r="E229" s="302"/>
    </row>
    <row r="230" spans="1:5" ht="12.65" customHeight="1" x14ac:dyDescent="0.3">
      <c r="A230" s="348" t="s">
        <v>351</v>
      </c>
      <c r="B230" s="348"/>
      <c r="C230" s="348"/>
      <c r="D230" s="348"/>
      <c r="E230" s="348"/>
    </row>
    <row r="231" spans="1:5" ht="12.65" customHeight="1" x14ac:dyDescent="0.3">
      <c r="A231" s="298" t="s">
        <v>352</v>
      </c>
      <c r="B231" s="299" t="s">
        <v>256</v>
      </c>
      <c r="C231" s="313">
        <v>212</v>
      </c>
      <c r="D231" s="302"/>
      <c r="E231" s="302"/>
    </row>
    <row r="232" spans="1:5" ht="12.65" customHeight="1" x14ac:dyDescent="0.3">
      <c r="A232" s="298"/>
      <c r="B232" s="299"/>
      <c r="C232" s="315"/>
      <c r="D232" s="302"/>
      <c r="E232" s="302"/>
    </row>
    <row r="233" spans="1:5" ht="12.65" customHeight="1" x14ac:dyDescent="0.3">
      <c r="A233" s="298" t="s">
        <v>353</v>
      </c>
      <c r="B233" s="299" t="s">
        <v>256</v>
      </c>
      <c r="C233" s="313">
        <v>78512.466470588246</v>
      </c>
      <c r="D233" s="302"/>
      <c r="E233" s="302"/>
    </row>
    <row r="234" spans="1:5" ht="12.65" customHeight="1" x14ac:dyDescent="0.3">
      <c r="A234" s="298" t="s">
        <v>354</v>
      </c>
      <c r="B234" s="299" t="s">
        <v>256</v>
      </c>
      <c r="C234" s="313">
        <v>615649.57352941181</v>
      </c>
      <c r="D234" s="302"/>
      <c r="E234" s="302"/>
    </row>
    <row r="235" spans="1:5" ht="12.65" customHeight="1" x14ac:dyDescent="0.3">
      <c r="A235" s="300"/>
      <c r="B235" s="302"/>
      <c r="C235" s="315"/>
      <c r="D235" s="302"/>
      <c r="E235" s="302"/>
    </row>
    <row r="236" spans="1:5" ht="12.65" customHeight="1" x14ac:dyDescent="0.3">
      <c r="A236" s="298" t="s">
        <v>355</v>
      </c>
      <c r="B236" s="302"/>
      <c r="C236" s="315"/>
      <c r="D236" s="302">
        <v>694162.04</v>
      </c>
      <c r="E236" s="302"/>
    </row>
    <row r="237" spans="1:5" ht="12.65" customHeight="1" x14ac:dyDescent="0.3">
      <c r="A237" s="348" t="s">
        <v>356</v>
      </c>
      <c r="B237" s="348"/>
      <c r="C237" s="348"/>
      <c r="D237" s="348"/>
      <c r="E237" s="348"/>
    </row>
    <row r="238" spans="1:5" ht="12.65" customHeight="1" x14ac:dyDescent="0.3">
      <c r="A238" s="300" t="s">
        <v>357</v>
      </c>
      <c r="B238" s="299" t="s">
        <v>256</v>
      </c>
      <c r="C238" s="313">
        <v>603734</v>
      </c>
      <c r="D238" s="302"/>
      <c r="E238" s="302"/>
    </row>
    <row r="239" spans="1:5" ht="12.65" customHeight="1" x14ac:dyDescent="0.3">
      <c r="A239" s="300" t="s">
        <v>356</v>
      </c>
      <c r="B239" s="299" t="s">
        <v>256</v>
      </c>
      <c r="C239" s="313">
        <v>754298</v>
      </c>
      <c r="D239" s="302"/>
      <c r="E239" s="302"/>
    </row>
    <row r="240" spans="1:5" ht="12.65" customHeight="1" x14ac:dyDescent="0.3">
      <c r="A240" s="300" t="s">
        <v>358</v>
      </c>
      <c r="B240" s="302"/>
      <c r="C240" s="315"/>
      <c r="D240" s="302">
        <v>1358032</v>
      </c>
      <c r="E240" s="302"/>
    </row>
    <row r="241" spans="1:5" ht="12.65" customHeight="1" x14ac:dyDescent="0.3">
      <c r="A241" s="300"/>
      <c r="B241" s="302"/>
      <c r="C241" s="315"/>
      <c r="D241" s="302"/>
      <c r="E241" s="302"/>
    </row>
    <row r="242" spans="1:5" ht="12.65" customHeight="1" x14ac:dyDescent="0.3">
      <c r="A242" s="300" t="s">
        <v>359</v>
      </c>
      <c r="B242" s="302"/>
      <c r="C242" s="315"/>
      <c r="D242" s="302">
        <v>23959682.879999999</v>
      </c>
      <c r="E242" s="302"/>
    </row>
    <row r="243" spans="1:5" ht="12.65" customHeight="1" x14ac:dyDescent="0.3">
      <c r="A243" s="300"/>
      <c r="B243" s="300"/>
      <c r="C243" s="315"/>
      <c r="D243" s="302"/>
      <c r="E243" s="302"/>
    </row>
    <row r="244" spans="1:5" ht="12.65" customHeight="1" x14ac:dyDescent="0.3">
      <c r="A244" s="300"/>
      <c r="B244" s="300"/>
      <c r="C244" s="315"/>
      <c r="D244" s="302"/>
      <c r="E244" s="302"/>
    </row>
    <row r="245" spans="1:5" ht="12.65" customHeight="1" x14ac:dyDescent="0.3">
      <c r="A245" s="300"/>
      <c r="B245" s="300"/>
      <c r="C245" s="315"/>
      <c r="D245" s="302"/>
      <c r="E245" s="302"/>
    </row>
    <row r="246" spans="1:5" ht="21.75" customHeight="1" x14ac:dyDescent="0.3">
      <c r="A246" s="300"/>
      <c r="B246" s="300"/>
      <c r="C246" s="315"/>
      <c r="D246" s="302"/>
      <c r="E246" s="302"/>
    </row>
    <row r="247" spans="1:5" ht="12.4" customHeight="1" x14ac:dyDescent="0.3">
      <c r="A247" s="300"/>
      <c r="B247" s="300"/>
      <c r="C247" s="315"/>
      <c r="D247" s="302"/>
      <c r="E247" s="302"/>
    </row>
    <row r="248" spans="1:5" ht="11.25" customHeight="1" x14ac:dyDescent="0.3">
      <c r="A248" s="324" t="s">
        <v>360</v>
      </c>
      <c r="B248" s="324"/>
      <c r="C248" s="324"/>
      <c r="D248" s="324"/>
      <c r="E248" s="324"/>
    </row>
    <row r="249" spans="1:5" ht="12.4" customHeight="1" x14ac:dyDescent="0.3">
      <c r="A249" s="348" t="s">
        <v>361</v>
      </c>
      <c r="B249" s="348"/>
      <c r="C249" s="348"/>
      <c r="D249" s="348"/>
      <c r="E249" s="348"/>
    </row>
    <row r="250" spans="1:5" ht="12.4" customHeight="1" x14ac:dyDescent="0.3">
      <c r="A250" s="300" t="s">
        <v>362</v>
      </c>
      <c r="B250" s="299" t="s">
        <v>256</v>
      </c>
      <c r="C250" s="313">
        <v>16031717</v>
      </c>
      <c r="D250" s="302"/>
      <c r="E250" s="302"/>
    </row>
    <row r="251" spans="1:5" ht="12.4" customHeight="1" x14ac:dyDescent="0.3">
      <c r="A251" s="300" t="s">
        <v>363</v>
      </c>
      <c r="B251" s="299" t="s">
        <v>256</v>
      </c>
      <c r="C251" s="313"/>
      <c r="D251" s="302"/>
      <c r="E251" s="302"/>
    </row>
    <row r="252" spans="1:5" ht="12.4" customHeight="1" x14ac:dyDescent="0.3">
      <c r="A252" s="300" t="s">
        <v>364</v>
      </c>
      <c r="B252" s="299" t="s">
        <v>256</v>
      </c>
      <c r="C252" s="313">
        <v>8508757.3200000003</v>
      </c>
      <c r="D252" s="302"/>
      <c r="E252" s="302"/>
    </row>
    <row r="253" spans="1:5" ht="12.4" customHeight="1" x14ac:dyDescent="0.3">
      <c r="A253" s="300" t="s">
        <v>365</v>
      </c>
      <c r="B253" s="299" t="s">
        <v>256</v>
      </c>
      <c r="C253" s="313">
        <v>4023505.91</v>
      </c>
      <c r="D253" s="302"/>
      <c r="E253" s="302"/>
    </row>
    <row r="254" spans="1:5" ht="12.4" customHeight="1" x14ac:dyDescent="0.3">
      <c r="A254" s="300" t="s">
        <v>1241</v>
      </c>
      <c r="B254" s="299" t="s">
        <v>256</v>
      </c>
      <c r="C254" s="313">
        <v>149026.49</v>
      </c>
      <c r="D254" s="302"/>
      <c r="E254" s="302"/>
    </row>
    <row r="255" spans="1:5" ht="12.4" customHeight="1" x14ac:dyDescent="0.3">
      <c r="A255" s="300" t="s">
        <v>366</v>
      </c>
      <c r="B255" s="299" t="s">
        <v>256</v>
      </c>
      <c r="C255" s="313"/>
      <c r="D255" s="302"/>
      <c r="E255" s="302"/>
    </row>
    <row r="256" spans="1:5" ht="12.4" customHeight="1" x14ac:dyDescent="0.3">
      <c r="A256" s="300" t="s">
        <v>367</v>
      </c>
      <c r="B256" s="299" t="s">
        <v>256</v>
      </c>
      <c r="C256" s="313"/>
      <c r="D256" s="302"/>
      <c r="E256" s="302"/>
    </row>
    <row r="257" spans="1:5" ht="12.4" customHeight="1" x14ac:dyDescent="0.3">
      <c r="A257" s="300" t="s">
        <v>368</v>
      </c>
      <c r="B257" s="299" t="s">
        <v>256</v>
      </c>
      <c r="C257" s="313">
        <v>744248.13</v>
      </c>
      <c r="D257" s="302"/>
      <c r="E257" s="302"/>
    </row>
    <row r="258" spans="1:5" ht="12.4" customHeight="1" x14ac:dyDescent="0.3">
      <c r="A258" s="300" t="s">
        <v>369</v>
      </c>
      <c r="B258" s="299" t="s">
        <v>256</v>
      </c>
      <c r="C258" s="313">
        <v>299308.49</v>
      </c>
      <c r="D258" s="302"/>
      <c r="E258" s="302"/>
    </row>
    <row r="259" spans="1:5" ht="12.4" customHeight="1" x14ac:dyDescent="0.3">
      <c r="A259" s="300" t="s">
        <v>370</v>
      </c>
      <c r="B259" s="299" t="s">
        <v>256</v>
      </c>
      <c r="C259" s="313"/>
      <c r="D259" s="302"/>
      <c r="E259" s="302"/>
    </row>
    <row r="260" spans="1:5" ht="11.25" customHeight="1" x14ac:dyDescent="0.3">
      <c r="A260" s="300" t="s">
        <v>371</v>
      </c>
      <c r="B260" s="302"/>
      <c r="C260" s="315"/>
      <c r="D260" s="302">
        <v>21709551.52</v>
      </c>
      <c r="E260" s="302"/>
    </row>
    <row r="261" spans="1:5" ht="12.4" customHeight="1" x14ac:dyDescent="0.3">
      <c r="A261" s="348" t="s">
        <v>372</v>
      </c>
      <c r="B261" s="348"/>
      <c r="C261" s="348"/>
      <c r="D261" s="348"/>
      <c r="E261" s="348"/>
    </row>
    <row r="262" spans="1:5" ht="12.4" customHeight="1" x14ac:dyDescent="0.3">
      <c r="A262" s="300" t="s">
        <v>362</v>
      </c>
      <c r="B262" s="299" t="s">
        <v>256</v>
      </c>
      <c r="C262" s="313">
        <v>814220.68</v>
      </c>
      <c r="D262" s="302"/>
      <c r="E262" s="302"/>
    </row>
    <row r="263" spans="1:5" ht="12.4" customHeight="1" x14ac:dyDescent="0.3">
      <c r="A263" s="300" t="s">
        <v>363</v>
      </c>
      <c r="B263" s="299" t="s">
        <v>256</v>
      </c>
      <c r="C263" s="313"/>
      <c r="D263" s="302"/>
      <c r="E263" s="302"/>
    </row>
    <row r="264" spans="1:5" ht="12.4" customHeight="1" x14ac:dyDescent="0.3">
      <c r="A264" s="300" t="s">
        <v>373</v>
      </c>
      <c r="B264" s="299" t="s">
        <v>256</v>
      </c>
      <c r="C264" s="313"/>
      <c r="D264" s="302"/>
      <c r="E264" s="302"/>
    </row>
    <row r="265" spans="1:5" ht="11.25" customHeight="1" x14ac:dyDescent="0.3">
      <c r="A265" s="300" t="s">
        <v>374</v>
      </c>
      <c r="B265" s="302"/>
      <c r="C265" s="315"/>
      <c r="D265" s="302">
        <v>814220.68</v>
      </c>
      <c r="E265" s="302"/>
    </row>
    <row r="266" spans="1:5" ht="12.4" customHeight="1" x14ac:dyDescent="0.3">
      <c r="A266" s="348" t="s">
        <v>375</v>
      </c>
      <c r="B266" s="348"/>
      <c r="C266" s="348"/>
      <c r="D266" s="348"/>
      <c r="E266" s="348"/>
    </row>
    <row r="267" spans="1:5" ht="12.4" customHeight="1" x14ac:dyDescent="0.3">
      <c r="A267" s="300" t="s">
        <v>332</v>
      </c>
      <c r="B267" s="299" t="s">
        <v>256</v>
      </c>
      <c r="C267" s="313">
        <v>378503.29</v>
      </c>
      <c r="D267" s="302"/>
      <c r="E267" s="302"/>
    </row>
    <row r="268" spans="1:5" ht="12.4" customHeight="1" x14ac:dyDescent="0.3">
      <c r="A268" s="300" t="s">
        <v>333</v>
      </c>
      <c r="B268" s="299" t="s">
        <v>256</v>
      </c>
      <c r="C268" s="313">
        <v>935265.77</v>
      </c>
      <c r="D268" s="302"/>
      <c r="E268" s="302"/>
    </row>
    <row r="269" spans="1:5" ht="12.4" customHeight="1" x14ac:dyDescent="0.3">
      <c r="A269" s="300" t="s">
        <v>334</v>
      </c>
      <c r="B269" s="299" t="s">
        <v>256</v>
      </c>
      <c r="C269" s="313">
        <v>15574450.84</v>
      </c>
      <c r="D269" s="302"/>
      <c r="E269" s="302"/>
    </row>
    <row r="270" spans="1:5" ht="12.4" customHeight="1" x14ac:dyDescent="0.3">
      <c r="A270" s="300" t="s">
        <v>376</v>
      </c>
      <c r="B270" s="299" t="s">
        <v>256</v>
      </c>
      <c r="C270" s="313"/>
      <c r="D270" s="302"/>
      <c r="E270" s="302"/>
    </row>
    <row r="271" spans="1:5" ht="12.4" customHeight="1" x14ac:dyDescent="0.3">
      <c r="A271" s="300" t="s">
        <v>377</v>
      </c>
      <c r="B271" s="299" t="s">
        <v>256</v>
      </c>
      <c r="C271" s="313">
        <v>16271558</v>
      </c>
      <c r="D271" s="302"/>
      <c r="E271" s="302"/>
    </row>
    <row r="272" spans="1:5" ht="12.4" customHeight="1" x14ac:dyDescent="0.3">
      <c r="A272" s="300" t="s">
        <v>378</v>
      </c>
      <c r="B272" s="299" t="s">
        <v>256</v>
      </c>
      <c r="C272" s="313"/>
      <c r="D272" s="302"/>
      <c r="E272" s="302"/>
    </row>
    <row r="273" spans="1:5" ht="12.4" customHeight="1" x14ac:dyDescent="0.3">
      <c r="A273" s="300" t="s">
        <v>339</v>
      </c>
      <c r="B273" s="299" t="s">
        <v>256</v>
      </c>
      <c r="C273" s="313"/>
      <c r="D273" s="302"/>
      <c r="E273" s="302"/>
    </row>
    <row r="274" spans="1:5" ht="12.4" customHeight="1" x14ac:dyDescent="0.3">
      <c r="A274" s="300" t="s">
        <v>340</v>
      </c>
      <c r="B274" s="299" t="s">
        <v>256</v>
      </c>
      <c r="C274" s="313">
        <v>168256.65</v>
      </c>
      <c r="D274" s="302"/>
      <c r="E274" s="302"/>
    </row>
    <row r="275" spans="1:5" ht="12.65" customHeight="1" x14ac:dyDescent="0.3">
      <c r="A275" s="300" t="s">
        <v>379</v>
      </c>
      <c r="B275" s="302"/>
      <c r="C275" s="315"/>
      <c r="D275" s="302">
        <v>33328034.549999997</v>
      </c>
      <c r="E275" s="302"/>
    </row>
    <row r="276" spans="1:5" ht="12.65" customHeight="1" x14ac:dyDescent="0.3">
      <c r="A276" s="300" t="s">
        <v>380</v>
      </c>
      <c r="B276" s="299" t="s">
        <v>256</v>
      </c>
      <c r="C276" s="313">
        <v>27290395.16</v>
      </c>
      <c r="D276" s="302"/>
      <c r="E276" s="302"/>
    </row>
    <row r="277" spans="1:5" ht="12.65" customHeight="1" x14ac:dyDescent="0.3">
      <c r="A277" s="300" t="s">
        <v>381</v>
      </c>
      <c r="B277" s="302"/>
      <c r="C277" s="315"/>
      <c r="D277" s="302">
        <v>6037639.3899999969</v>
      </c>
      <c r="E277" s="302"/>
    </row>
    <row r="278" spans="1:5" ht="12.65" customHeight="1" x14ac:dyDescent="0.3">
      <c r="A278" s="348" t="s">
        <v>382</v>
      </c>
      <c r="B278" s="348"/>
      <c r="C278" s="348"/>
      <c r="D278" s="348"/>
      <c r="E278" s="348"/>
    </row>
    <row r="279" spans="1:5" ht="12.65" customHeight="1" x14ac:dyDescent="0.3">
      <c r="A279" s="300" t="s">
        <v>383</v>
      </c>
      <c r="B279" s="299" t="s">
        <v>256</v>
      </c>
      <c r="C279" s="313"/>
      <c r="D279" s="302"/>
      <c r="E279" s="302"/>
    </row>
    <row r="280" spans="1:5" ht="12.65" customHeight="1" x14ac:dyDescent="0.3">
      <c r="A280" s="300" t="s">
        <v>384</v>
      </c>
      <c r="B280" s="299" t="s">
        <v>256</v>
      </c>
      <c r="C280" s="313"/>
      <c r="D280" s="302"/>
      <c r="E280" s="302"/>
    </row>
    <row r="281" spans="1:5" ht="12.65" customHeight="1" x14ac:dyDescent="0.3">
      <c r="A281" s="300" t="s">
        <v>385</v>
      </c>
      <c r="B281" s="299" t="s">
        <v>256</v>
      </c>
      <c r="C281" s="313">
        <v>48841</v>
      </c>
      <c r="D281" s="302"/>
      <c r="E281" s="302"/>
    </row>
    <row r="282" spans="1:5" ht="12.65" customHeight="1" x14ac:dyDescent="0.3">
      <c r="A282" s="300" t="s">
        <v>373</v>
      </c>
      <c r="B282" s="299" t="s">
        <v>256</v>
      </c>
      <c r="C282" s="313"/>
      <c r="D282" s="302"/>
      <c r="E282" s="302"/>
    </row>
    <row r="283" spans="1:5" ht="12.65" customHeight="1" x14ac:dyDescent="0.3">
      <c r="A283" s="300" t="s">
        <v>386</v>
      </c>
      <c r="B283" s="302"/>
      <c r="C283" s="315"/>
      <c r="D283" s="302">
        <v>48841</v>
      </c>
      <c r="E283" s="302"/>
    </row>
    <row r="284" spans="1:5" ht="12.65" customHeight="1" x14ac:dyDescent="0.3">
      <c r="A284" s="300"/>
      <c r="B284" s="302"/>
      <c r="C284" s="315"/>
      <c r="D284" s="302"/>
      <c r="E284" s="302"/>
    </row>
    <row r="285" spans="1:5" ht="12.65" customHeight="1" x14ac:dyDescent="0.3">
      <c r="A285" s="348" t="s">
        <v>387</v>
      </c>
      <c r="B285" s="348"/>
      <c r="C285" s="348"/>
      <c r="D285" s="348"/>
      <c r="E285" s="348"/>
    </row>
    <row r="286" spans="1:5" ht="12.65" customHeight="1" x14ac:dyDescent="0.3">
      <c r="A286" s="300" t="s">
        <v>388</v>
      </c>
      <c r="B286" s="299" t="s">
        <v>256</v>
      </c>
      <c r="C286" s="313"/>
      <c r="D286" s="302"/>
      <c r="E286" s="302"/>
    </row>
    <row r="287" spans="1:5" ht="12.65" customHeight="1" x14ac:dyDescent="0.3">
      <c r="A287" s="300" t="s">
        <v>389</v>
      </c>
      <c r="B287" s="299" t="s">
        <v>256</v>
      </c>
      <c r="C287" s="313"/>
      <c r="D287" s="302"/>
      <c r="E287" s="302"/>
    </row>
    <row r="288" spans="1:5" ht="12.65" customHeight="1" x14ac:dyDescent="0.3">
      <c r="A288" s="300" t="s">
        <v>390</v>
      </c>
      <c r="B288" s="299" t="s">
        <v>256</v>
      </c>
      <c r="C288" s="313"/>
      <c r="D288" s="302"/>
      <c r="E288" s="302"/>
    </row>
    <row r="289" spans="1:5" ht="12.65" customHeight="1" x14ac:dyDescent="0.3">
      <c r="A289" s="300" t="s">
        <v>391</v>
      </c>
      <c r="B289" s="299" t="s">
        <v>256</v>
      </c>
      <c r="C289" s="313"/>
      <c r="D289" s="302"/>
      <c r="E289" s="302"/>
    </row>
    <row r="290" spans="1:5" ht="12.65" customHeight="1" x14ac:dyDescent="0.3">
      <c r="A290" s="300" t="s">
        <v>392</v>
      </c>
      <c r="B290" s="302"/>
      <c r="C290" s="315"/>
      <c r="D290" s="302">
        <v>0</v>
      </c>
      <c r="E290" s="302"/>
    </row>
    <row r="291" spans="1:5" ht="12.65" customHeight="1" x14ac:dyDescent="0.3">
      <c r="A291" s="300"/>
      <c r="B291" s="302"/>
      <c r="C291" s="315"/>
      <c r="D291" s="302"/>
      <c r="E291" s="302"/>
    </row>
    <row r="292" spans="1:5" ht="12.65" customHeight="1" x14ac:dyDescent="0.3">
      <c r="A292" s="300" t="s">
        <v>393</v>
      </c>
      <c r="B292" s="302"/>
      <c r="C292" s="315"/>
      <c r="D292" s="302">
        <v>28610252.589999996</v>
      </c>
      <c r="E292" s="302"/>
    </row>
    <row r="293" spans="1:5" ht="12.65" customHeight="1" x14ac:dyDescent="0.3">
      <c r="A293" s="300"/>
      <c r="B293" s="300"/>
      <c r="C293" s="315"/>
      <c r="D293" s="302"/>
      <c r="E293" s="302"/>
    </row>
    <row r="294" spans="1:5" ht="12.65" customHeight="1" x14ac:dyDescent="0.3">
      <c r="A294" s="300"/>
      <c r="B294" s="300"/>
      <c r="C294" s="315"/>
      <c r="D294" s="302"/>
      <c r="E294" s="302"/>
    </row>
    <row r="295" spans="1:5" ht="12.65" customHeight="1" x14ac:dyDescent="0.3">
      <c r="A295" s="300"/>
      <c r="B295" s="300"/>
      <c r="C295" s="315"/>
      <c r="D295" s="302"/>
      <c r="E295" s="302"/>
    </row>
    <row r="296" spans="1:5" ht="12.65" customHeight="1" x14ac:dyDescent="0.3">
      <c r="A296" s="300"/>
      <c r="B296" s="300"/>
      <c r="C296" s="315"/>
      <c r="D296" s="302"/>
      <c r="E296" s="302"/>
    </row>
    <row r="297" spans="1:5" ht="12.65" customHeight="1" x14ac:dyDescent="0.3">
      <c r="A297" s="300"/>
      <c r="B297" s="300"/>
      <c r="C297" s="315"/>
      <c r="D297" s="302"/>
      <c r="E297" s="302"/>
    </row>
    <row r="298" spans="1:5" ht="12.65" customHeight="1" x14ac:dyDescent="0.3">
      <c r="A298" s="300"/>
      <c r="B298" s="300"/>
      <c r="C298" s="315"/>
      <c r="D298" s="302"/>
      <c r="E298" s="302"/>
    </row>
    <row r="299" spans="1:5" ht="12.65" customHeight="1" x14ac:dyDescent="0.3">
      <c r="A299" s="300"/>
      <c r="B299" s="300"/>
      <c r="C299" s="315"/>
      <c r="D299" s="302"/>
      <c r="E299" s="302"/>
    </row>
    <row r="300" spans="1:5" ht="20.25" customHeight="1" x14ac:dyDescent="0.3">
      <c r="A300" s="300"/>
      <c r="B300" s="300"/>
      <c r="C300" s="315"/>
      <c r="D300" s="302"/>
      <c r="E300" s="302"/>
    </row>
    <row r="301" spans="1:5" ht="12.65" customHeight="1" x14ac:dyDescent="0.3">
      <c r="A301" s="300"/>
      <c r="B301" s="300"/>
      <c r="C301" s="315"/>
      <c r="D301" s="302"/>
      <c r="E301" s="302"/>
    </row>
    <row r="302" spans="1:5" ht="14.25" customHeight="1" x14ac:dyDescent="0.3">
      <c r="A302" s="324" t="s">
        <v>394</v>
      </c>
      <c r="B302" s="324"/>
      <c r="C302" s="324"/>
      <c r="D302" s="324"/>
      <c r="E302" s="324"/>
    </row>
    <row r="303" spans="1:5" ht="12.65" customHeight="1" x14ac:dyDescent="0.3">
      <c r="A303" s="348" t="s">
        <v>395</v>
      </c>
      <c r="B303" s="348"/>
      <c r="C303" s="348"/>
      <c r="D303" s="348"/>
      <c r="E303" s="348"/>
    </row>
    <row r="304" spans="1:5" ht="12.65" customHeight="1" x14ac:dyDescent="0.3">
      <c r="A304" s="300" t="s">
        <v>396</v>
      </c>
      <c r="B304" s="299" t="s">
        <v>256</v>
      </c>
      <c r="C304" s="313">
        <v>4312207.37</v>
      </c>
      <c r="D304" s="302"/>
      <c r="E304" s="302"/>
    </row>
    <row r="305" spans="1:5" ht="12.65" customHeight="1" x14ac:dyDescent="0.3">
      <c r="A305" s="300" t="s">
        <v>397</v>
      </c>
      <c r="B305" s="299" t="s">
        <v>256</v>
      </c>
      <c r="C305" s="313">
        <v>406361.83</v>
      </c>
      <c r="D305" s="302"/>
      <c r="E305" s="302"/>
    </row>
    <row r="306" spans="1:5" ht="12.65" customHeight="1" x14ac:dyDescent="0.3">
      <c r="A306" s="300" t="s">
        <v>398</v>
      </c>
      <c r="B306" s="299" t="s">
        <v>256</v>
      </c>
      <c r="C306" s="313">
        <v>2214156.9400000004</v>
      </c>
      <c r="D306" s="302"/>
      <c r="E306" s="302"/>
    </row>
    <row r="307" spans="1:5" ht="12.65" customHeight="1" x14ac:dyDescent="0.3">
      <c r="A307" s="300" t="s">
        <v>399</v>
      </c>
      <c r="B307" s="299" t="s">
        <v>256</v>
      </c>
      <c r="C307" s="313">
        <v>17099.29</v>
      </c>
      <c r="D307" s="302"/>
      <c r="E307" s="302"/>
    </row>
    <row r="308" spans="1:5" ht="12.65" customHeight="1" x14ac:dyDescent="0.3">
      <c r="A308" s="300" t="s">
        <v>400</v>
      </c>
      <c r="B308" s="299" t="s">
        <v>256</v>
      </c>
      <c r="C308" s="313"/>
      <c r="D308" s="302"/>
      <c r="E308" s="302"/>
    </row>
    <row r="309" spans="1:5" ht="12.65" customHeight="1" x14ac:dyDescent="0.3">
      <c r="A309" s="300" t="s">
        <v>1242</v>
      </c>
      <c r="B309" s="299" t="s">
        <v>256</v>
      </c>
      <c r="C309" s="313">
        <v>3842946.07</v>
      </c>
      <c r="D309" s="302"/>
      <c r="E309" s="302"/>
    </row>
    <row r="310" spans="1:5" ht="12.65" customHeight="1" x14ac:dyDescent="0.3">
      <c r="A310" s="300" t="s">
        <v>401</v>
      </c>
      <c r="B310" s="299" t="s">
        <v>256</v>
      </c>
      <c r="C310" s="313"/>
      <c r="D310" s="302"/>
      <c r="E310" s="302"/>
    </row>
    <row r="311" spans="1:5" ht="12.65" customHeight="1" x14ac:dyDescent="0.3">
      <c r="A311" s="300" t="s">
        <v>402</v>
      </c>
      <c r="B311" s="299" t="s">
        <v>256</v>
      </c>
      <c r="C311" s="313"/>
      <c r="D311" s="302"/>
      <c r="E311" s="302"/>
    </row>
    <row r="312" spans="1:5" ht="12.65" customHeight="1" x14ac:dyDescent="0.3">
      <c r="A312" s="300" t="s">
        <v>403</v>
      </c>
      <c r="B312" s="299" t="s">
        <v>256</v>
      </c>
      <c r="C312" s="313">
        <v>3372928.73</v>
      </c>
      <c r="D312" s="302"/>
      <c r="E312" s="302"/>
    </row>
    <row r="313" spans="1:5" ht="12.65" customHeight="1" x14ac:dyDescent="0.3">
      <c r="A313" s="300" t="s">
        <v>404</v>
      </c>
      <c r="B313" s="299" t="s">
        <v>256</v>
      </c>
      <c r="C313" s="313"/>
      <c r="D313" s="302"/>
      <c r="E313" s="302"/>
    </row>
    <row r="314" spans="1:5" ht="12.65" customHeight="1" x14ac:dyDescent="0.3">
      <c r="A314" s="300" t="s">
        <v>405</v>
      </c>
      <c r="B314" s="302"/>
      <c r="C314" s="315"/>
      <c r="D314" s="302">
        <v>14165700.23</v>
      </c>
      <c r="E314" s="302"/>
    </row>
    <row r="315" spans="1:5" ht="12.65" customHeight="1" x14ac:dyDescent="0.3">
      <c r="A315" s="348" t="s">
        <v>406</v>
      </c>
      <c r="B315" s="348"/>
      <c r="C315" s="348"/>
      <c r="D315" s="348"/>
      <c r="E315" s="348"/>
    </row>
    <row r="316" spans="1:5" ht="12.65" customHeight="1" x14ac:dyDescent="0.3">
      <c r="A316" s="300" t="s">
        <v>407</v>
      </c>
      <c r="B316" s="299" t="s">
        <v>256</v>
      </c>
      <c r="C316" s="313"/>
      <c r="D316" s="302"/>
      <c r="E316" s="302"/>
    </row>
    <row r="317" spans="1:5" ht="12.65" customHeight="1" x14ac:dyDescent="0.3">
      <c r="A317" s="300" t="s">
        <v>408</v>
      </c>
      <c r="B317" s="299" t="s">
        <v>256</v>
      </c>
      <c r="C317" s="313"/>
      <c r="D317" s="302"/>
      <c r="E317" s="302"/>
    </row>
    <row r="318" spans="1:5" ht="12.65" customHeight="1" x14ac:dyDescent="0.3">
      <c r="A318" s="300" t="s">
        <v>409</v>
      </c>
      <c r="B318" s="299" t="s">
        <v>256</v>
      </c>
      <c r="C318" s="313">
        <v>1311450</v>
      </c>
      <c r="D318" s="302"/>
      <c r="E318" s="302"/>
    </row>
    <row r="319" spans="1:5" ht="12.65" customHeight="1" x14ac:dyDescent="0.3">
      <c r="A319" s="300" t="s">
        <v>410</v>
      </c>
      <c r="B319" s="302"/>
      <c r="C319" s="315"/>
      <c r="D319" s="302">
        <v>1311450</v>
      </c>
      <c r="E319" s="302"/>
    </row>
    <row r="320" spans="1:5" ht="12.65" customHeight="1" x14ac:dyDescent="0.3">
      <c r="A320" s="348" t="s">
        <v>411</v>
      </c>
      <c r="B320" s="348"/>
      <c r="C320" s="348"/>
      <c r="D320" s="348"/>
      <c r="E320" s="348"/>
    </row>
    <row r="321" spans="1:5" ht="12.65" customHeight="1" x14ac:dyDescent="0.3">
      <c r="A321" s="300" t="s">
        <v>412</v>
      </c>
      <c r="B321" s="299" t="s">
        <v>256</v>
      </c>
      <c r="C321" s="313"/>
      <c r="D321" s="302"/>
      <c r="E321" s="302"/>
    </row>
    <row r="322" spans="1:5" ht="12.65" customHeight="1" x14ac:dyDescent="0.3">
      <c r="A322" s="300" t="s">
        <v>413</v>
      </c>
      <c r="B322" s="299" t="s">
        <v>256</v>
      </c>
      <c r="C322" s="313"/>
      <c r="D322" s="302"/>
      <c r="E322" s="302"/>
    </row>
    <row r="323" spans="1:5" ht="12.65" customHeight="1" x14ac:dyDescent="0.3">
      <c r="A323" s="300" t="s">
        <v>414</v>
      </c>
      <c r="B323" s="299" t="s">
        <v>256</v>
      </c>
      <c r="C323" s="313"/>
      <c r="D323" s="302"/>
      <c r="E323" s="302"/>
    </row>
    <row r="324" spans="1:5" ht="12.65" customHeight="1" x14ac:dyDescent="0.3">
      <c r="A324" s="298" t="s">
        <v>415</v>
      </c>
      <c r="B324" s="299" t="s">
        <v>256</v>
      </c>
      <c r="C324" s="313">
        <v>311266.73</v>
      </c>
      <c r="D324" s="302"/>
      <c r="E324" s="302"/>
    </row>
    <row r="325" spans="1:5" ht="12.65" customHeight="1" x14ac:dyDescent="0.3">
      <c r="A325" s="300" t="s">
        <v>416</v>
      </c>
      <c r="B325" s="299" t="s">
        <v>256</v>
      </c>
      <c r="C325" s="313">
        <v>4260000</v>
      </c>
      <c r="D325" s="302"/>
      <c r="E325" s="302"/>
    </row>
    <row r="326" spans="1:5" ht="12.65" customHeight="1" x14ac:dyDescent="0.3">
      <c r="A326" s="298" t="s">
        <v>417</v>
      </c>
      <c r="B326" s="299" t="s">
        <v>256</v>
      </c>
      <c r="C326" s="313"/>
      <c r="D326" s="302"/>
      <c r="E326" s="302"/>
    </row>
    <row r="327" spans="1:5" ht="19.5" customHeight="1" x14ac:dyDescent="0.3">
      <c r="A327" s="300" t="s">
        <v>418</v>
      </c>
      <c r="B327" s="299" t="s">
        <v>256</v>
      </c>
      <c r="C327" s="313">
        <v>4232379</v>
      </c>
      <c r="D327" s="302"/>
      <c r="E327" s="302"/>
    </row>
    <row r="328" spans="1:5" ht="12.65" customHeight="1" x14ac:dyDescent="0.3">
      <c r="A328" s="300" t="s">
        <v>203</v>
      </c>
      <c r="B328" s="302"/>
      <c r="C328" s="315"/>
      <c r="D328" s="302">
        <v>8803645.7300000004</v>
      </c>
      <c r="E328" s="302"/>
    </row>
    <row r="329" spans="1:5" ht="12.65" customHeight="1" x14ac:dyDescent="0.3">
      <c r="A329" s="300" t="s">
        <v>419</v>
      </c>
      <c r="B329" s="302"/>
      <c r="C329" s="315"/>
      <c r="D329" s="302">
        <v>0</v>
      </c>
      <c r="E329" s="302"/>
    </row>
    <row r="330" spans="1:5" ht="12.65" customHeight="1" x14ac:dyDescent="0.3">
      <c r="A330" s="300" t="s">
        <v>420</v>
      </c>
      <c r="B330" s="302"/>
      <c r="C330" s="315"/>
      <c r="D330" s="302">
        <v>8803645.7300000004</v>
      </c>
      <c r="E330" s="302"/>
    </row>
    <row r="331" spans="1:5" ht="12.65" customHeight="1" x14ac:dyDescent="0.3">
      <c r="A331" s="300"/>
      <c r="B331" s="302"/>
      <c r="C331" s="315"/>
      <c r="D331" s="302"/>
      <c r="E331" s="302"/>
    </row>
    <row r="332" spans="1:5" ht="12.65" customHeight="1" x14ac:dyDescent="0.3">
      <c r="A332" s="300" t="s">
        <v>421</v>
      </c>
      <c r="B332" s="299" t="s">
        <v>256</v>
      </c>
      <c r="C332" s="326">
        <v>4329457</v>
      </c>
      <c r="D332" s="302"/>
      <c r="E332" s="302"/>
    </row>
    <row r="333" spans="1:5" ht="12.65" customHeight="1" x14ac:dyDescent="0.3">
      <c r="A333" s="300"/>
      <c r="B333" s="299"/>
      <c r="C333" s="334"/>
      <c r="D333" s="302"/>
      <c r="E333" s="302"/>
    </row>
    <row r="334" spans="1:5" ht="12.65" customHeight="1" x14ac:dyDescent="0.3">
      <c r="A334" s="300" t="s">
        <v>1142</v>
      </c>
      <c r="B334" s="299" t="s">
        <v>256</v>
      </c>
      <c r="C334" s="326"/>
      <c r="D334" s="302"/>
      <c r="E334" s="302"/>
    </row>
    <row r="335" spans="1:5" ht="12.65" customHeight="1" x14ac:dyDescent="0.3">
      <c r="A335" s="300" t="s">
        <v>1143</v>
      </c>
      <c r="B335" s="299" t="s">
        <v>256</v>
      </c>
      <c r="C335" s="326"/>
      <c r="D335" s="302"/>
      <c r="E335" s="302"/>
    </row>
    <row r="336" spans="1:5" ht="12.65" customHeight="1" x14ac:dyDescent="0.3">
      <c r="A336" s="300" t="s">
        <v>423</v>
      </c>
      <c r="B336" s="299" t="s">
        <v>256</v>
      </c>
      <c r="C336" s="326"/>
      <c r="D336" s="302"/>
      <c r="E336" s="302"/>
    </row>
    <row r="337" spans="1:5" ht="12.65" customHeight="1" x14ac:dyDescent="0.3">
      <c r="A337" s="300" t="s">
        <v>422</v>
      </c>
      <c r="B337" s="299" t="s">
        <v>256</v>
      </c>
      <c r="C337" s="313"/>
      <c r="D337" s="302"/>
      <c r="E337" s="302"/>
    </row>
    <row r="338" spans="1:5" ht="12.65" customHeight="1" x14ac:dyDescent="0.3">
      <c r="A338" s="300" t="s">
        <v>1253</v>
      </c>
      <c r="B338" s="299" t="s">
        <v>256</v>
      </c>
      <c r="C338" s="313"/>
      <c r="D338" s="302"/>
      <c r="E338" s="302"/>
    </row>
    <row r="339" spans="1:5" ht="12.65" customHeight="1" x14ac:dyDescent="0.3">
      <c r="A339" s="300" t="s">
        <v>424</v>
      </c>
      <c r="B339" s="302"/>
      <c r="C339" s="315"/>
      <c r="D339" s="302">
        <v>28610253.130000003</v>
      </c>
      <c r="E339" s="302"/>
    </row>
    <row r="340" spans="1:5" ht="12.65" customHeight="1" x14ac:dyDescent="0.3">
      <c r="A340" s="300"/>
      <c r="B340" s="302"/>
      <c r="C340" s="315"/>
      <c r="D340" s="302"/>
      <c r="E340" s="302"/>
    </row>
    <row r="341" spans="1:5" ht="12.65" customHeight="1" x14ac:dyDescent="0.3">
      <c r="A341" s="300" t="s">
        <v>425</v>
      </c>
      <c r="B341" s="302"/>
      <c r="C341" s="315"/>
      <c r="D341" s="302">
        <v>28610252.589999996</v>
      </c>
      <c r="E341" s="302"/>
    </row>
    <row r="342" spans="1:5" ht="12.65" customHeight="1" x14ac:dyDescent="0.3">
      <c r="A342" s="300"/>
      <c r="B342" s="300"/>
      <c r="C342" s="315"/>
      <c r="D342" s="302"/>
      <c r="E342" s="302"/>
    </row>
    <row r="343" spans="1:5" ht="12.65" customHeight="1" x14ac:dyDescent="0.3">
      <c r="A343" s="300"/>
      <c r="B343" s="300"/>
      <c r="C343" s="315"/>
      <c r="D343" s="302"/>
      <c r="E343" s="302"/>
    </row>
    <row r="344" spans="1:5" ht="12.65" customHeight="1" x14ac:dyDescent="0.3">
      <c r="A344" s="300"/>
      <c r="B344" s="300"/>
      <c r="C344" s="315"/>
      <c r="D344" s="302"/>
      <c r="E344" s="302"/>
    </row>
    <row r="345" spans="1:5" ht="12.65" customHeight="1" x14ac:dyDescent="0.3">
      <c r="A345" s="300"/>
      <c r="B345" s="300"/>
      <c r="C345" s="315"/>
      <c r="D345" s="302"/>
      <c r="E345" s="302"/>
    </row>
    <row r="346" spans="1:5" ht="12.65" customHeight="1" x14ac:dyDescent="0.3">
      <c r="A346" s="300"/>
      <c r="B346" s="300"/>
      <c r="C346" s="315"/>
      <c r="D346" s="302"/>
      <c r="E346" s="302"/>
    </row>
    <row r="347" spans="1:5" ht="12.65" customHeight="1" x14ac:dyDescent="0.3">
      <c r="A347" s="300"/>
      <c r="B347" s="300"/>
      <c r="C347" s="315"/>
      <c r="D347" s="302"/>
      <c r="E347" s="302"/>
    </row>
    <row r="348" spans="1:5" ht="12.65" customHeight="1" x14ac:dyDescent="0.3">
      <c r="A348" s="300"/>
      <c r="B348" s="300"/>
      <c r="C348" s="315"/>
      <c r="D348" s="302"/>
      <c r="E348" s="302"/>
    </row>
    <row r="349" spans="1:5" ht="12.65" customHeight="1" x14ac:dyDescent="0.3">
      <c r="A349" s="300"/>
      <c r="B349" s="300"/>
      <c r="C349" s="315"/>
      <c r="D349" s="302"/>
      <c r="E349" s="302"/>
    </row>
    <row r="350" spans="1:5" ht="12.65" customHeight="1" x14ac:dyDescent="0.3">
      <c r="A350" s="300"/>
      <c r="B350" s="300"/>
      <c r="C350" s="315"/>
      <c r="D350" s="302"/>
      <c r="E350" s="302"/>
    </row>
    <row r="351" spans="1:5" ht="12.65" customHeight="1" x14ac:dyDescent="0.3">
      <c r="A351" s="300"/>
      <c r="B351" s="300"/>
      <c r="C351" s="315"/>
      <c r="D351" s="302"/>
      <c r="E351" s="302"/>
    </row>
    <row r="352" spans="1:5" ht="12.65" customHeight="1" x14ac:dyDescent="0.3">
      <c r="A352" s="300"/>
      <c r="B352" s="300"/>
      <c r="C352" s="315"/>
      <c r="D352" s="302"/>
      <c r="E352" s="302"/>
    </row>
    <row r="353" spans="1:5" ht="12.65" customHeight="1" x14ac:dyDescent="0.3">
      <c r="A353" s="300"/>
      <c r="B353" s="300"/>
      <c r="C353" s="315"/>
      <c r="D353" s="302"/>
      <c r="E353" s="302"/>
    </row>
    <row r="354" spans="1:5" ht="12.65" customHeight="1" x14ac:dyDescent="0.3">
      <c r="A354" s="300"/>
      <c r="B354" s="300"/>
      <c r="C354" s="315"/>
      <c r="D354" s="302"/>
      <c r="E354" s="302"/>
    </row>
    <row r="355" spans="1:5" ht="20.25" customHeight="1" x14ac:dyDescent="0.3">
      <c r="A355" s="300"/>
      <c r="B355" s="300"/>
      <c r="C355" s="315"/>
      <c r="D355" s="302"/>
      <c r="E355" s="302"/>
    </row>
    <row r="356" spans="1:5" ht="12.65" customHeight="1" x14ac:dyDescent="0.3">
      <c r="A356" s="300"/>
      <c r="B356" s="300"/>
      <c r="C356" s="315"/>
      <c r="D356" s="302"/>
      <c r="E356" s="302"/>
    </row>
    <row r="357" spans="1:5" ht="12.65" customHeight="1" x14ac:dyDescent="0.3">
      <c r="A357" s="324" t="s">
        <v>426</v>
      </c>
      <c r="B357" s="324"/>
      <c r="C357" s="324"/>
      <c r="D357" s="324"/>
      <c r="E357" s="324"/>
    </row>
    <row r="358" spans="1:5" ht="12.65" customHeight="1" x14ac:dyDescent="0.3">
      <c r="A358" s="348" t="s">
        <v>427</v>
      </c>
      <c r="B358" s="348"/>
      <c r="C358" s="348"/>
      <c r="D358" s="348"/>
      <c r="E358" s="348"/>
    </row>
    <row r="359" spans="1:5" ht="12.65" customHeight="1" x14ac:dyDescent="0.3">
      <c r="A359" s="300" t="s">
        <v>428</v>
      </c>
      <c r="B359" s="299" t="s">
        <v>256</v>
      </c>
      <c r="C359" s="313">
        <v>8071704.2999999998</v>
      </c>
      <c r="D359" s="302"/>
      <c r="E359" s="302"/>
    </row>
    <row r="360" spans="1:5" ht="12.65" customHeight="1" x14ac:dyDescent="0.3">
      <c r="A360" s="300" t="s">
        <v>429</v>
      </c>
      <c r="B360" s="299" t="s">
        <v>256</v>
      </c>
      <c r="C360" s="313">
        <v>46446454</v>
      </c>
      <c r="D360" s="302"/>
      <c r="E360" s="302"/>
    </row>
    <row r="361" spans="1:5" ht="12.65" customHeight="1" x14ac:dyDescent="0.3">
      <c r="A361" s="300" t="s">
        <v>430</v>
      </c>
      <c r="B361" s="302"/>
      <c r="C361" s="315"/>
      <c r="D361" s="302">
        <v>54518158.299999997</v>
      </c>
      <c r="E361" s="302"/>
    </row>
    <row r="362" spans="1:5" ht="12.65" customHeight="1" x14ac:dyDescent="0.3">
      <c r="A362" s="348" t="s">
        <v>431</v>
      </c>
      <c r="B362" s="348"/>
      <c r="C362" s="348"/>
      <c r="D362" s="348"/>
      <c r="E362" s="348"/>
    </row>
    <row r="363" spans="1:5" ht="12.65" customHeight="1" x14ac:dyDescent="0.3">
      <c r="A363" s="300" t="s">
        <v>1257</v>
      </c>
      <c r="B363" s="348"/>
      <c r="C363" s="313">
        <v>1097272.8400000001</v>
      </c>
      <c r="D363" s="302"/>
      <c r="E363" s="348"/>
    </row>
    <row r="364" spans="1:5" ht="12.65" customHeight="1" x14ac:dyDescent="0.3">
      <c r="A364" s="300" t="s">
        <v>432</v>
      </c>
      <c r="B364" s="299" t="s">
        <v>256</v>
      </c>
      <c r="C364" s="313">
        <v>20810216</v>
      </c>
      <c r="D364" s="302"/>
      <c r="E364" s="302"/>
    </row>
    <row r="365" spans="1:5" ht="12.65" customHeight="1" x14ac:dyDescent="0.3">
      <c r="A365" s="300" t="s">
        <v>433</v>
      </c>
      <c r="B365" s="299" t="s">
        <v>256</v>
      </c>
      <c r="C365" s="313">
        <v>694162.04</v>
      </c>
      <c r="D365" s="302"/>
      <c r="E365" s="302"/>
    </row>
    <row r="366" spans="1:5" ht="12.65" customHeight="1" x14ac:dyDescent="0.3">
      <c r="A366" s="300" t="s">
        <v>434</v>
      </c>
      <c r="B366" s="299" t="s">
        <v>256</v>
      </c>
      <c r="C366" s="313">
        <v>1358032</v>
      </c>
      <c r="D366" s="302"/>
      <c r="E366" s="302"/>
    </row>
    <row r="367" spans="1:5" ht="12.65" customHeight="1" x14ac:dyDescent="0.3">
      <c r="A367" s="300" t="s">
        <v>359</v>
      </c>
      <c r="B367" s="302"/>
      <c r="C367" s="315"/>
      <c r="D367" s="302">
        <v>23959682.879999999</v>
      </c>
      <c r="E367" s="302"/>
    </row>
    <row r="368" spans="1:5" ht="12.65" customHeight="1" x14ac:dyDescent="0.3">
      <c r="A368" s="300" t="s">
        <v>435</v>
      </c>
      <c r="B368" s="302"/>
      <c r="C368" s="315"/>
      <c r="D368" s="302">
        <v>30558475.419999998</v>
      </c>
      <c r="E368" s="302"/>
    </row>
    <row r="369" spans="1:5" ht="12.65" customHeight="1" x14ac:dyDescent="0.3">
      <c r="A369" s="348" t="s">
        <v>436</v>
      </c>
      <c r="B369" s="348"/>
      <c r="C369" s="348"/>
      <c r="D369" s="348"/>
      <c r="E369" s="348"/>
    </row>
    <row r="370" spans="1:5" ht="12.65" customHeight="1" x14ac:dyDescent="0.3">
      <c r="A370" s="300" t="s">
        <v>437</v>
      </c>
      <c r="B370" s="299" t="s">
        <v>256</v>
      </c>
      <c r="C370" s="313">
        <v>1205035.52</v>
      </c>
      <c r="D370" s="302"/>
      <c r="E370" s="302"/>
    </row>
    <row r="371" spans="1:5" ht="12.65" customHeight="1" x14ac:dyDescent="0.3">
      <c r="A371" s="300" t="s">
        <v>438</v>
      </c>
      <c r="B371" s="299" t="s">
        <v>256</v>
      </c>
      <c r="C371" s="313">
        <v>698268.83</v>
      </c>
      <c r="D371" s="302"/>
      <c r="E371" s="302"/>
    </row>
    <row r="372" spans="1:5" ht="12.65" customHeight="1" x14ac:dyDescent="0.3">
      <c r="A372" s="300" t="s">
        <v>439</v>
      </c>
      <c r="B372" s="302"/>
      <c r="C372" s="315"/>
      <c r="D372" s="302">
        <v>1903304.35</v>
      </c>
      <c r="E372" s="302"/>
    </row>
    <row r="373" spans="1:5" ht="12.65" customHeight="1" x14ac:dyDescent="0.3">
      <c r="A373" s="300" t="s">
        <v>440</v>
      </c>
      <c r="B373" s="302"/>
      <c r="C373" s="315"/>
      <c r="D373" s="302">
        <v>32461779.77</v>
      </c>
      <c r="E373" s="302"/>
    </row>
    <row r="374" spans="1:5" ht="12.65" customHeight="1" x14ac:dyDescent="0.3">
      <c r="A374" s="300"/>
      <c r="B374" s="302"/>
      <c r="C374" s="315"/>
      <c r="D374" s="302"/>
      <c r="E374" s="302"/>
    </row>
    <row r="375" spans="1:5" ht="12.65" customHeight="1" x14ac:dyDescent="0.3">
      <c r="A375" s="300"/>
      <c r="B375" s="302"/>
      <c r="C375" s="315"/>
      <c r="D375" s="302"/>
      <c r="E375" s="302"/>
    </row>
    <row r="376" spans="1:5" ht="12.65" customHeight="1" x14ac:dyDescent="0.3">
      <c r="A376" s="300"/>
      <c r="B376" s="302"/>
      <c r="C376" s="315"/>
      <c r="D376" s="302"/>
      <c r="E376" s="302"/>
    </row>
    <row r="377" spans="1:5" ht="12.65" customHeight="1" x14ac:dyDescent="0.3">
      <c r="A377" s="348" t="s">
        <v>441</v>
      </c>
      <c r="B377" s="348"/>
      <c r="C377" s="348"/>
      <c r="D377" s="348"/>
      <c r="E377" s="348"/>
    </row>
    <row r="378" spans="1:5" ht="12.65" customHeight="1" x14ac:dyDescent="0.3">
      <c r="A378" s="300" t="s">
        <v>442</v>
      </c>
      <c r="B378" s="299" t="s">
        <v>256</v>
      </c>
      <c r="C378" s="313">
        <v>17499021.77</v>
      </c>
      <c r="D378" s="302"/>
      <c r="E378" s="302"/>
    </row>
    <row r="379" spans="1:5" ht="12.65" customHeight="1" x14ac:dyDescent="0.3">
      <c r="A379" s="300" t="s">
        <v>3</v>
      </c>
      <c r="B379" s="299" t="s">
        <v>256</v>
      </c>
      <c r="C379" s="313">
        <v>5492357.7699999996</v>
      </c>
      <c r="D379" s="302"/>
      <c r="E379" s="302"/>
    </row>
    <row r="380" spans="1:5" ht="12.65" customHeight="1" x14ac:dyDescent="0.3">
      <c r="A380" s="300" t="s">
        <v>236</v>
      </c>
      <c r="B380" s="299" t="s">
        <v>256</v>
      </c>
      <c r="C380" s="313">
        <v>2592053.62</v>
      </c>
      <c r="D380" s="302"/>
      <c r="E380" s="302"/>
    </row>
    <row r="381" spans="1:5" ht="12.65" customHeight="1" x14ac:dyDescent="0.3">
      <c r="A381" s="300" t="s">
        <v>443</v>
      </c>
      <c r="B381" s="299" t="s">
        <v>256</v>
      </c>
      <c r="C381" s="313">
        <v>3361387.36</v>
      </c>
      <c r="D381" s="302"/>
      <c r="E381" s="302"/>
    </row>
    <row r="382" spans="1:5" ht="12.65" customHeight="1" x14ac:dyDescent="0.3">
      <c r="A382" s="300" t="s">
        <v>444</v>
      </c>
      <c r="B382" s="299" t="s">
        <v>256</v>
      </c>
      <c r="C382" s="313">
        <v>444020.96</v>
      </c>
      <c r="D382" s="302"/>
      <c r="E382" s="302"/>
    </row>
    <row r="383" spans="1:5" ht="12.65" customHeight="1" x14ac:dyDescent="0.3">
      <c r="A383" s="300" t="s">
        <v>445</v>
      </c>
      <c r="B383" s="299" t="s">
        <v>256</v>
      </c>
      <c r="C383" s="313">
        <v>1903359.7</v>
      </c>
      <c r="D383" s="302"/>
      <c r="E383" s="302"/>
    </row>
    <row r="384" spans="1:5" ht="12.65" customHeight="1" x14ac:dyDescent="0.3">
      <c r="A384" s="300" t="s">
        <v>6</v>
      </c>
      <c r="B384" s="299" t="s">
        <v>256</v>
      </c>
      <c r="C384" s="313">
        <v>912908.99</v>
      </c>
      <c r="D384" s="302"/>
      <c r="E384" s="302"/>
    </row>
    <row r="385" spans="1:6" ht="12.65" customHeight="1" x14ac:dyDescent="0.3">
      <c r="A385" s="300" t="s">
        <v>446</v>
      </c>
      <c r="B385" s="299" t="s">
        <v>256</v>
      </c>
      <c r="C385" s="313">
        <v>101703</v>
      </c>
      <c r="D385" s="302"/>
      <c r="E385" s="302"/>
      <c r="F385" s="296"/>
    </row>
    <row r="386" spans="1:6" ht="12.65" customHeight="1" x14ac:dyDescent="0.3">
      <c r="A386" s="300" t="s">
        <v>447</v>
      </c>
      <c r="B386" s="299" t="s">
        <v>256</v>
      </c>
      <c r="C386" s="313">
        <v>290737</v>
      </c>
      <c r="D386" s="302"/>
      <c r="E386" s="302"/>
      <c r="F386" s="296"/>
    </row>
    <row r="387" spans="1:6" ht="12.65" customHeight="1" x14ac:dyDescent="0.3">
      <c r="A387" s="300" t="s">
        <v>448</v>
      </c>
      <c r="B387" s="299" t="s">
        <v>256</v>
      </c>
      <c r="C387" s="313">
        <v>362855.2</v>
      </c>
      <c r="D387" s="302"/>
      <c r="E387" s="302"/>
      <c r="F387" s="296"/>
    </row>
    <row r="388" spans="1:6" ht="12.65" customHeight="1" x14ac:dyDescent="0.3">
      <c r="A388" s="300" t="s">
        <v>449</v>
      </c>
      <c r="B388" s="299" t="s">
        <v>256</v>
      </c>
      <c r="C388" s="313">
        <v>238571.22999999998</v>
      </c>
      <c r="D388" s="302"/>
      <c r="E388" s="302"/>
      <c r="F388" s="296"/>
    </row>
    <row r="389" spans="1:6" ht="12.65" customHeight="1" x14ac:dyDescent="0.3">
      <c r="A389" s="300" t="s">
        <v>451</v>
      </c>
      <c r="B389" s="299" t="s">
        <v>256</v>
      </c>
      <c r="C389" s="313">
        <v>465324.59000000008</v>
      </c>
      <c r="D389" s="302"/>
      <c r="E389" s="302"/>
      <c r="F389" s="296"/>
    </row>
    <row r="390" spans="1:6" ht="12.65" customHeight="1" x14ac:dyDescent="0.3">
      <c r="A390" s="300" t="s">
        <v>452</v>
      </c>
      <c r="B390" s="302"/>
      <c r="C390" s="315"/>
      <c r="D390" s="302">
        <v>33664301.189999998</v>
      </c>
      <c r="E390" s="302"/>
      <c r="F390" s="296"/>
    </row>
    <row r="391" spans="1:6" ht="12.65" customHeight="1" x14ac:dyDescent="0.3">
      <c r="A391" s="300" t="s">
        <v>453</v>
      </c>
      <c r="B391" s="302"/>
      <c r="C391" s="315"/>
      <c r="D391" s="302">
        <v>-1202521.4199999981</v>
      </c>
      <c r="E391" s="302"/>
      <c r="F391" s="296"/>
    </row>
    <row r="392" spans="1:6" ht="12.65" customHeight="1" x14ac:dyDescent="0.3">
      <c r="A392" s="300" t="s">
        <v>454</v>
      </c>
      <c r="B392" s="299" t="s">
        <v>256</v>
      </c>
      <c r="C392" s="313">
        <v>1514979.21</v>
      </c>
      <c r="D392" s="302"/>
      <c r="E392" s="302"/>
      <c r="F392" s="296"/>
    </row>
    <row r="393" spans="1:6" ht="12.65" customHeight="1" x14ac:dyDescent="0.3">
      <c r="A393" s="300" t="s">
        <v>455</v>
      </c>
      <c r="B393" s="302"/>
      <c r="C393" s="315"/>
      <c r="D393" s="318">
        <v>312457.7900000019</v>
      </c>
      <c r="E393" s="302"/>
      <c r="F393" s="319"/>
    </row>
    <row r="394" spans="1:6" ht="12.65" customHeight="1" x14ac:dyDescent="0.3">
      <c r="A394" s="300" t="s">
        <v>456</v>
      </c>
      <c r="B394" s="299" t="s">
        <v>256</v>
      </c>
      <c r="C394" s="313"/>
      <c r="D394" s="302"/>
      <c r="E394" s="302"/>
      <c r="F394" s="296"/>
    </row>
    <row r="395" spans="1:6" ht="12.65" customHeight="1" x14ac:dyDescent="0.3">
      <c r="A395" s="300" t="s">
        <v>457</v>
      </c>
      <c r="B395" s="299" t="s">
        <v>256</v>
      </c>
      <c r="C395" s="313"/>
      <c r="D395" s="302"/>
      <c r="E395" s="302"/>
      <c r="F395" s="296"/>
    </row>
    <row r="396" spans="1:6" ht="13.5" customHeight="1" x14ac:dyDescent="0.3">
      <c r="A396" s="300" t="s">
        <v>458</v>
      </c>
      <c r="B396" s="302"/>
      <c r="C396" s="315"/>
      <c r="D396" s="302">
        <v>312457.7900000019</v>
      </c>
      <c r="E396" s="302"/>
      <c r="F396" s="296"/>
    </row>
    <row r="397" spans="1:6" ht="12.6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.65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  <c r="C410" s="181" t="s">
        <v>459</v>
      </c>
      <c r="D410" s="179"/>
      <c r="E410" s="263"/>
    </row>
    <row r="411" spans="1:5" ht="12.65" customHeight="1" x14ac:dyDescent="0.3">
      <c r="A411" s="179" t="str">
        <f>C85&amp;"   "&amp;"H-"&amp;FIXED(C84,0,TRUE)&amp;"     FYE "&amp;C83</f>
        <v>530 Bogachiel Way   H-0     FYE 054</v>
      </c>
      <c r="B411" s="179"/>
      <c r="C411" s="179"/>
      <c r="D411" s="179"/>
      <c r="E411" s="263"/>
    </row>
    <row r="412" spans="1:5" ht="12.65" customHeight="1" x14ac:dyDescent="0.3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">
      <c r="A413" s="179" t="s">
        <v>463</v>
      </c>
      <c r="B413" s="179">
        <f>C112</f>
        <v>138</v>
      </c>
      <c r="C413" s="194">
        <f>E139</f>
        <v>647</v>
      </c>
      <c r="D413" s="179"/>
    </row>
    <row r="414" spans="1:5" ht="12.65" customHeight="1" x14ac:dyDescent="0.3">
      <c r="A414" s="179" t="s">
        <v>464</v>
      </c>
      <c r="B414" s="179">
        <f>D112</f>
        <v>7469</v>
      </c>
      <c r="C414" s="179">
        <f>E140</f>
        <v>0</v>
      </c>
      <c r="D414" s="194">
        <f>SUM(C59:H59)+N59</f>
        <v>647</v>
      </c>
    </row>
    <row r="415" spans="1:5" ht="12.65" customHeight="1" x14ac:dyDescent="0.3">
      <c r="A415" s="179"/>
      <c r="B415" s="179"/>
      <c r="C415" s="194"/>
      <c r="D415" s="179"/>
    </row>
    <row r="416" spans="1:5" ht="12.65" customHeight="1" x14ac:dyDescent="0.3">
      <c r="A416" s="179" t="s">
        <v>465</v>
      </c>
      <c r="B416" s="179">
        <f>C113</f>
        <v>0</v>
      </c>
      <c r="C416" s="194">
        <f>E145</f>
        <v>7469</v>
      </c>
      <c r="D416" s="179"/>
    </row>
    <row r="417" spans="1:7" ht="12.65" customHeight="1" x14ac:dyDescent="0.3">
      <c r="A417" s="179" t="s">
        <v>466</v>
      </c>
      <c r="B417" s="179">
        <f>D113</f>
        <v>0</v>
      </c>
      <c r="C417" s="179">
        <f>E146</f>
        <v>0</v>
      </c>
      <c r="D417" s="179">
        <f>K59+L59</f>
        <v>7469</v>
      </c>
    </row>
    <row r="418" spans="1:7" ht="12.65" customHeight="1" x14ac:dyDescent="0.3">
      <c r="A418" s="179"/>
      <c r="B418" s="179"/>
      <c r="C418" s="194"/>
      <c r="D418" s="179"/>
    </row>
    <row r="419" spans="1:7" ht="12.65" customHeight="1" x14ac:dyDescent="0.3">
      <c r="A419" s="179" t="s">
        <v>467</v>
      </c>
      <c r="B419" s="179">
        <f>C114</f>
        <v>45</v>
      </c>
      <c r="C419" s="179">
        <f>E151</f>
        <v>0</v>
      </c>
      <c r="D419" s="179"/>
    </row>
    <row r="420" spans="1:7" ht="12.65" customHeight="1" x14ac:dyDescent="0.3">
      <c r="A420" s="179" t="s">
        <v>468</v>
      </c>
      <c r="B420" s="179">
        <f>D114</f>
        <v>67</v>
      </c>
      <c r="C420" s="179">
        <f>E152</f>
        <v>0</v>
      </c>
      <c r="D420" s="179">
        <f>I59</f>
        <v>0</v>
      </c>
    </row>
    <row r="421" spans="1:7" ht="12.65" customHeight="1" x14ac:dyDescent="0.3">
      <c r="A421" s="206"/>
      <c r="B421" s="206"/>
      <c r="C421" s="181"/>
      <c r="D421" s="179"/>
    </row>
    <row r="422" spans="1:7" ht="12.65" customHeight="1" x14ac:dyDescent="0.3">
      <c r="A422" s="180" t="s">
        <v>469</v>
      </c>
      <c r="B422" s="180" t="str">
        <f>C115</f>
        <v>Beds</v>
      </c>
    </row>
    <row r="423" spans="1:7" ht="12.65" customHeight="1" x14ac:dyDescent="0.3">
      <c r="A423" s="179" t="s">
        <v>1244</v>
      </c>
      <c r="B423" s="179">
        <f>D115</f>
        <v>0</v>
      </c>
      <c r="D423" s="179">
        <f>J59</f>
        <v>67</v>
      </c>
    </row>
    <row r="424" spans="1:7" ht="12.65" customHeight="1" x14ac:dyDescent="0.3">
      <c r="A424" s="206"/>
      <c r="B424" s="206"/>
      <c r="C424" s="206"/>
      <c r="D424" s="206"/>
      <c r="F424" s="206"/>
      <c r="G424" s="206"/>
    </row>
    <row r="425" spans="1:7" ht="12.65" customHeight="1" x14ac:dyDescent="0.3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">
      <c r="A426" s="179" t="s">
        <v>473</v>
      </c>
      <c r="B426" s="179">
        <f t="shared" ref="B426:B436" si="0">C376</f>
        <v>0</v>
      </c>
      <c r="C426" s="179">
        <f t="shared" ref="C426:C433" si="1">CE61</f>
        <v>17499021</v>
      </c>
      <c r="D426" s="179"/>
    </row>
    <row r="427" spans="1:7" ht="12.65" customHeight="1" x14ac:dyDescent="0.3">
      <c r="A427" s="179" t="s">
        <v>3</v>
      </c>
      <c r="B427" s="179">
        <f t="shared" si="0"/>
        <v>0</v>
      </c>
      <c r="C427" s="179">
        <f t="shared" si="1"/>
        <v>5492360</v>
      </c>
      <c r="D427" s="179">
        <f>D174</f>
        <v>0</v>
      </c>
    </row>
    <row r="428" spans="1:7" ht="12.65" customHeight="1" x14ac:dyDescent="0.3">
      <c r="A428" s="179" t="s">
        <v>236</v>
      </c>
      <c r="B428" s="179">
        <f t="shared" si="0"/>
        <v>17499021.77</v>
      </c>
      <c r="C428" s="179">
        <f t="shared" si="1"/>
        <v>2592053</v>
      </c>
      <c r="D428" s="179"/>
    </row>
    <row r="429" spans="1:7" ht="12.65" customHeight="1" x14ac:dyDescent="0.3">
      <c r="A429" s="179" t="s">
        <v>237</v>
      </c>
      <c r="B429" s="179">
        <f t="shared" si="0"/>
        <v>5492357.7699999996</v>
      </c>
      <c r="C429" s="179">
        <f t="shared" si="1"/>
        <v>3361387</v>
      </c>
      <c r="D429" s="179"/>
    </row>
    <row r="430" spans="1:7" ht="12.65" customHeight="1" x14ac:dyDescent="0.3">
      <c r="A430" s="179" t="s">
        <v>444</v>
      </c>
      <c r="B430" s="179">
        <f t="shared" si="0"/>
        <v>2592053.62</v>
      </c>
      <c r="C430" s="179">
        <f t="shared" si="1"/>
        <v>444020</v>
      </c>
      <c r="D430" s="179"/>
    </row>
    <row r="431" spans="1:7" ht="12.65" customHeight="1" x14ac:dyDescent="0.3">
      <c r="A431" s="179" t="s">
        <v>445</v>
      </c>
      <c r="B431" s="179">
        <f t="shared" si="0"/>
        <v>3361387.36</v>
      </c>
      <c r="C431" s="179">
        <f t="shared" si="1"/>
        <v>1903359</v>
      </c>
      <c r="D431" s="179"/>
    </row>
    <row r="432" spans="1:7" ht="12.65" customHeight="1" x14ac:dyDescent="0.3">
      <c r="A432" s="179" t="s">
        <v>6</v>
      </c>
      <c r="B432" s="179">
        <f t="shared" si="0"/>
        <v>444020.96</v>
      </c>
      <c r="C432" s="179">
        <f t="shared" si="1"/>
        <v>912913</v>
      </c>
      <c r="D432" s="179">
        <f>C218</f>
        <v>0</v>
      </c>
    </row>
    <row r="433" spans="1:7" ht="12.65" customHeight="1" x14ac:dyDescent="0.3">
      <c r="A433" s="179" t="s">
        <v>474</v>
      </c>
      <c r="B433" s="179">
        <f t="shared" si="0"/>
        <v>1903359.7</v>
      </c>
      <c r="C433" s="179">
        <f t="shared" si="1"/>
        <v>101703</v>
      </c>
      <c r="D433" s="179">
        <f>D178</f>
        <v>0</v>
      </c>
    </row>
    <row r="434" spans="1:7" ht="12.65" customHeight="1" x14ac:dyDescent="0.3">
      <c r="A434" s="179" t="s">
        <v>447</v>
      </c>
      <c r="B434" s="179">
        <f t="shared" si="0"/>
        <v>912908.99</v>
      </c>
      <c r="C434" s="179"/>
      <c r="D434" s="179">
        <f>D182</f>
        <v>0</v>
      </c>
    </row>
    <row r="435" spans="1:7" ht="12.65" customHeight="1" x14ac:dyDescent="0.3">
      <c r="A435" s="179" t="s">
        <v>475</v>
      </c>
      <c r="B435" s="179">
        <f t="shared" si="0"/>
        <v>101703</v>
      </c>
      <c r="C435" s="179"/>
      <c r="D435" s="179">
        <f>D187</f>
        <v>0</v>
      </c>
    </row>
    <row r="436" spans="1:7" ht="12.65" customHeight="1" x14ac:dyDescent="0.3">
      <c r="A436" s="194" t="s">
        <v>449</v>
      </c>
      <c r="B436" s="194">
        <f t="shared" si="0"/>
        <v>290737</v>
      </c>
      <c r="C436" s="194"/>
      <c r="D436" s="194">
        <f>D191</f>
        <v>0</v>
      </c>
    </row>
    <row r="437" spans="1:7" ht="12.65" customHeight="1" x14ac:dyDescent="0.3">
      <c r="A437" s="194" t="s">
        <v>476</v>
      </c>
      <c r="B437" s="194">
        <f>C384+C385+C386</f>
        <v>1305348.99</v>
      </c>
      <c r="C437" s="194">
        <f>CD70</f>
        <v>1205036</v>
      </c>
      <c r="D437" s="194">
        <f>D182+D187+D191</f>
        <v>0</v>
      </c>
    </row>
    <row r="438" spans="1:7" ht="12.65" customHeight="1" x14ac:dyDescent="0.3">
      <c r="A438" s="179" t="s">
        <v>1263</v>
      </c>
      <c r="B438" s="179">
        <f>C387</f>
        <v>362855.2</v>
      </c>
      <c r="C438" s="179">
        <f>CD69</f>
        <v>892163</v>
      </c>
      <c r="D438" s="179"/>
    </row>
    <row r="439" spans="1:7" ht="12.65" customHeight="1" x14ac:dyDescent="0.3">
      <c r="A439" s="179" t="s">
        <v>451</v>
      </c>
      <c r="B439" s="194">
        <f>C388</f>
        <v>238571.22999999998</v>
      </c>
      <c r="C439" s="194">
        <f>SUM(C70:CC70)</f>
        <v>0</v>
      </c>
      <c r="D439" s="179"/>
    </row>
    <row r="440" spans="1:7" ht="12.65" customHeight="1" x14ac:dyDescent="0.3">
      <c r="A440" s="179" t="s">
        <v>477</v>
      </c>
      <c r="B440" s="194">
        <f>B437+B439</f>
        <v>1543920.22</v>
      </c>
      <c r="C440" s="194">
        <f>CE70</f>
        <v>1205036</v>
      </c>
      <c r="D440" s="179"/>
    </row>
    <row r="441" spans="1:7" ht="12.65" customHeight="1" x14ac:dyDescent="0.3">
      <c r="A441" s="179" t="s">
        <v>478</v>
      </c>
      <c r="B441" s="179">
        <f>D389</f>
        <v>0</v>
      </c>
      <c r="C441" s="179">
        <f>SUM(C426:C436)+C438+C440</f>
        <v>34404015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343</v>
      </c>
      <c r="B444" s="179">
        <f>D228</f>
        <v>0</v>
      </c>
      <c r="C444" s="179">
        <f>C362</f>
        <v>0</v>
      </c>
      <c r="D444" s="179"/>
    </row>
    <row r="445" spans="1:7" ht="12.65" customHeight="1" x14ac:dyDescent="0.3">
      <c r="A445" s="179" t="s">
        <v>351</v>
      </c>
      <c r="B445" s="179">
        <f>D235</f>
        <v>0</v>
      </c>
      <c r="C445" s="179">
        <f>C363</f>
        <v>1097272.8400000001</v>
      </c>
      <c r="D445" s="179"/>
    </row>
    <row r="446" spans="1:7" ht="12.65" customHeight="1" x14ac:dyDescent="0.3">
      <c r="A446" s="179" t="s">
        <v>356</v>
      </c>
      <c r="B446" s="179">
        <f>D239</f>
        <v>0</v>
      </c>
      <c r="C446" s="179">
        <f>C364</f>
        <v>20810216</v>
      </c>
      <c r="D446" s="179"/>
    </row>
    <row r="447" spans="1:7" ht="12.65" customHeight="1" x14ac:dyDescent="0.3">
      <c r="A447" s="179" t="s">
        <v>358</v>
      </c>
      <c r="B447" s="179">
        <f>D241</f>
        <v>0</v>
      </c>
      <c r="C447" s="179">
        <f>D365</f>
        <v>0</v>
      </c>
      <c r="D447" s="179"/>
    </row>
    <row r="448" spans="1:7" ht="12.65" customHeight="1" x14ac:dyDescent="0.3">
      <c r="A448" s="206"/>
      <c r="B448" s="206"/>
      <c r="C448" s="206"/>
      <c r="D448" s="206"/>
      <c r="F448" s="206"/>
      <c r="G448" s="206"/>
    </row>
    <row r="449" spans="1:7" ht="12.65" customHeight="1" x14ac:dyDescent="0.3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">
      <c r="B450" s="181" t="s">
        <v>483</v>
      </c>
    </row>
    <row r="451" spans="1:7" ht="12.65" customHeight="1" x14ac:dyDescent="0.3">
      <c r="B451" s="181" t="s">
        <v>472</v>
      </c>
    </row>
    <row r="452" spans="1:7" ht="12.65" customHeight="1" x14ac:dyDescent="0.3">
      <c r="A452" s="199" t="s">
        <v>484</v>
      </c>
      <c r="B452" s="180">
        <f>C230</f>
        <v>0</v>
      </c>
    </row>
    <row r="453" spans="1:7" ht="12.65" customHeight="1" x14ac:dyDescent="0.3">
      <c r="A453" s="179" t="s">
        <v>168</v>
      </c>
      <c r="B453" s="179">
        <f>C232</f>
        <v>0</v>
      </c>
      <c r="C453" s="179"/>
      <c r="D453" s="179"/>
    </row>
    <row r="454" spans="1:7" ht="12.65" customHeight="1" x14ac:dyDescent="0.3">
      <c r="A454" s="179" t="s">
        <v>131</v>
      </c>
      <c r="B454" s="179">
        <f>C233</f>
        <v>78512.466470588246</v>
      </c>
      <c r="C454" s="179"/>
      <c r="D454" s="179"/>
    </row>
    <row r="455" spans="1:7" ht="12.65" customHeight="1" x14ac:dyDescent="0.3">
      <c r="A455" s="206"/>
      <c r="B455" s="206"/>
      <c r="C455" s="206"/>
      <c r="D455" s="206"/>
      <c r="F455" s="206"/>
      <c r="G455" s="206"/>
    </row>
    <row r="456" spans="1:7" ht="12.65" customHeight="1" x14ac:dyDescent="0.3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">
      <c r="A457" s="179" t="s">
        <v>487</v>
      </c>
      <c r="B457" s="194">
        <f>C368</f>
        <v>0</v>
      </c>
      <c r="C457" s="194">
        <f>CE71</f>
        <v>32459267.68</v>
      </c>
      <c r="D457" s="194"/>
    </row>
    <row r="458" spans="1:7" ht="12.65" customHeight="1" x14ac:dyDescent="0.3">
      <c r="A458" s="179" t="s">
        <v>244</v>
      </c>
      <c r="B458" s="194">
        <f>C369</f>
        <v>0</v>
      </c>
      <c r="C458" s="194">
        <f>CE73</f>
        <v>8071704</v>
      </c>
      <c r="D458" s="194"/>
    </row>
    <row r="459" spans="1:7" ht="12.65" customHeight="1" x14ac:dyDescent="0.3">
      <c r="A459" s="206"/>
      <c r="B459" s="206"/>
      <c r="C459" s="206"/>
      <c r="D459" s="206"/>
      <c r="F459" s="206"/>
      <c r="G459" s="206"/>
    </row>
    <row r="460" spans="1:7" ht="12.65" customHeight="1" x14ac:dyDescent="0.3">
      <c r="A460" s="179" t="s">
        <v>488</v>
      </c>
      <c r="B460" s="181"/>
      <c r="C460" s="181"/>
      <c r="D460" s="181" t="s">
        <v>1245</v>
      </c>
    </row>
    <row r="461" spans="1:7" ht="12.65" customHeight="1" x14ac:dyDescent="0.3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">
      <c r="A462" s="179" t="s">
        <v>245</v>
      </c>
      <c r="B462" s="194">
        <f>C358</f>
        <v>0</v>
      </c>
      <c r="C462" s="194">
        <f>CE74</f>
        <v>46446453.809999995</v>
      </c>
      <c r="D462" s="194">
        <f>E142+E148+E154</f>
        <v>46446454.280000001</v>
      </c>
    </row>
    <row r="463" spans="1:7" ht="12.65" customHeight="1" x14ac:dyDescent="0.3">
      <c r="A463" s="179" t="s">
        <v>246</v>
      </c>
      <c r="B463" s="194">
        <f>C359</f>
        <v>8071704.2999999998</v>
      </c>
      <c r="C463" s="194">
        <f>CE75</f>
        <v>54518157.809999995</v>
      </c>
      <c r="D463" s="194">
        <f>E143+E149+E155</f>
        <v>0</v>
      </c>
    </row>
    <row r="464" spans="1:7" ht="12.65" customHeight="1" x14ac:dyDescent="0.3">
      <c r="A464" s="179" t="s">
        <v>247</v>
      </c>
      <c r="B464" s="194">
        <f>D360</f>
        <v>0</v>
      </c>
      <c r="C464" s="194">
        <f>CE76</f>
        <v>56157</v>
      </c>
      <c r="D464" s="194">
        <f>D462+D463</f>
        <v>46446454.280000001</v>
      </c>
    </row>
    <row r="465" spans="1:7" ht="12.65" customHeight="1" x14ac:dyDescent="0.3">
      <c r="A465" s="206"/>
      <c r="B465" s="206"/>
      <c r="C465" s="206"/>
      <c r="D465" s="206"/>
      <c r="F465" s="206"/>
      <c r="G465" s="206"/>
    </row>
    <row r="466" spans="1:7" ht="12.65" customHeight="1" x14ac:dyDescent="0.3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">
      <c r="A467" s="179" t="s">
        <v>332</v>
      </c>
      <c r="B467" s="179">
        <f t="shared" ref="B467:B474" si="2">C266</f>
        <v>0</v>
      </c>
      <c r="C467" s="179">
        <f>E196</f>
        <v>935265.77</v>
      </c>
      <c r="D467" s="179"/>
    </row>
    <row r="468" spans="1:7" ht="12.65" customHeight="1" x14ac:dyDescent="0.3">
      <c r="A468" s="179" t="s">
        <v>333</v>
      </c>
      <c r="B468" s="179">
        <f t="shared" si="2"/>
        <v>378503.29</v>
      </c>
      <c r="C468" s="179">
        <f>E197</f>
        <v>15574449.869999999</v>
      </c>
      <c r="D468" s="179"/>
    </row>
    <row r="469" spans="1:7" ht="12.65" customHeight="1" x14ac:dyDescent="0.3">
      <c r="A469" s="179" t="s">
        <v>334</v>
      </c>
      <c r="B469" s="179">
        <f t="shared" si="2"/>
        <v>935265.77</v>
      </c>
      <c r="C469" s="179">
        <f>E198</f>
        <v>0</v>
      </c>
      <c r="D469" s="179"/>
    </row>
    <row r="470" spans="1:7" ht="12.65" customHeight="1" x14ac:dyDescent="0.3">
      <c r="A470" s="179" t="s">
        <v>494</v>
      </c>
      <c r="B470" s="179">
        <f t="shared" si="2"/>
        <v>15574450.84</v>
      </c>
      <c r="C470" s="179">
        <f>E199</f>
        <v>16271558.49</v>
      </c>
      <c r="D470" s="179"/>
    </row>
    <row r="471" spans="1:7" ht="12.65" customHeight="1" x14ac:dyDescent="0.3">
      <c r="A471" s="179" t="s">
        <v>377</v>
      </c>
      <c r="B471" s="179">
        <f t="shared" si="2"/>
        <v>0</v>
      </c>
      <c r="C471" s="179">
        <f>E200</f>
        <v>0</v>
      </c>
      <c r="D471" s="179"/>
    </row>
    <row r="472" spans="1:7" ht="12.65" customHeight="1" x14ac:dyDescent="0.3">
      <c r="A472" s="179" t="s">
        <v>495</v>
      </c>
      <c r="B472" s="179">
        <f t="shared" si="2"/>
        <v>16271558</v>
      </c>
      <c r="C472" s="179">
        <f>SUM(E201:E202)</f>
        <v>0</v>
      </c>
      <c r="D472" s="179"/>
    </row>
    <row r="473" spans="1:7" ht="12.65" customHeight="1" x14ac:dyDescent="0.3">
      <c r="A473" s="179" t="s">
        <v>339</v>
      </c>
      <c r="B473" s="179">
        <f t="shared" si="2"/>
        <v>0</v>
      </c>
      <c r="C473" s="179">
        <f>E203</f>
        <v>168257</v>
      </c>
      <c r="D473" s="179"/>
    </row>
    <row r="474" spans="1:7" ht="12.65" customHeight="1" x14ac:dyDescent="0.3">
      <c r="A474" s="179" t="s">
        <v>340</v>
      </c>
      <c r="B474" s="179">
        <f t="shared" si="2"/>
        <v>0</v>
      </c>
      <c r="C474" s="179">
        <f>E204</f>
        <v>33328034.420000002</v>
      </c>
      <c r="D474" s="179"/>
    </row>
    <row r="475" spans="1:7" ht="12.65" customHeight="1" x14ac:dyDescent="0.3">
      <c r="A475" s="179" t="s">
        <v>203</v>
      </c>
      <c r="B475" s="179">
        <f>D274</f>
        <v>0</v>
      </c>
      <c r="C475" s="179">
        <f>E205</f>
        <v>0</v>
      </c>
      <c r="D475" s="179"/>
    </row>
    <row r="476" spans="1:7" ht="12.65" customHeight="1" x14ac:dyDescent="0.3">
      <c r="A476" s="179"/>
      <c r="B476" s="179"/>
      <c r="C476" s="179"/>
      <c r="D476" s="179"/>
    </row>
    <row r="477" spans="1:7" ht="12.65" customHeight="1" x14ac:dyDescent="0.3">
      <c r="A477" s="179" t="s">
        <v>496</v>
      </c>
      <c r="B477" s="179">
        <f>C275</f>
        <v>0</v>
      </c>
      <c r="C477" s="179">
        <f>E218</f>
        <v>0</v>
      </c>
      <c r="D477" s="179"/>
    </row>
    <row r="479" spans="1:7" ht="12.65" customHeight="1" x14ac:dyDescent="0.3">
      <c r="A479" s="180" t="s">
        <v>497</v>
      </c>
    </row>
    <row r="480" spans="1:7" ht="12.65" customHeight="1" x14ac:dyDescent="0.3">
      <c r="A480" s="180" t="s">
        <v>498</v>
      </c>
      <c r="C480" s="180">
        <f>D340</f>
        <v>0</v>
      </c>
    </row>
    <row r="481" spans="1:12" ht="12.65" customHeight="1" x14ac:dyDescent="0.3">
      <c r="A481" s="180" t="s">
        <v>499</v>
      </c>
      <c r="C481" s="180">
        <f>D338</f>
        <v>0</v>
      </c>
    </row>
    <row r="484" spans="1:12" ht="12.65" customHeight="1" x14ac:dyDescent="0.3">
      <c r="A484" s="199" t="s">
        <v>500</v>
      </c>
    </row>
    <row r="485" spans="1:12" ht="12.65" customHeight="1" x14ac:dyDescent="0.3">
      <c r="A485" s="199" t="s">
        <v>501</v>
      </c>
    </row>
    <row r="486" spans="1:12" ht="12.65" customHeight="1" x14ac:dyDescent="0.3">
      <c r="A486" s="199" t="s">
        <v>502</v>
      </c>
    </row>
    <row r="487" spans="1:12" ht="12.65" customHeight="1" x14ac:dyDescent="0.3">
      <c r="A487" s="199"/>
    </row>
    <row r="488" spans="1:12" ht="12.65" customHeight="1" x14ac:dyDescent="0.3">
      <c r="A488" s="198" t="s">
        <v>503</v>
      </c>
    </row>
    <row r="489" spans="1:12" ht="12.65" customHeight="1" x14ac:dyDescent="0.3">
      <c r="A489" s="199" t="s">
        <v>504</v>
      </c>
    </row>
    <row r="490" spans="1:12" ht="12.65" customHeight="1" x14ac:dyDescent="0.3">
      <c r="A490" s="199"/>
    </row>
    <row r="492" spans="1:12" ht="12.65" customHeight="1" x14ac:dyDescent="0.3">
      <c r="A492" s="180" t="str">
        <f>C85</f>
        <v>530 Bogachiel Way</v>
      </c>
      <c r="B492" s="264" t="s">
        <v>1265</v>
      </c>
      <c r="C492" s="264" t="str">
        <f>RIGHT(C83,4)</f>
        <v>054</v>
      </c>
      <c r="D492" s="264" t="s">
        <v>1265</v>
      </c>
      <c r="E492" s="264" t="str">
        <f>RIGHT(C83,4)</f>
        <v>054</v>
      </c>
      <c r="F492" s="264" t="s">
        <v>1265</v>
      </c>
      <c r="G492" s="264" t="str">
        <f>RIGHT(C83,4)</f>
        <v>054</v>
      </c>
      <c r="H492" s="264"/>
      <c r="K492" s="264"/>
      <c r="L492" s="264"/>
    </row>
    <row r="493" spans="1:12" ht="12.65" customHeight="1" x14ac:dyDescent="0.3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">
      <c r="A495" s="180" t="s">
        <v>512</v>
      </c>
      <c r="B495" s="243">
        <v>16109014</v>
      </c>
      <c r="C495" s="243" t="str">
        <f>C72</f>
        <v>x</v>
      </c>
      <c r="D495" s="243">
        <v>9430</v>
      </c>
      <c r="E495" s="180">
        <f>C59</f>
        <v>0</v>
      </c>
      <c r="F495" s="266">
        <f t="shared" ref="F495:G510" si="3">IF(B495=0,"",IF(D495=0,"",B495/D495))</f>
        <v>1708.2729586426299</v>
      </c>
      <c r="G495" s="267" t="str">
        <f t="shared" si="3"/>
        <v/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5" customHeight="1" x14ac:dyDescent="0.3">
      <c r="A496" s="180" t="s">
        <v>513</v>
      </c>
      <c r="B496" s="243">
        <v>0</v>
      </c>
      <c r="C496" s="243" t="str">
        <f>D72</f>
        <v>x</v>
      </c>
      <c r="D496" s="243">
        <v>0</v>
      </c>
      <c r="E496" s="180">
        <f>D59</f>
        <v>0</v>
      </c>
      <c r="F496" s="266" t="str">
        <f t="shared" si="3"/>
        <v/>
      </c>
      <c r="G496" s="266" t="str">
        <f t="shared" si="3"/>
        <v/>
      </c>
      <c r="H496" s="268" t="str">
        <f t="shared" ref="H496:H549" si="4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">
      <c r="A497" s="180" t="s">
        <v>514</v>
      </c>
      <c r="B497" s="243">
        <v>41784874</v>
      </c>
      <c r="C497" s="243" t="str">
        <f>E72</f>
        <v>x</v>
      </c>
      <c r="D497" s="243">
        <v>48942</v>
      </c>
      <c r="E497" s="180">
        <f>E59</f>
        <v>647</v>
      </c>
      <c r="F497" s="266">
        <f t="shared" si="3"/>
        <v>853.76310735155903</v>
      </c>
      <c r="G497" s="266" t="str">
        <f t="shared" si="3"/>
        <v/>
      </c>
      <c r="H497" s="268" t="str">
        <f t="shared" si="4"/>
        <v/>
      </c>
      <c r="I497" s="270"/>
      <c r="K497" s="264"/>
      <c r="L497" s="264"/>
    </row>
    <row r="498" spans="1:12" ht="12.65" customHeight="1" x14ac:dyDescent="0.3">
      <c r="A498" s="180" t="s">
        <v>515</v>
      </c>
      <c r="B498" s="243">
        <v>0</v>
      </c>
      <c r="C498" s="243" t="str">
        <f>F72</f>
        <v>x</v>
      </c>
      <c r="D498" s="243">
        <v>0</v>
      </c>
      <c r="E498" s="180">
        <f>F59</f>
        <v>0</v>
      </c>
      <c r="F498" s="266" t="str">
        <f t="shared" si="3"/>
        <v/>
      </c>
      <c r="G498" s="266" t="str">
        <f t="shared" si="3"/>
        <v/>
      </c>
      <c r="H498" s="268" t="str">
        <f t="shared" si="4"/>
        <v/>
      </c>
      <c r="I498" s="270"/>
      <c r="K498" s="264"/>
      <c r="L498" s="264"/>
    </row>
    <row r="499" spans="1:12" ht="12.65" customHeight="1" x14ac:dyDescent="0.3">
      <c r="A499" s="180" t="s">
        <v>516</v>
      </c>
      <c r="B499" s="243">
        <v>0</v>
      </c>
      <c r="C499" s="243" t="str">
        <f>G72</f>
        <v>x</v>
      </c>
      <c r="D499" s="243">
        <v>0</v>
      </c>
      <c r="E499" s="180">
        <f>G59</f>
        <v>0</v>
      </c>
      <c r="F499" s="266" t="str">
        <f t="shared" si="3"/>
        <v/>
      </c>
      <c r="G499" s="266" t="str">
        <f t="shared" si="3"/>
        <v/>
      </c>
      <c r="H499" s="268" t="str">
        <f t="shared" si="4"/>
        <v/>
      </c>
      <c r="I499" s="270"/>
      <c r="K499" s="264"/>
      <c r="L499" s="264"/>
    </row>
    <row r="500" spans="1:12" ht="12.65" customHeight="1" x14ac:dyDescent="0.3">
      <c r="A500" s="180" t="s">
        <v>517</v>
      </c>
      <c r="B500" s="243">
        <v>2945804</v>
      </c>
      <c r="C500" s="243" t="str">
        <f>H72</f>
        <v>x</v>
      </c>
      <c r="D500" s="243">
        <v>4243</v>
      </c>
      <c r="E500" s="180">
        <f>H59</f>
        <v>0</v>
      </c>
      <c r="F500" s="266">
        <f t="shared" si="3"/>
        <v>694.27386283290127</v>
      </c>
      <c r="G500" s="266" t="str">
        <f t="shared" si="3"/>
        <v/>
      </c>
      <c r="H500" s="268" t="str">
        <f t="shared" si="4"/>
        <v/>
      </c>
      <c r="I500" s="270"/>
      <c r="K500" s="264"/>
      <c r="L500" s="264"/>
    </row>
    <row r="501" spans="1:12" ht="12.65" customHeight="1" x14ac:dyDescent="0.3">
      <c r="A501" s="180" t="s">
        <v>518</v>
      </c>
      <c r="B501" s="243">
        <v>0</v>
      </c>
      <c r="C501" s="243" t="str">
        <f>I72</f>
        <v>x</v>
      </c>
      <c r="D501" s="243">
        <v>0</v>
      </c>
      <c r="E501" s="180">
        <f>I59</f>
        <v>0</v>
      </c>
      <c r="F501" s="266" t="str">
        <f t="shared" si="3"/>
        <v/>
      </c>
      <c r="G501" s="266" t="str">
        <f t="shared" si="3"/>
        <v/>
      </c>
      <c r="H501" s="268" t="str">
        <f t="shared" si="4"/>
        <v/>
      </c>
      <c r="I501" s="270"/>
      <c r="K501" s="264"/>
      <c r="L501" s="264"/>
    </row>
    <row r="502" spans="1:12" ht="12.65" customHeight="1" x14ac:dyDescent="0.3">
      <c r="A502" s="180" t="s">
        <v>519</v>
      </c>
      <c r="B502" s="243">
        <v>0</v>
      </c>
      <c r="C502" s="243" t="str">
        <f>J72</f>
        <v>x</v>
      </c>
      <c r="D502" s="243">
        <v>0</v>
      </c>
      <c r="E502" s="180">
        <f>J59</f>
        <v>67</v>
      </c>
      <c r="F502" s="266" t="str">
        <f t="shared" si="3"/>
        <v/>
      </c>
      <c r="G502" s="266" t="str">
        <f t="shared" si="3"/>
        <v/>
      </c>
      <c r="H502" s="268" t="str">
        <f t="shared" si="4"/>
        <v/>
      </c>
      <c r="I502" s="270"/>
      <c r="K502" s="264"/>
      <c r="L502" s="264"/>
    </row>
    <row r="503" spans="1:12" ht="12.65" customHeight="1" x14ac:dyDescent="0.3">
      <c r="A503" s="180" t="s">
        <v>520</v>
      </c>
      <c r="B503" s="243">
        <v>0</v>
      </c>
      <c r="C503" s="243" t="str">
        <f>K72</f>
        <v>x</v>
      </c>
      <c r="D503" s="243">
        <v>0</v>
      </c>
      <c r="E503" s="180">
        <f>K59</f>
        <v>6779</v>
      </c>
      <c r="F503" s="266" t="str">
        <f t="shared" si="3"/>
        <v/>
      </c>
      <c r="G503" s="266" t="str">
        <f t="shared" si="3"/>
        <v/>
      </c>
      <c r="H503" s="268" t="str">
        <f t="shared" si="4"/>
        <v/>
      </c>
      <c r="I503" s="270"/>
      <c r="K503" s="264"/>
      <c r="L503" s="264"/>
    </row>
    <row r="504" spans="1:12" ht="12.65" customHeight="1" x14ac:dyDescent="0.3">
      <c r="A504" s="180" t="s">
        <v>521</v>
      </c>
      <c r="B504" s="243">
        <v>0</v>
      </c>
      <c r="C504" s="243" t="str">
        <f>L72</f>
        <v>x</v>
      </c>
      <c r="D504" s="243">
        <v>0</v>
      </c>
      <c r="E504" s="180">
        <f>L59</f>
        <v>690</v>
      </c>
      <c r="F504" s="266" t="str">
        <f t="shared" si="3"/>
        <v/>
      </c>
      <c r="G504" s="266" t="str">
        <f t="shared" si="3"/>
        <v/>
      </c>
      <c r="H504" s="268" t="str">
        <f t="shared" si="4"/>
        <v/>
      </c>
      <c r="I504" s="270"/>
      <c r="K504" s="264"/>
      <c r="L504" s="264"/>
    </row>
    <row r="505" spans="1:12" ht="12.65" customHeight="1" x14ac:dyDescent="0.3">
      <c r="A505" s="180" t="s">
        <v>522</v>
      </c>
      <c r="B505" s="243">
        <v>0</v>
      </c>
      <c r="C505" s="243" t="str">
        <f>M72</f>
        <v>x</v>
      </c>
      <c r="D505" s="243">
        <v>0</v>
      </c>
      <c r="E505" s="180">
        <f>M59</f>
        <v>0</v>
      </c>
      <c r="F505" s="266" t="str">
        <f t="shared" si="3"/>
        <v/>
      </c>
      <c r="G505" s="266" t="str">
        <f t="shared" si="3"/>
        <v/>
      </c>
      <c r="H505" s="268" t="str">
        <f t="shared" si="4"/>
        <v/>
      </c>
      <c r="I505" s="270"/>
      <c r="K505" s="264"/>
      <c r="L505" s="264"/>
    </row>
    <row r="506" spans="1:12" ht="12.65" customHeight="1" x14ac:dyDescent="0.3">
      <c r="A506" s="180" t="s">
        <v>523</v>
      </c>
      <c r="B506" s="243">
        <v>0</v>
      </c>
      <c r="C506" s="243" t="str">
        <f>N72</f>
        <v>x</v>
      </c>
      <c r="D506" s="243">
        <v>0</v>
      </c>
      <c r="E506" s="180">
        <f>N59</f>
        <v>0</v>
      </c>
      <c r="F506" s="266" t="str">
        <f t="shared" si="3"/>
        <v/>
      </c>
      <c r="G506" s="266" t="str">
        <f t="shared" si="3"/>
        <v/>
      </c>
      <c r="H506" s="268" t="str">
        <f t="shared" si="4"/>
        <v/>
      </c>
      <c r="I506" s="270"/>
      <c r="K506" s="264"/>
      <c r="L506" s="264"/>
    </row>
    <row r="507" spans="1:12" ht="12.65" customHeight="1" x14ac:dyDescent="0.3">
      <c r="A507" s="180" t="s">
        <v>524</v>
      </c>
      <c r="B507" s="243">
        <v>8566030</v>
      </c>
      <c r="C507" s="243" t="str">
        <f>O72</f>
        <v>x</v>
      </c>
      <c r="D507" s="243">
        <v>3648</v>
      </c>
      <c r="E507" s="180">
        <f>O59</f>
        <v>67</v>
      </c>
      <c r="F507" s="266">
        <f t="shared" si="3"/>
        <v>2348.1441885964914</v>
      </c>
      <c r="G507" s="266" t="str">
        <f t="shared" si="3"/>
        <v/>
      </c>
      <c r="H507" s="268" t="str">
        <f t="shared" si="4"/>
        <v/>
      </c>
      <c r="I507" s="270"/>
      <c r="K507" s="264"/>
      <c r="L507" s="264"/>
    </row>
    <row r="508" spans="1:12" ht="12.65" customHeight="1" x14ac:dyDescent="0.3">
      <c r="A508" s="180" t="s">
        <v>525</v>
      </c>
      <c r="B508" s="243">
        <v>46359899</v>
      </c>
      <c r="C508" s="243" t="str">
        <f>P72</f>
        <v>x</v>
      </c>
      <c r="D508" s="243">
        <v>1391652</v>
      </c>
      <c r="E508" s="180">
        <f>P59</f>
        <v>7094</v>
      </c>
      <c r="F508" s="266">
        <f t="shared" si="3"/>
        <v>33.312853357017417</v>
      </c>
      <c r="G508" s="266" t="str">
        <f t="shared" si="3"/>
        <v/>
      </c>
      <c r="H508" s="268" t="str">
        <f t="shared" si="4"/>
        <v/>
      </c>
      <c r="I508" s="270"/>
      <c r="K508" s="264"/>
      <c r="L508" s="264"/>
    </row>
    <row r="509" spans="1:12" ht="12.65" customHeight="1" x14ac:dyDescent="0.3">
      <c r="A509" s="180" t="s">
        <v>526</v>
      </c>
      <c r="B509" s="243">
        <v>3671387</v>
      </c>
      <c r="C509" s="243" t="str">
        <f>Q72</f>
        <v>x</v>
      </c>
      <c r="D509" s="243">
        <v>693702</v>
      </c>
      <c r="E509" s="180">
        <f>Q59</f>
        <v>7601</v>
      </c>
      <c r="F509" s="266">
        <f t="shared" si="3"/>
        <v>5.2924555500776993</v>
      </c>
      <c r="G509" s="266" t="str">
        <f t="shared" si="3"/>
        <v/>
      </c>
      <c r="H509" s="268" t="str">
        <f t="shared" si="4"/>
        <v/>
      </c>
      <c r="I509" s="270"/>
      <c r="K509" s="264"/>
      <c r="L509" s="264"/>
    </row>
    <row r="510" spans="1:12" ht="12.65" customHeight="1" x14ac:dyDescent="0.3">
      <c r="A510" s="180" t="s">
        <v>527</v>
      </c>
      <c r="B510" s="243">
        <v>2026281</v>
      </c>
      <c r="C510" s="243" t="str">
        <f>R72</f>
        <v>x</v>
      </c>
      <c r="D510" s="243">
        <v>1385678</v>
      </c>
      <c r="E510" s="180">
        <f>R59</f>
        <v>12415</v>
      </c>
      <c r="F510" s="266">
        <f t="shared" si="3"/>
        <v>1.4623029304066313</v>
      </c>
      <c r="G510" s="266" t="str">
        <f t="shared" si="3"/>
        <v/>
      </c>
      <c r="H510" s="268" t="str">
        <f t="shared" si="4"/>
        <v/>
      </c>
      <c r="I510" s="270"/>
      <c r="K510" s="264"/>
      <c r="L510" s="264"/>
    </row>
    <row r="511" spans="1:12" ht="12.65" customHeight="1" x14ac:dyDescent="0.3">
      <c r="A511" s="180" t="s">
        <v>528</v>
      </c>
      <c r="B511" s="243">
        <v>5731579</v>
      </c>
      <c r="C511" s="243" t="str">
        <f>S72</f>
        <v>x</v>
      </c>
      <c r="D511" s="181" t="s">
        <v>529</v>
      </c>
      <c r="E511" s="181" t="s">
        <v>529</v>
      </c>
      <c r="F511" s="266" t="str">
        <f t="shared" ref="F511:G526" si="5">IF(B511=0,"",IF(D511=0,"",B511/D511))</f>
        <v/>
      </c>
      <c r="G511" s="266" t="str">
        <f t="shared" si="5"/>
        <v/>
      </c>
      <c r="H511" s="268" t="str">
        <f t="shared" si="4"/>
        <v/>
      </c>
      <c r="I511" s="270"/>
      <c r="K511" s="264"/>
      <c r="L511" s="264"/>
    </row>
    <row r="512" spans="1:12" ht="12.65" customHeight="1" x14ac:dyDescent="0.3">
      <c r="A512" s="180" t="s">
        <v>1246</v>
      </c>
      <c r="B512" s="243">
        <v>8670551</v>
      </c>
      <c r="C512" s="243" t="str">
        <f>T72</f>
        <v>x</v>
      </c>
      <c r="D512" s="181" t="s">
        <v>529</v>
      </c>
      <c r="E512" s="181" t="s">
        <v>529</v>
      </c>
      <c r="F512" s="266" t="str">
        <f t="shared" si="5"/>
        <v/>
      </c>
      <c r="G512" s="266" t="str">
        <f t="shared" si="5"/>
        <v/>
      </c>
      <c r="H512" s="268" t="str">
        <f t="shared" si="4"/>
        <v/>
      </c>
      <c r="I512" s="270"/>
      <c r="K512" s="264"/>
      <c r="L512" s="264"/>
    </row>
    <row r="513" spans="1:12" ht="12.65" customHeight="1" x14ac:dyDescent="0.3">
      <c r="A513" s="180" t="s">
        <v>530</v>
      </c>
      <c r="B513" s="243">
        <v>15012657</v>
      </c>
      <c r="C513" s="243" t="str">
        <f>U72</f>
        <v>x</v>
      </c>
      <c r="D513" s="243">
        <v>1204214</v>
      </c>
      <c r="E513" s="180">
        <f>U59</f>
        <v>58450</v>
      </c>
      <c r="F513" s="266">
        <f t="shared" si="5"/>
        <v>12.466768365091255</v>
      </c>
      <c r="G513" s="266" t="str">
        <f t="shared" si="5"/>
        <v/>
      </c>
      <c r="H513" s="268" t="str">
        <f t="shared" si="4"/>
        <v/>
      </c>
      <c r="I513" s="270"/>
      <c r="K513" s="264"/>
      <c r="L513" s="264"/>
    </row>
    <row r="514" spans="1:12" ht="12.65" customHeight="1" x14ac:dyDescent="0.3">
      <c r="A514" s="180" t="s">
        <v>531</v>
      </c>
      <c r="B514" s="243">
        <v>625057</v>
      </c>
      <c r="C514" s="243" t="str">
        <f>V72</f>
        <v>x</v>
      </c>
      <c r="D514" s="243">
        <v>23863</v>
      </c>
      <c r="E514" s="180">
        <f>V59</f>
        <v>0</v>
      </c>
      <c r="F514" s="266">
        <f t="shared" si="5"/>
        <v>26.193563256924946</v>
      </c>
      <c r="G514" s="266" t="str">
        <f t="shared" si="5"/>
        <v/>
      </c>
      <c r="H514" s="268" t="str">
        <f t="shared" si="4"/>
        <v/>
      </c>
      <c r="I514" s="270"/>
      <c r="K514" s="264"/>
      <c r="L514" s="264"/>
    </row>
    <row r="515" spans="1:12" ht="12.65" customHeight="1" x14ac:dyDescent="0.3">
      <c r="A515" s="180" t="s">
        <v>532</v>
      </c>
      <c r="B515" s="243">
        <v>3024844</v>
      </c>
      <c r="C515" s="243" t="str">
        <f>W72</f>
        <v>x</v>
      </c>
      <c r="D515" s="243">
        <v>136581</v>
      </c>
      <c r="E515" s="180">
        <f>W59</f>
        <v>4249</v>
      </c>
      <c r="F515" s="266">
        <f t="shared" si="5"/>
        <v>22.146887195144274</v>
      </c>
      <c r="G515" s="266" t="str">
        <f t="shared" si="5"/>
        <v/>
      </c>
      <c r="H515" s="268" t="str">
        <f t="shared" si="4"/>
        <v/>
      </c>
      <c r="I515" s="270"/>
      <c r="K515" s="264"/>
      <c r="L515" s="264"/>
    </row>
    <row r="516" spans="1:12" ht="12.65" customHeight="1" x14ac:dyDescent="0.3">
      <c r="A516" s="180" t="s">
        <v>533</v>
      </c>
      <c r="B516" s="243">
        <v>2350447</v>
      </c>
      <c r="C516" s="243" t="str">
        <f>X72</f>
        <v>x</v>
      </c>
      <c r="D516" s="243">
        <v>138430</v>
      </c>
      <c r="E516" s="180">
        <f>X59</f>
        <v>10926</v>
      </c>
      <c r="F516" s="266">
        <f t="shared" si="5"/>
        <v>16.979318066893015</v>
      </c>
      <c r="G516" s="266" t="str">
        <f t="shared" si="5"/>
        <v/>
      </c>
      <c r="H516" s="268" t="str">
        <f t="shared" si="4"/>
        <v/>
      </c>
      <c r="I516" s="270"/>
      <c r="K516" s="264"/>
      <c r="L516" s="264"/>
    </row>
    <row r="517" spans="1:12" ht="12.65" customHeight="1" x14ac:dyDescent="0.3">
      <c r="A517" s="180" t="s">
        <v>534</v>
      </c>
      <c r="B517" s="243">
        <v>8956392</v>
      </c>
      <c r="C517" s="243" t="str">
        <f>Y72</f>
        <v>x</v>
      </c>
      <c r="D517" s="243">
        <v>146839</v>
      </c>
      <c r="E517" s="180">
        <f>Y59</f>
        <v>6848</v>
      </c>
      <c r="F517" s="266">
        <f t="shared" si="5"/>
        <v>60.994640388452659</v>
      </c>
      <c r="G517" s="266" t="str">
        <f t="shared" si="5"/>
        <v/>
      </c>
      <c r="H517" s="268" t="str">
        <f t="shared" si="4"/>
        <v/>
      </c>
      <c r="I517" s="270"/>
      <c r="K517" s="264"/>
      <c r="L517" s="264"/>
    </row>
    <row r="518" spans="1:12" ht="12.65" customHeight="1" x14ac:dyDescent="0.3">
      <c r="A518" s="180" t="s">
        <v>535</v>
      </c>
      <c r="B518" s="243">
        <v>17585421</v>
      </c>
      <c r="C518" s="243" t="str">
        <f>Z72</f>
        <v>x</v>
      </c>
      <c r="D518" s="243">
        <v>24260</v>
      </c>
      <c r="E518" s="180">
        <f>Z59</f>
        <v>0</v>
      </c>
      <c r="F518" s="266">
        <f t="shared" si="5"/>
        <v>724.87308326463312</v>
      </c>
      <c r="G518" s="266" t="str">
        <f t="shared" si="5"/>
        <v/>
      </c>
      <c r="H518" s="268" t="str">
        <f t="shared" si="4"/>
        <v/>
      </c>
      <c r="I518" s="270"/>
      <c r="K518" s="264"/>
      <c r="L518" s="264"/>
    </row>
    <row r="519" spans="1:12" ht="12.65" customHeight="1" x14ac:dyDescent="0.3">
      <c r="A519" s="180" t="s">
        <v>536</v>
      </c>
      <c r="B519" s="243">
        <v>2093570</v>
      </c>
      <c r="C519" s="243" t="str">
        <f>AA72</f>
        <v>x</v>
      </c>
      <c r="D519" s="243">
        <v>38874.47</v>
      </c>
      <c r="E519" s="180">
        <f>AA59</f>
        <v>328</v>
      </c>
      <c r="F519" s="266">
        <f t="shared" si="5"/>
        <v>53.854624899066145</v>
      </c>
      <c r="G519" s="266" t="str">
        <f t="shared" si="5"/>
        <v/>
      </c>
      <c r="H519" s="268" t="str">
        <f t="shared" si="4"/>
        <v/>
      </c>
      <c r="I519" s="270"/>
      <c r="K519" s="264"/>
      <c r="L519" s="264"/>
    </row>
    <row r="520" spans="1:12" ht="12.65" customHeight="1" x14ac:dyDescent="0.3">
      <c r="A520" s="180" t="s">
        <v>537</v>
      </c>
      <c r="B520" s="243">
        <v>11973528</v>
      </c>
      <c r="C520" s="243" t="str">
        <f>AB72</f>
        <v>x</v>
      </c>
      <c r="D520" s="181" t="s">
        <v>529</v>
      </c>
      <c r="E520" s="181" t="s">
        <v>529</v>
      </c>
      <c r="F520" s="266" t="str">
        <f t="shared" si="5"/>
        <v/>
      </c>
      <c r="G520" s="266" t="str">
        <f t="shared" si="5"/>
        <v/>
      </c>
      <c r="H520" s="268" t="str">
        <f t="shared" si="4"/>
        <v/>
      </c>
      <c r="I520" s="270"/>
      <c r="K520" s="264"/>
      <c r="L520" s="264"/>
    </row>
    <row r="521" spans="1:12" ht="12.65" customHeight="1" x14ac:dyDescent="0.3">
      <c r="A521" s="180" t="s">
        <v>538</v>
      </c>
      <c r="B521" s="243">
        <v>2657104</v>
      </c>
      <c r="C521" s="243" t="str">
        <f>AC72</f>
        <v>x</v>
      </c>
      <c r="D521" s="243">
        <v>0</v>
      </c>
      <c r="E521" s="180">
        <f>AC59</f>
        <v>450</v>
      </c>
      <c r="F521" s="266" t="str">
        <f t="shared" si="5"/>
        <v/>
      </c>
      <c r="G521" s="266" t="str">
        <f t="shared" si="5"/>
        <v/>
      </c>
      <c r="H521" s="268" t="str">
        <f t="shared" si="4"/>
        <v/>
      </c>
      <c r="I521" s="270"/>
      <c r="K521" s="264"/>
      <c r="L521" s="264"/>
    </row>
    <row r="522" spans="1:12" ht="12.65" customHeight="1" x14ac:dyDescent="0.3">
      <c r="A522" s="180" t="s">
        <v>539</v>
      </c>
      <c r="B522" s="243">
        <v>564627</v>
      </c>
      <c r="C522" s="243" t="str">
        <f>AD72</f>
        <v>x</v>
      </c>
      <c r="D522" s="243">
        <v>0</v>
      </c>
      <c r="E522" s="180">
        <f>AD59</f>
        <v>0</v>
      </c>
      <c r="F522" s="266" t="str">
        <f t="shared" si="5"/>
        <v/>
      </c>
      <c r="G522" s="266" t="str">
        <f t="shared" si="5"/>
        <v/>
      </c>
      <c r="H522" s="268" t="str">
        <f t="shared" si="4"/>
        <v/>
      </c>
      <c r="I522" s="270"/>
      <c r="K522" s="264"/>
      <c r="L522" s="264"/>
    </row>
    <row r="523" spans="1:12" ht="12.65" customHeight="1" x14ac:dyDescent="0.3">
      <c r="A523" s="180" t="s">
        <v>540</v>
      </c>
      <c r="B523" s="243">
        <v>2474179</v>
      </c>
      <c r="C523" s="243" t="str">
        <f>AE72</f>
        <v>x</v>
      </c>
      <c r="D523" s="243">
        <v>0</v>
      </c>
      <c r="E523" s="180">
        <f>AE59</f>
        <v>6259</v>
      </c>
      <c r="F523" s="266" t="str">
        <f t="shared" si="5"/>
        <v/>
      </c>
      <c r="G523" s="266" t="str">
        <f t="shared" si="5"/>
        <v/>
      </c>
      <c r="H523" s="268" t="str">
        <f t="shared" si="4"/>
        <v/>
      </c>
      <c r="I523" s="270"/>
      <c r="K523" s="264"/>
      <c r="L523" s="264"/>
    </row>
    <row r="524" spans="1:12" ht="12.65" customHeight="1" x14ac:dyDescent="0.3">
      <c r="A524" s="180" t="s">
        <v>541</v>
      </c>
      <c r="B524" s="243">
        <v>3972673</v>
      </c>
      <c r="C524" s="243" t="str">
        <f>AF72</f>
        <v>x</v>
      </c>
      <c r="D524" s="243">
        <v>32902</v>
      </c>
      <c r="E524" s="180">
        <f>AF59</f>
        <v>0</v>
      </c>
      <c r="F524" s="266">
        <f t="shared" si="5"/>
        <v>120.74259923408911</v>
      </c>
      <c r="G524" s="266" t="str">
        <f t="shared" si="5"/>
        <v/>
      </c>
      <c r="H524" s="268" t="str">
        <f t="shared" si="4"/>
        <v/>
      </c>
      <c r="I524" s="270"/>
      <c r="K524" s="264"/>
      <c r="L524" s="264"/>
    </row>
    <row r="525" spans="1:12" ht="12.65" customHeight="1" x14ac:dyDescent="0.3">
      <c r="A525" s="180" t="s">
        <v>542</v>
      </c>
      <c r="B525" s="243">
        <v>11843440</v>
      </c>
      <c r="C525" s="243" t="str">
        <f>AG72</f>
        <v>x</v>
      </c>
      <c r="D525" s="243">
        <v>44098</v>
      </c>
      <c r="E525" s="180">
        <f>AG59</f>
        <v>4102</v>
      </c>
      <c r="F525" s="266">
        <f t="shared" si="5"/>
        <v>268.5709102453626</v>
      </c>
      <c r="G525" s="266" t="str">
        <f t="shared" si="5"/>
        <v/>
      </c>
      <c r="H525" s="268" t="str">
        <f t="shared" si="4"/>
        <v/>
      </c>
      <c r="I525" s="270"/>
      <c r="K525" s="264"/>
      <c r="L525" s="264"/>
    </row>
    <row r="526" spans="1:12" ht="12.65" customHeight="1" x14ac:dyDescent="0.3">
      <c r="A526" s="180" t="s">
        <v>543</v>
      </c>
      <c r="B526" s="243">
        <v>0</v>
      </c>
      <c r="C526" s="243" t="str">
        <f>AH72</f>
        <v>x</v>
      </c>
      <c r="D526" s="243">
        <v>0</v>
      </c>
      <c r="E526" s="180">
        <f>AH59</f>
        <v>845</v>
      </c>
      <c r="F526" s="266" t="str">
        <f t="shared" si="5"/>
        <v/>
      </c>
      <c r="G526" s="266" t="str">
        <f t="shared" si="5"/>
        <v/>
      </c>
      <c r="H526" s="268" t="str">
        <f t="shared" si="4"/>
        <v/>
      </c>
      <c r="I526" s="270"/>
      <c r="K526" s="264"/>
      <c r="L526" s="264"/>
    </row>
    <row r="527" spans="1:12" ht="12.65" customHeight="1" x14ac:dyDescent="0.3">
      <c r="A527" s="180" t="s">
        <v>544</v>
      </c>
      <c r="B527" s="243">
        <v>0</v>
      </c>
      <c r="C527" s="243" t="str">
        <f>AI72</f>
        <v>x</v>
      </c>
      <c r="D527" s="243">
        <v>0</v>
      </c>
      <c r="E527" s="180">
        <f>AI59</f>
        <v>382</v>
      </c>
      <c r="F527" s="266" t="str">
        <f t="shared" ref="F527:G539" si="6">IF(B527=0,"",IF(D527=0,"",B527/D527))</f>
        <v/>
      </c>
      <c r="G527" s="266" t="str">
        <f t="shared" si="6"/>
        <v/>
      </c>
      <c r="H527" s="268" t="str">
        <f t="shared" si="4"/>
        <v/>
      </c>
      <c r="I527" s="270"/>
      <c r="K527" s="264"/>
      <c r="L527" s="264"/>
    </row>
    <row r="528" spans="1:12" ht="12.65" customHeight="1" x14ac:dyDescent="0.3">
      <c r="A528" s="180" t="s">
        <v>545</v>
      </c>
      <c r="B528" s="243">
        <v>2123212</v>
      </c>
      <c r="C528" s="243" t="str">
        <f>AJ72</f>
        <v>x</v>
      </c>
      <c r="D528" s="243">
        <v>23069</v>
      </c>
      <c r="E528" s="180">
        <f>AJ59</f>
        <v>17522</v>
      </c>
      <c r="F528" s="266">
        <f t="shared" si="6"/>
        <v>92.037452858814859</v>
      </c>
      <c r="G528" s="266" t="str">
        <f t="shared" si="6"/>
        <v/>
      </c>
      <c r="H528" s="268" t="str">
        <f t="shared" si="4"/>
        <v/>
      </c>
      <c r="I528" s="270"/>
      <c r="K528" s="264"/>
      <c r="L528" s="264"/>
    </row>
    <row r="529" spans="1:12" ht="12.65" customHeight="1" x14ac:dyDescent="0.3">
      <c r="A529" s="180" t="s">
        <v>546</v>
      </c>
      <c r="B529" s="243">
        <v>468609</v>
      </c>
      <c r="C529" s="243" t="str">
        <f>AK72</f>
        <v>x</v>
      </c>
      <c r="D529" s="243">
        <v>0</v>
      </c>
      <c r="E529" s="180">
        <f>AK59</f>
        <v>0</v>
      </c>
      <c r="F529" s="266" t="str">
        <f t="shared" si="6"/>
        <v/>
      </c>
      <c r="G529" s="266" t="str">
        <f t="shared" si="6"/>
        <v/>
      </c>
      <c r="H529" s="268" t="str">
        <f t="shared" si="4"/>
        <v/>
      </c>
      <c r="I529" s="270"/>
      <c r="K529" s="264"/>
      <c r="L529" s="264"/>
    </row>
    <row r="530" spans="1:12" ht="12.65" customHeight="1" x14ac:dyDescent="0.3">
      <c r="A530" s="180" t="s">
        <v>547</v>
      </c>
      <c r="B530" s="243">
        <v>392840</v>
      </c>
      <c r="C530" s="243" t="str">
        <f>AL72</f>
        <v>x</v>
      </c>
      <c r="D530" s="243">
        <v>0</v>
      </c>
      <c r="E530" s="180">
        <f>AL59</f>
        <v>0</v>
      </c>
      <c r="F530" s="266" t="str">
        <f t="shared" si="6"/>
        <v/>
      </c>
      <c r="G530" s="266" t="str">
        <f t="shared" si="6"/>
        <v/>
      </c>
      <c r="H530" s="268" t="str">
        <f t="shared" si="4"/>
        <v/>
      </c>
      <c r="I530" s="270"/>
      <c r="K530" s="264"/>
      <c r="L530" s="264"/>
    </row>
    <row r="531" spans="1:12" ht="12.65" customHeight="1" x14ac:dyDescent="0.3">
      <c r="A531" s="180" t="s">
        <v>548</v>
      </c>
      <c r="B531" s="243">
        <v>0</v>
      </c>
      <c r="C531" s="243" t="str">
        <f>AM72</f>
        <v>x</v>
      </c>
      <c r="D531" s="243">
        <v>0</v>
      </c>
      <c r="E531" s="180">
        <f>AM59</f>
        <v>0</v>
      </c>
      <c r="F531" s="266" t="str">
        <f t="shared" si="6"/>
        <v/>
      </c>
      <c r="G531" s="266" t="str">
        <f t="shared" si="6"/>
        <v/>
      </c>
      <c r="H531" s="268" t="str">
        <f t="shared" si="4"/>
        <v/>
      </c>
      <c r="I531" s="270"/>
      <c r="K531" s="264"/>
      <c r="L531" s="264"/>
    </row>
    <row r="532" spans="1:12" ht="12.65" customHeight="1" x14ac:dyDescent="0.3">
      <c r="A532" s="180" t="s">
        <v>1247</v>
      </c>
      <c r="B532" s="243">
        <v>0</v>
      </c>
      <c r="C532" s="243" t="str">
        <f>AN72</f>
        <v>x</v>
      </c>
      <c r="D532" s="243">
        <v>0</v>
      </c>
      <c r="E532" s="180">
        <f>AN59</f>
        <v>0</v>
      </c>
      <c r="F532" s="266" t="str">
        <f t="shared" si="6"/>
        <v/>
      </c>
      <c r="G532" s="266" t="str">
        <f t="shared" si="6"/>
        <v/>
      </c>
      <c r="H532" s="268" t="str">
        <f t="shared" si="4"/>
        <v/>
      </c>
      <c r="I532" s="270"/>
      <c r="K532" s="264"/>
      <c r="L532" s="264"/>
    </row>
    <row r="533" spans="1:12" ht="12.65" customHeight="1" x14ac:dyDescent="0.3">
      <c r="A533" s="180" t="s">
        <v>549</v>
      </c>
      <c r="B533" s="243">
        <v>0</v>
      </c>
      <c r="C533" s="243" t="str">
        <f>AO72</f>
        <v>x</v>
      </c>
      <c r="D533" s="243">
        <v>0</v>
      </c>
      <c r="E533" s="180">
        <f>AO59</f>
        <v>0</v>
      </c>
      <c r="F533" s="266" t="str">
        <f t="shared" si="6"/>
        <v/>
      </c>
      <c r="G533" s="266" t="str">
        <f t="shared" si="6"/>
        <v/>
      </c>
      <c r="H533" s="268" t="str">
        <f t="shared" si="4"/>
        <v/>
      </c>
      <c r="I533" s="270"/>
      <c r="K533" s="264"/>
      <c r="L533" s="264"/>
    </row>
    <row r="534" spans="1:12" ht="12.65" customHeight="1" x14ac:dyDescent="0.3">
      <c r="A534" s="180" t="s">
        <v>550</v>
      </c>
      <c r="B534" s="243">
        <v>52726844</v>
      </c>
      <c r="C534" s="243" t="str">
        <f>AP72</f>
        <v>x</v>
      </c>
      <c r="D534" s="243">
        <v>190475</v>
      </c>
      <c r="E534" s="180">
        <f>AP59</f>
        <v>0</v>
      </c>
      <c r="F534" s="266">
        <f t="shared" si="6"/>
        <v>276.81766111038195</v>
      </c>
      <c r="G534" s="266" t="str">
        <f t="shared" si="6"/>
        <v/>
      </c>
      <c r="H534" s="268" t="str">
        <f t="shared" si="4"/>
        <v/>
      </c>
      <c r="I534" s="270"/>
      <c r="K534" s="264"/>
      <c r="L534" s="264"/>
    </row>
    <row r="535" spans="1:12" ht="12.65" customHeight="1" x14ac:dyDescent="0.3">
      <c r="A535" s="180" t="s">
        <v>551</v>
      </c>
      <c r="B535" s="243">
        <v>0</v>
      </c>
      <c r="C535" s="243" t="str">
        <f>AQ72</f>
        <v>x</v>
      </c>
      <c r="D535" s="243">
        <v>0</v>
      </c>
      <c r="E535" s="180">
        <f>AQ59</f>
        <v>0</v>
      </c>
      <c r="F535" s="266" t="str">
        <f t="shared" si="6"/>
        <v/>
      </c>
      <c r="G535" s="266" t="str">
        <f t="shared" si="6"/>
        <v/>
      </c>
      <c r="H535" s="268" t="str">
        <f t="shared" si="4"/>
        <v/>
      </c>
      <c r="I535" s="270"/>
      <c r="K535" s="264"/>
      <c r="L535" s="264"/>
    </row>
    <row r="536" spans="1:12" ht="12.65" customHeight="1" x14ac:dyDescent="0.3">
      <c r="A536" s="180" t="s">
        <v>552</v>
      </c>
      <c r="B536" s="243">
        <v>0</v>
      </c>
      <c r="C536" s="243" t="str">
        <f>AR72</f>
        <v>x</v>
      </c>
      <c r="D536" s="243">
        <v>0</v>
      </c>
      <c r="E536" s="180">
        <f>AR59</f>
        <v>0</v>
      </c>
      <c r="F536" s="266" t="str">
        <f t="shared" si="6"/>
        <v/>
      </c>
      <c r="G536" s="266" t="str">
        <f t="shared" si="6"/>
        <v/>
      </c>
      <c r="H536" s="268" t="str">
        <f t="shared" si="4"/>
        <v/>
      </c>
      <c r="I536" s="270"/>
      <c r="K536" s="264"/>
      <c r="L536" s="264"/>
    </row>
    <row r="537" spans="1:12" ht="12.65" customHeight="1" x14ac:dyDescent="0.3">
      <c r="A537" s="180" t="s">
        <v>553</v>
      </c>
      <c r="B537" s="243">
        <v>0</v>
      </c>
      <c r="C537" s="243" t="str">
        <f>AS72</f>
        <v>x</v>
      </c>
      <c r="D537" s="243">
        <v>0</v>
      </c>
      <c r="E537" s="180">
        <f>AS59</f>
        <v>0</v>
      </c>
      <c r="F537" s="266" t="str">
        <f t="shared" si="6"/>
        <v/>
      </c>
      <c r="G537" s="266" t="str">
        <f t="shared" si="6"/>
        <v/>
      </c>
      <c r="H537" s="268" t="str">
        <f t="shared" si="4"/>
        <v/>
      </c>
      <c r="I537" s="270"/>
      <c r="K537" s="264"/>
      <c r="L537" s="264"/>
    </row>
    <row r="538" spans="1:12" ht="12.65" customHeight="1" x14ac:dyDescent="0.3">
      <c r="A538" s="180" t="s">
        <v>554</v>
      </c>
      <c r="B538" s="243">
        <v>0</v>
      </c>
      <c r="C538" s="243" t="str">
        <f>AT72</f>
        <v>x</v>
      </c>
      <c r="D538" s="243">
        <v>0</v>
      </c>
      <c r="E538" s="180">
        <f>AT59</f>
        <v>0</v>
      </c>
      <c r="F538" s="266" t="str">
        <f t="shared" si="6"/>
        <v/>
      </c>
      <c r="G538" s="266" t="str">
        <f t="shared" si="6"/>
        <v/>
      </c>
      <c r="H538" s="268" t="str">
        <f t="shared" si="4"/>
        <v/>
      </c>
      <c r="I538" s="270"/>
      <c r="K538" s="264"/>
      <c r="L538" s="264"/>
    </row>
    <row r="539" spans="1:12" ht="12.65" customHeight="1" x14ac:dyDescent="0.3">
      <c r="A539" s="180" t="s">
        <v>555</v>
      </c>
      <c r="B539" s="243">
        <v>0</v>
      </c>
      <c r="C539" s="243" t="str">
        <f>AU72</f>
        <v>x</v>
      </c>
      <c r="D539" s="243">
        <v>0</v>
      </c>
      <c r="E539" s="180">
        <f>AU59</f>
        <v>18114</v>
      </c>
      <c r="F539" s="266" t="str">
        <f t="shared" si="6"/>
        <v/>
      </c>
      <c r="G539" s="266" t="str">
        <f t="shared" si="6"/>
        <v/>
      </c>
      <c r="H539" s="268" t="str">
        <f t="shared" si="4"/>
        <v/>
      </c>
      <c r="I539" s="270"/>
      <c r="K539" s="264"/>
      <c r="L539" s="264"/>
    </row>
    <row r="540" spans="1:12" ht="12.65" customHeight="1" x14ac:dyDescent="0.3">
      <c r="A540" s="180" t="s">
        <v>556</v>
      </c>
      <c r="B540" s="243">
        <v>1983283</v>
      </c>
      <c r="C540" s="243" t="str">
        <f>AV72</f>
        <v>x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">
      <c r="A541" s="180" t="s">
        <v>1248</v>
      </c>
      <c r="B541" s="243">
        <v>96382</v>
      </c>
      <c r="C541" s="243" t="str">
        <f>AW72</f>
        <v>x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">
      <c r="A542" s="180" t="s">
        <v>557</v>
      </c>
      <c r="B542" s="243">
        <v>0</v>
      </c>
      <c r="C542" s="243" t="str">
        <f>AX72</f>
        <v>x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">
      <c r="A543" s="180" t="s">
        <v>558</v>
      </c>
      <c r="B543" s="243">
        <v>646580</v>
      </c>
      <c r="C543" s="243" t="str">
        <f>AY72</f>
        <v>x</v>
      </c>
      <c r="D543" s="243">
        <v>285759</v>
      </c>
      <c r="E543" s="180">
        <f>AY59</f>
        <v>25845</v>
      </c>
      <c r="F543" s="266">
        <f t="shared" ref="F543:G549" si="7">IF(B543=0,"",IF(D543=0,"",B543/D543))</f>
        <v>2.2626758912230236</v>
      </c>
      <c r="G543" s="266" t="str">
        <f t="shared" si="7"/>
        <v/>
      </c>
      <c r="H543" s="268" t="str">
        <f t="shared" si="4"/>
        <v/>
      </c>
      <c r="I543" s="270"/>
      <c r="K543" s="264"/>
      <c r="L543" s="264"/>
    </row>
    <row r="544" spans="1:12" ht="12.65" customHeight="1" x14ac:dyDescent="0.3">
      <c r="A544" s="180" t="s">
        <v>559</v>
      </c>
      <c r="B544" s="243">
        <v>4466226</v>
      </c>
      <c r="C544" s="243" t="str">
        <f>AZ72</f>
        <v>x</v>
      </c>
      <c r="D544" s="243">
        <v>1081972</v>
      </c>
      <c r="E544" s="180">
        <f>AZ59</f>
        <v>0</v>
      </c>
      <c r="F544" s="266">
        <f t="shared" si="7"/>
        <v>4.1278572828132338</v>
      </c>
      <c r="G544" s="266" t="str">
        <f t="shared" si="7"/>
        <v/>
      </c>
      <c r="H544" s="268" t="str">
        <f t="shared" si="4"/>
        <v/>
      </c>
      <c r="I544" s="270"/>
      <c r="K544" s="264"/>
      <c r="L544" s="264"/>
    </row>
    <row r="545" spans="1:13" ht="12.65" customHeight="1" x14ac:dyDescent="0.3">
      <c r="A545" s="180" t="s">
        <v>560</v>
      </c>
      <c r="B545" s="243">
        <v>276882</v>
      </c>
      <c r="C545" s="243" t="str">
        <f>BA72</f>
        <v>x</v>
      </c>
      <c r="D545" s="243">
        <v>0</v>
      </c>
      <c r="E545" s="180">
        <f>BA59</f>
        <v>0</v>
      </c>
      <c r="F545" s="266" t="str">
        <f t="shared" si="7"/>
        <v/>
      </c>
      <c r="G545" s="266" t="str">
        <f t="shared" si="7"/>
        <v/>
      </c>
      <c r="H545" s="268" t="str">
        <f t="shared" si="4"/>
        <v/>
      </c>
      <c r="I545" s="270"/>
      <c r="K545" s="264"/>
      <c r="L545" s="264"/>
    </row>
    <row r="546" spans="1:13" ht="12.65" customHeight="1" x14ac:dyDescent="0.3">
      <c r="A546" s="180" t="s">
        <v>561</v>
      </c>
      <c r="B546" s="243">
        <v>2219789</v>
      </c>
      <c r="C546" s="243" t="str">
        <f>BB72</f>
        <v>x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">
      <c r="A547" s="180" t="s">
        <v>562</v>
      </c>
      <c r="B547" s="243">
        <v>0</v>
      </c>
      <c r="C547" s="243" t="str">
        <f>BC72</f>
        <v>x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">
      <c r="A548" s="180" t="s">
        <v>563</v>
      </c>
      <c r="B548" s="243">
        <v>1192055</v>
      </c>
      <c r="C548" s="243" t="str">
        <f>BD72</f>
        <v>x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">
      <c r="A549" s="180" t="s">
        <v>564</v>
      </c>
      <c r="B549" s="243">
        <v>9757658</v>
      </c>
      <c r="C549" s="243" t="str">
        <f>BE72</f>
        <v>x</v>
      </c>
      <c r="D549" s="243">
        <v>564884</v>
      </c>
      <c r="E549" s="180">
        <f>BE59</f>
        <v>56157</v>
      </c>
      <c r="F549" s="266">
        <f t="shared" si="7"/>
        <v>17.27373761692666</v>
      </c>
      <c r="G549" s="266" t="str">
        <f t="shared" si="7"/>
        <v/>
      </c>
      <c r="H549" s="268" t="str">
        <f t="shared" si="4"/>
        <v/>
      </c>
      <c r="I549" s="270"/>
      <c r="K549" s="264"/>
      <c r="L549" s="264"/>
    </row>
    <row r="550" spans="1:13" ht="12.65" customHeight="1" x14ac:dyDescent="0.3">
      <c r="A550" s="180" t="s">
        <v>565</v>
      </c>
      <c r="B550" s="243">
        <v>4700501</v>
      </c>
      <c r="C550" s="243" t="str">
        <f>BF72</f>
        <v>x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">
      <c r="A551" s="180" t="s">
        <v>566</v>
      </c>
      <c r="B551" s="243">
        <v>610351</v>
      </c>
      <c r="C551" s="243" t="str">
        <f>BG72</f>
        <v>x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">
      <c r="A552" s="180" t="s">
        <v>567</v>
      </c>
      <c r="B552" s="243">
        <v>28930273</v>
      </c>
      <c r="C552" s="243" t="str">
        <f>BH72</f>
        <v>x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">
      <c r="A553" s="180" t="s">
        <v>568</v>
      </c>
      <c r="B553" s="243">
        <v>-11751</v>
      </c>
      <c r="C553" s="243" t="str">
        <f>BI72</f>
        <v>x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">
      <c r="A554" s="180" t="s">
        <v>569</v>
      </c>
      <c r="B554" s="243">
        <v>1918608</v>
      </c>
      <c r="C554" s="243" t="str">
        <f>BJ72</f>
        <v>x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">
      <c r="A555" s="180" t="s">
        <v>570</v>
      </c>
      <c r="B555" s="243">
        <v>4520064</v>
      </c>
      <c r="C555" s="243" t="str">
        <f>BK72</f>
        <v>x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">
      <c r="A556" s="180" t="s">
        <v>571</v>
      </c>
      <c r="B556" s="243">
        <v>5787754</v>
      </c>
      <c r="C556" s="243" t="str">
        <f>BL72</f>
        <v>x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">
      <c r="A557" s="180" t="s">
        <v>572</v>
      </c>
      <c r="B557" s="243">
        <v>0</v>
      </c>
      <c r="C557" s="243" t="str">
        <f>BM72</f>
        <v>x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">
      <c r="A558" s="180" t="s">
        <v>573</v>
      </c>
      <c r="B558" s="243">
        <v>8034118</v>
      </c>
      <c r="C558" s="243" t="str">
        <f>BN72</f>
        <v>x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">
      <c r="A559" s="180" t="s">
        <v>574</v>
      </c>
      <c r="B559" s="243">
        <v>287037</v>
      </c>
      <c r="C559" s="243" t="str">
        <f>BO72</f>
        <v>x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">
      <c r="A560" s="180" t="s">
        <v>575</v>
      </c>
      <c r="B560" s="243">
        <v>2708727</v>
      </c>
      <c r="C560" s="243" t="str">
        <f>BP72</f>
        <v>x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">
      <c r="A561" s="180" t="s">
        <v>576</v>
      </c>
      <c r="B561" s="243">
        <v>1483071</v>
      </c>
      <c r="C561" s="243" t="str">
        <f>BQ72</f>
        <v>x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">
      <c r="A562" s="180" t="s">
        <v>577</v>
      </c>
      <c r="B562" s="243">
        <v>3493607</v>
      </c>
      <c r="C562" s="243" t="str">
        <f>BR72</f>
        <v>x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">
      <c r="A563" s="180" t="s">
        <v>1249</v>
      </c>
      <c r="B563" s="243">
        <v>72645</v>
      </c>
      <c r="C563" s="243" t="str">
        <f>BS72</f>
        <v>x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">
      <c r="A564" s="180" t="s">
        <v>578</v>
      </c>
      <c r="B564" s="243">
        <v>97302</v>
      </c>
      <c r="C564" s="243" t="str">
        <f>BT72</f>
        <v>x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">
      <c r="A565" s="180" t="s">
        <v>579</v>
      </c>
      <c r="B565" s="243">
        <v>0</v>
      </c>
      <c r="C565" s="243" t="str">
        <f>BU72</f>
        <v>x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">
      <c r="A566" s="180" t="s">
        <v>580</v>
      </c>
      <c r="B566" s="243">
        <v>3525872</v>
      </c>
      <c r="C566" s="243" t="str">
        <f>BV72</f>
        <v>x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">
      <c r="A567" s="180" t="s">
        <v>581</v>
      </c>
      <c r="B567" s="243">
        <v>1557491</v>
      </c>
      <c r="C567" s="243" t="str">
        <f>BW72</f>
        <v>x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">
      <c r="A568" s="180" t="s">
        <v>582</v>
      </c>
      <c r="B568" s="243">
        <v>773855</v>
      </c>
      <c r="C568" s="243" t="str">
        <f>BX72</f>
        <v>x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">
      <c r="A569" s="180" t="s">
        <v>583</v>
      </c>
      <c r="B569" s="243">
        <v>4571883</v>
      </c>
      <c r="C569" s="243" t="str">
        <f>BY72</f>
        <v>x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">
      <c r="A570" s="180" t="s">
        <v>584</v>
      </c>
      <c r="B570" s="243">
        <v>599653</v>
      </c>
      <c r="C570" s="243" t="str">
        <f>BZ72</f>
        <v>x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">
      <c r="A571" s="180" t="s">
        <v>585</v>
      </c>
      <c r="B571" s="243">
        <v>1447841</v>
      </c>
      <c r="C571" s="243" t="str">
        <f>CA72</f>
        <v>x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">
      <c r="A572" s="180" t="s">
        <v>586</v>
      </c>
      <c r="B572" s="243">
        <v>983783</v>
      </c>
      <c r="C572" s="243" t="str">
        <f>CB72</f>
        <v>x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">
      <c r="A573" s="180" t="s">
        <v>587</v>
      </c>
      <c r="B573" s="243">
        <v>8595100</v>
      </c>
      <c r="C573" s="243" t="str">
        <f>CC72</f>
        <v>x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">
      <c r="A574" s="180" t="s">
        <v>588</v>
      </c>
      <c r="B574" s="243">
        <v>41487391</v>
      </c>
      <c r="C574" s="243" t="str">
        <f>CD72</f>
        <v>x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">
      <c r="M575" s="268"/>
    </row>
    <row r="576" spans="1:13" ht="12.65" customHeight="1" x14ac:dyDescent="0.3">
      <c r="M576" s="268"/>
    </row>
    <row r="577" spans="13:13" ht="12.65" customHeight="1" x14ac:dyDescent="0.3">
      <c r="M577" s="268"/>
    </row>
    <row r="611" spans="1:14" ht="12.65" customHeight="1" x14ac:dyDescent="0.3">
      <c r="A611" s="196"/>
      <c r="C611" s="181" t="s">
        <v>589</v>
      </c>
      <c r="D611" s="180">
        <f>CE77-(BE77+CD77)</f>
        <v>25845</v>
      </c>
      <c r="E611" s="180">
        <f>SUM(C623:D646)+SUM(C667:D712)</f>
        <v>2410072</v>
      </c>
      <c r="F611" s="180">
        <f>CE64-(AX64+BD64+BE64+BG64+BJ64+BN64+BP64+BQ64+CB64+CC64+CD64)</f>
        <v>3163929</v>
      </c>
      <c r="G611" s="180">
        <f>CE78-(AX78+AY78+BD78+BE78+BG78+BJ78+BN78+BP78+BQ78+CB78+CC78+CD78)</f>
        <v>14108</v>
      </c>
      <c r="H611" s="197">
        <f>CE60-(AX60+AY60+AZ60+BD60+BE60+BG60+BJ60+BN60+BO60+BP60+BQ60+BR60+CB60+CC60+CD60)</f>
        <v>204.31</v>
      </c>
      <c r="I611" s="180">
        <f>CE79-(AX79+AY79+AZ79+BD79+BE79+BF79+BG79+BJ79+BN79+BO79+BP79+BQ79+BR79+CB79+CC79+CD79)</f>
        <v>285006</v>
      </c>
      <c r="J611" s="180">
        <f>CE80-(AX80+AY80+AZ80+BA80+BD80+BE80+BF80+BG80+BJ80+BN80+BO80+BP80+BQ80+BR80+CB80+CC80+CD80)</f>
        <v>32.46</v>
      </c>
      <c r="K611" s="180">
        <f>CE76-(AW76+AX76+AY76+AZ76+BA76+BB76+BC76+BD76+BE76+BF76+BG76+BH76+BI76+BJ76+BK76+BL76+BM76+BN76+BO76+BP76+BQ76+BR76+BS76+BT76+BU76+BV76+BW76+BX76+CB76+CC76+CD76)</f>
        <v>41490</v>
      </c>
      <c r="L611" s="197">
        <f>CE81-(AW81+AX81+AY81+AZ81+BA81+BB81+BC81+BD81+BE81+BF81+BG81+BH81+BI81+BJ81+BK81+BL81+BM81+BN81+BO81+BP81+BQ81+BR81+BS81+BT81+BU81+BV81+BW81+BX81+BY81+BZ81+CA81+CB81+CC81+CD81)</f>
        <v>0</v>
      </c>
    </row>
    <row r="612" spans="1:14" ht="12.65" customHeight="1" x14ac:dyDescent="0.3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">
      <c r="A613" s="196">
        <v>8430</v>
      </c>
      <c r="B613" s="198" t="s">
        <v>140</v>
      </c>
      <c r="C613" s="180" t="str">
        <f>BE72</f>
        <v>x</v>
      </c>
      <c r="N613" s="199" t="s">
        <v>600</v>
      </c>
    </row>
    <row r="614" spans="1:14" ht="12.65" customHeight="1" x14ac:dyDescent="0.3">
      <c r="A614" s="196"/>
      <c r="B614" s="198" t="s">
        <v>601</v>
      </c>
      <c r="C614" s="180">
        <f>CD69+CD70-CD71</f>
        <v>2410072</v>
      </c>
      <c r="D614" s="269">
        <f>SUM(C613:C614)</f>
        <v>2410072</v>
      </c>
      <c r="N614" s="199" t="s">
        <v>602</v>
      </c>
    </row>
    <row r="615" spans="1:14" ht="12.65" customHeight="1" x14ac:dyDescent="0.3">
      <c r="A615" s="196">
        <v>8310</v>
      </c>
      <c r="B615" s="200" t="s">
        <v>603</v>
      </c>
      <c r="C615" s="180" t="str">
        <f>AX72</f>
        <v>x</v>
      </c>
      <c r="D615" s="180">
        <f>(D614/D611)*AX77</f>
        <v>0</v>
      </c>
      <c r="N615" s="199" t="s">
        <v>604</v>
      </c>
    </row>
    <row r="616" spans="1:14" ht="12.65" customHeight="1" x14ac:dyDescent="0.3">
      <c r="A616" s="196">
        <v>8510</v>
      </c>
      <c r="B616" s="200" t="s">
        <v>145</v>
      </c>
      <c r="C616" s="180" t="str">
        <f>BJ72</f>
        <v>x</v>
      </c>
      <c r="D616" s="180">
        <f>(D614/D611)*BJ77</f>
        <v>0</v>
      </c>
      <c r="N616" s="199" t="s">
        <v>605</v>
      </c>
    </row>
    <row r="617" spans="1:14" ht="12.65" customHeight="1" x14ac:dyDescent="0.3">
      <c r="A617" s="196">
        <v>8470</v>
      </c>
      <c r="B617" s="200" t="s">
        <v>606</v>
      </c>
      <c r="C617" s="180" t="str">
        <f>BG72</f>
        <v>x</v>
      </c>
      <c r="D617" s="180">
        <f>(D614/D611)*BG77</f>
        <v>0</v>
      </c>
      <c r="N617" s="199" t="s">
        <v>607</v>
      </c>
    </row>
    <row r="618" spans="1:14" ht="12.65" customHeight="1" x14ac:dyDescent="0.3">
      <c r="A618" s="196">
        <v>8610</v>
      </c>
      <c r="B618" s="200" t="s">
        <v>608</v>
      </c>
      <c r="C618" s="180" t="str">
        <f>BN72</f>
        <v>x</v>
      </c>
      <c r="D618" s="180">
        <f>(D614/D611)*BN77</f>
        <v>0</v>
      </c>
      <c r="N618" s="199" t="s">
        <v>609</v>
      </c>
    </row>
    <row r="619" spans="1:14" ht="12.65" customHeight="1" x14ac:dyDescent="0.3">
      <c r="A619" s="196">
        <v>8790</v>
      </c>
      <c r="B619" s="200" t="s">
        <v>610</v>
      </c>
      <c r="C619" s="180" t="str">
        <f>CC72</f>
        <v>x</v>
      </c>
      <c r="D619" s="180">
        <f>(D614/D611)*CC77</f>
        <v>0</v>
      </c>
      <c r="N619" s="199" t="s">
        <v>611</v>
      </c>
    </row>
    <row r="620" spans="1:14" ht="12.65" customHeight="1" x14ac:dyDescent="0.3">
      <c r="A620" s="196">
        <v>8630</v>
      </c>
      <c r="B620" s="200" t="s">
        <v>612</v>
      </c>
      <c r="C620" s="180" t="str">
        <f>BP72</f>
        <v>x</v>
      </c>
      <c r="D620" s="180">
        <f>(D614/D611)*BP77</f>
        <v>0</v>
      </c>
      <c r="N620" s="199" t="s">
        <v>613</v>
      </c>
    </row>
    <row r="621" spans="1:14" ht="12.65" customHeight="1" x14ac:dyDescent="0.3">
      <c r="A621" s="196">
        <v>8770</v>
      </c>
      <c r="B621" s="198" t="s">
        <v>614</v>
      </c>
      <c r="C621" s="180" t="str">
        <f>CB72</f>
        <v>x</v>
      </c>
      <c r="D621" s="180">
        <f>(D614/D611)*CB77</f>
        <v>0</v>
      </c>
      <c r="N621" s="199" t="s">
        <v>615</v>
      </c>
    </row>
    <row r="622" spans="1:14" ht="12.65" customHeight="1" x14ac:dyDescent="0.3">
      <c r="A622" s="196">
        <v>8640</v>
      </c>
      <c r="B622" s="200" t="s">
        <v>616</v>
      </c>
      <c r="C622" s="180" t="str">
        <f>BQ72</f>
        <v>x</v>
      </c>
      <c r="D622" s="180">
        <f>(D614/D611)*BQ77</f>
        <v>0</v>
      </c>
      <c r="E622" s="180">
        <f>SUM(C615:D622)</f>
        <v>0</v>
      </c>
      <c r="N622" s="199" t="s">
        <v>617</v>
      </c>
    </row>
    <row r="623" spans="1:14" ht="12.65" customHeight="1" x14ac:dyDescent="0.3">
      <c r="A623" s="196">
        <v>8420</v>
      </c>
      <c r="B623" s="200" t="s">
        <v>139</v>
      </c>
      <c r="C623" s="180" t="str">
        <f>BD72</f>
        <v>x</v>
      </c>
      <c r="D623" s="180">
        <f>(D614/D611)*BD77</f>
        <v>0</v>
      </c>
      <c r="E623" s="180">
        <f>(E622/E611)*SUM(C623:D623)</f>
        <v>0</v>
      </c>
      <c r="F623" s="180">
        <f>SUM(C623:E623)</f>
        <v>0</v>
      </c>
      <c r="N623" s="199" t="s">
        <v>618</v>
      </c>
    </row>
    <row r="624" spans="1:14" ht="12.65" customHeight="1" x14ac:dyDescent="0.3">
      <c r="A624" s="196">
        <v>8320</v>
      </c>
      <c r="B624" s="200" t="s">
        <v>135</v>
      </c>
      <c r="C624" s="180" t="str">
        <f>AY72</f>
        <v>x</v>
      </c>
      <c r="D624" s="180">
        <f>(D614/D611)*AY77</f>
        <v>0</v>
      </c>
      <c r="E624" s="180">
        <f>(E622/E611)*SUM(C624:D624)</f>
        <v>0</v>
      </c>
      <c r="F624" s="180">
        <f>(F623/F611)*AY64</f>
        <v>0</v>
      </c>
      <c r="G624" s="180">
        <f>SUM(C624:F624)</f>
        <v>0</v>
      </c>
      <c r="N624" s="199" t="s">
        <v>619</v>
      </c>
    </row>
    <row r="625" spans="1:14" ht="12.65" customHeight="1" x14ac:dyDescent="0.3">
      <c r="A625" s="196">
        <v>8650</v>
      </c>
      <c r="B625" s="200" t="s">
        <v>152</v>
      </c>
      <c r="C625" s="180" t="str">
        <f>BR72</f>
        <v>x</v>
      </c>
      <c r="D625" s="180">
        <f>(D614/D611)*BR77</f>
        <v>0</v>
      </c>
      <c r="E625" s="180">
        <f>(E622/E611)*SUM(C625:D625)</f>
        <v>0</v>
      </c>
      <c r="F625" s="180">
        <f>(F623/F611)*BR64</f>
        <v>0</v>
      </c>
      <c r="G625" s="180">
        <f>(G624/G611)*BR78</f>
        <v>0</v>
      </c>
      <c r="N625" s="199" t="s">
        <v>620</v>
      </c>
    </row>
    <row r="626" spans="1:14" ht="12.65" customHeight="1" x14ac:dyDescent="0.3">
      <c r="A626" s="196">
        <v>8620</v>
      </c>
      <c r="B626" s="198" t="s">
        <v>621</v>
      </c>
      <c r="C626" s="180" t="str">
        <f>BO72</f>
        <v>x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5" customHeight="1" x14ac:dyDescent="0.3">
      <c r="A627" s="196">
        <v>8330</v>
      </c>
      <c r="B627" s="200" t="s">
        <v>136</v>
      </c>
      <c r="C627" s="180" t="str">
        <f>AZ72</f>
        <v>x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0</v>
      </c>
      <c r="H627" s="180">
        <f>SUM(C625:G627)</f>
        <v>0</v>
      </c>
      <c r="N627" s="199" t="s">
        <v>623</v>
      </c>
    </row>
    <row r="628" spans="1:14" ht="12.65" customHeight="1" x14ac:dyDescent="0.3">
      <c r="A628" s="196">
        <v>8460</v>
      </c>
      <c r="B628" s="200" t="s">
        <v>141</v>
      </c>
      <c r="C628" s="180" t="str">
        <f>BF72</f>
        <v>x</v>
      </c>
      <c r="D628" s="180">
        <f>(D614/D611)*BF77</f>
        <v>0</v>
      </c>
      <c r="E628" s="180">
        <f>(E622/E611)*SUM(C628:D628)</f>
        <v>0</v>
      </c>
      <c r="F628" s="180">
        <f>(F623/F611)*BF64</f>
        <v>0</v>
      </c>
      <c r="G628" s="180">
        <f>(G624/G611)*BF78</f>
        <v>0</v>
      </c>
      <c r="H628" s="180">
        <f>(H627/H611)*BF60</f>
        <v>0</v>
      </c>
      <c r="I628" s="180">
        <f>SUM(C628:H628)</f>
        <v>0</v>
      </c>
      <c r="N628" s="199" t="s">
        <v>624</v>
      </c>
    </row>
    <row r="629" spans="1:14" ht="12.65" customHeight="1" x14ac:dyDescent="0.3">
      <c r="A629" s="196">
        <v>8350</v>
      </c>
      <c r="B629" s="200" t="s">
        <v>625</v>
      </c>
      <c r="C629" s="180" t="str">
        <f>BA72</f>
        <v>x</v>
      </c>
      <c r="D629" s="180">
        <f>(D614/D611)*BA77</f>
        <v>0</v>
      </c>
      <c r="E629" s="180">
        <f>(E622/E611)*SUM(C629:D629)</f>
        <v>0</v>
      </c>
      <c r="F629" s="180">
        <f>(F623/F611)*BA64</f>
        <v>0</v>
      </c>
      <c r="G629" s="180">
        <f>(G624/G611)*BA78</f>
        <v>0</v>
      </c>
      <c r="H629" s="180">
        <f>(H627/H611)*BA60</f>
        <v>0</v>
      </c>
      <c r="I629" s="180">
        <f>(I628/I611)*BA79</f>
        <v>0</v>
      </c>
      <c r="J629" s="180">
        <f>SUM(C629:I629)</f>
        <v>0</v>
      </c>
      <c r="N629" s="199" t="s">
        <v>626</v>
      </c>
    </row>
    <row r="630" spans="1:14" ht="12.65" customHeight="1" x14ac:dyDescent="0.3">
      <c r="A630" s="196">
        <v>8200</v>
      </c>
      <c r="B630" s="200" t="s">
        <v>627</v>
      </c>
      <c r="C630" s="180" t="str">
        <f>AW72</f>
        <v>x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5" customHeight="1" x14ac:dyDescent="0.3">
      <c r="A631" s="196">
        <v>8360</v>
      </c>
      <c r="B631" s="200" t="s">
        <v>629</v>
      </c>
      <c r="C631" s="180" t="str">
        <f>BB72</f>
        <v>x</v>
      </c>
      <c r="D631" s="180">
        <f>(D614/D611)*BB77</f>
        <v>0</v>
      </c>
      <c r="E631" s="180">
        <f>(E622/E611)*SUM(C631:D631)</f>
        <v>0</v>
      </c>
      <c r="F631" s="180">
        <f>(F623/F611)*BB64</f>
        <v>0</v>
      </c>
      <c r="G631" s="180">
        <f>(G624/G611)*BB78</f>
        <v>0</v>
      </c>
      <c r="H631" s="180">
        <f>(H627/H611)*BB60</f>
        <v>0</v>
      </c>
      <c r="I631" s="180">
        <f>(I628/I611)*BB79</f>
        <v>0</v>
      </c>
      <c r="J631" s="180">
        <f>(J629/J611)*BB80</f>
        <v>0</v>
      </c>
      <c r="N631" s="199" t="s">
        <v>630</v>
      </c>
    </row>
    <row r="632" spans="1:14" ht="12.65" customHeight="1" x14ac:dyDescent="0.3">
      <c r="A632" s="196">
        <v>8370</v>
      </c>
      <c r="B632" s="200" t="s">
        <v>631</v>
      </c>
      <c r="C632" s="180" t="str">
        <f>BC72</f>
        <v>x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5" customHeight="1" x14ac:dyDescent="0.3">
      <c r="A633" s="196">
        <v>8490</v>
      </c>
      <c r="B633" s="200" t="s">
        <v>633</v>
      </c>
      <c r="C633" s="180" t="str">
        <f>BI72</f>
        <v>x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5" customHeight="1" x14ac:dyDescent="0.3">
      <c r="A634" s="196">
        <v>8530</v>
      </c>
      <c r="B634" s="200" t="s">
        <v>635</v>
      </c>
      <c r="C634" s="180" t="str">
        <f>BK72</f>
        <v>x</v>
      </c>
      <c r="D634" s="180">
        <f>(D614/D611)*BK77</f>
        <v>0</v>
      </c>
      <c r="E634" s="180">
        <f>(E622/E611)*SUM(C634:D634)</f>
        <v>0</v>
      </c>
      <c r="F634" s="180">
        <f>(F623/F611)*BK64</f>
        <v>0</v>
      </c>
      <c r="G634" s="180">
        <f>(G624/G611)*BK78</f>
        <v>0</v>
      </c>
      <c r="H634" s="180">
        <f>(H627/H611)*BK60</f>
        <v>0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5" customHeight="1" x14ac:dyDescent="0.3">
      <c r="A635" s="196">
        <v>8480</v>
      </c>
      <c r="B635" s="200" t="s">
        <v>637</v>
      </c>
      <c r="C635" s="180" t="str">
        <f>BH72</f>
        <v>x</v>
      </c>
      <c r="D635" s="180">
        <f>(D614/D611)*BH77</f>
        <v>0</v>
      </c>
      <c r="E635" s="180">
        <f>(E622/E611)*SUM(C635:D635)</f>
        <v>0</v>
      </c>
      <c r="F635" s="180">
        <f>(F623/F611)*BH64</f>
        <v>0</v>
      </c>
      <c r="G635" s="180">
        <f>(G624/G611)*BH78</f>
        <v>0</v>
      </c>
      <c r="H635" s="180">
        <f>(H627/H611)*BH60</f>
        <v>0</v>
      </c>
      <c r="I635" s="180">
        <f>(I628/I611)*BH79</f>
        <v>0</v>
      </c>
      <c r="J635" s="180">
        <f>(J629/J611)*BH80</f>
        <v>0</v>
      </c>
      <c r="N635" s="199" t="s">
        <v>638</v>
      </c>
    </row>
    <row r="636" spans="1:14" ht="12.65" customHeight="1" x14ac:dyDescent="0.3">
      <c r="A636" s="196">
        <v>8560</v>
      </c>
      <c r="B636" s="200" t="s">
        <v>147</v>
      </c>
      <c r="C636" s="180" t="str">
        <f>BL72</f>
        <v>x</v>
      </c>
      <c r="D636" s="180">
        <f>(D614/D611)*BL77</f>
        <v>0</v>
      </c>
      <c r="E636" s="180">
        <f>(E622/E611)*SUM(C636:D636)</f>
        <v>0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0</v>
      </c>
      <c r="J636" s="180">
        <f>(J629/J611)*BL80</f>
        <v>0</v>
      </c>
      <c r="N636" s="199" t="s">
        <v>639</v>
      </c>
    </row>
    <row r="637" spans="1:14" ht="12.65" customHeight="1" x14ac:dyDescent="0.3">
      <c r="A637" s="196">
        <v>8590</v>
      </c>
      <c r="B637" s="200" t="s">
        <v>640</v>
      </c>
      <c r="C637" s="180" t="str">
        <f>BM72</f>
        <v>x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5" customHeight="1" x14ac:dyDescent="0.3">
      <c r="A638" s="196">
        <v>8660</v>
      </c>
      <c r="B638" s="200" t="s">
        <v>642</v>
      </c>
      <c r="C638" s="180" t="str">
        <f>BS72</f>
        <v>x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5" customHeight="1" x14ac:dyDescent="0.3">
      <c r="A639" s="196">
        <v>8670</v>
      </c>
      <c r="B639" s="200" t="s">
        <v>644</v>
      </c>
      <c r="C639" s="180" t="str">
        <f>BT72</f>
        <v>x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5" customHeight="1" x14ac:dyDescent="0.3">
      <c r="A640" s="196">
        <v>8680</v>
      </c>
      <c r="B640" s="200" t="s">
        <v>646</v>
      </c>
      <c r="C640" s="180" t="str">
        <f>BU72</f>
        <v>x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5" customHeight="1" x14ac:dyDescent="0.3">
      <c r="A641" s="196">
        <v>8690</v>
      </c>
      <c r="B641" s="200" t="s">
        <v>648</v>
      </c>
      <c r="C641" s="180" t="str">
        <f>BV72</f>
        <v>x</v>
      </c>
      <c r="D641" s="180">
        <f>(D614/D611)*BV77</f>
        <v>0</v>
      </c>
      <c r="E641" s="180">
        <f>(E622/E611)*SUM(C641:D641)</f>
        <v>0</v>
      </c>
      <c r="F641" s="180">
        <f>(F623/F611)*BV64</f>
        <v>0</v>
      </c>
      <c r="G641" s="180">
        <f>(G624/G611)*BV78</f>
        <v>0</v>
      </c>
      <c r="H641" s="180">
        <f>(H627/H611)*BV60</f>
        <v>0</v>
      </c>
      <c r="I641" s="180">
        <f>(I628/I611)*BV79</f>
        <v>0</v>
      </c>
      <c r="J641" s="180">
        <f>(J629/J611)*BV80</f>
        <v>0</v>
      </c>
      <c r="N641" s="199" t="s">
        <v>649</v>
      </c>
    </row>
    <row r="642" spans="1:14" ht="12.65" customHeight="1" x14ac:dyDescent="0.3">
      <c r="A642" s="196">
        <v>8700</v>
      </c>
      <c r="B642" s="200" t="s">
        <v>650</v>
      </c>
      <c r="C642" s="180" t="str">
        <f>BW72</f>
        <v>x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5" customHeight="1" x14ac:dyDescent="0.3">
      <c r="A643" s="196">
        <v>8710</v>
      </c>
      <c r="B643" s="200" t="s">
        <v>652</v>
      </c>
      <c r="C643" s="180" t="str">
        <f>BX72</f>
        <v>x</v>
      </c>
      <c r="D643" s="180">
        <f>(D614/D611)*BX77</f>
        <v>0</v>
      </c>
      <c r="E643" s="180">
        <f>(E622/E611)*SUM(C643:D643)</f>
        <v>0</v>
      </c>
      <c r="F643" s="180">
        <f>(F623/F611)*BX64</f>
        <v>0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>
        <f>(J629/J611)*BX80</f>
        <v>0</v>
      </c>
      <c r="K643" s="180">
        <f>SUM(C630:J643)</f>
        <v>0</v>
      </c>
      <c r="N643" s="199" t="s">
        <v>653</v>
      </c>
    </row>
    <row r="644" spans="1:14" ht="12.65" customHeight="1" x14ac:dyDescent="0.3">
      <c r="A644" s="196">
        <v>8720</v>
      </c>
      <c r="B644" s="200" t="s">
        <v>654</v>
      </c>
      <c r="C644" s="180" t="str">
        <f>BY72</f>
        <v>x</v>
      </c>
      <c r="D644" s="180">
        <f>(D614/D611)*BY77</f>
        <v>0</v>
      </c>
      <c r="E644" s="180">
        <f>(E622/E611)*SUM(C644:D644)</f>
        <v>0</v>
      </c>
      <c r="F644" s="180">
        <f>(F623/F611)*BY64</f>
        <v>0</v>
      </c>
      <c r="G644" s="180">
        <f>(G624/G611)*BY78</f>
        <v>0</v>
      </c>
      <c r="H644" s="180">
        <f>(H627/H611)*BY60</f>
        <v>0</v>
      </c>
      <c r="I644" s="180">
        <f>(I628/I611)*BY79</f>
        <v>0</v>
      </c>
      <c r="J644" s="180">
        <f>(J629/J611)*BY80</f>
        <v>0</v>
      </c>
      <c r="K644" s="180">
        <v>0</v>
      </c>
      <c r="N644" s="199" t="s">
        <v>655</v>
      </c>
    </row>
    <row r="645" spans="1:14" ht="12.65" customHeight="1" x14ac:dyDescent="0.3">
      <c r="A645" s="196">
        <v>8730</v>
      </c>
      <c r="B645" s="200" t="s">
        <v>656</v>
      </c>
      <c r="C645" s="180" t="str">
        <f>BZ72</f>
        <v>x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5" customHeight="1" x14ac:dyDescent="0.3">
      <c r="A646" s="196">
        <v>8740</v>
      </c>
      <c r="B646" s="200" t="s">
        <v>658</v>
      </c>
      <c r="C646" s="180" t="str">
        <f>CA72</f>
        <v>x</v>
      </c>
      <c r="D646" s="180">
        <f>(D614/D611)*CA77</f>
        <v>0</v>
      </c>
      <c r="E646" s="180">
        <f>(E622/E611)*SUM(C646:D646)</f>
        <v>0</v>
      </c>
      <c r="F646" s="180">
        <f>(F623/F611)*CA64</f>
        <v>0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0</v>
      </c>
      <c r="N646" s="199" t="s">
        <v>659</v>
      </c>
    </row>
    <row r="647" spans="1:14" ht="12.65" customHeight="1" x14ac:dyDescent="0.3">
      <c r="A647" s="196"/>
      <c r="B647" s="196"/>
      <c r="C647" s="180">
        <f>SUM(C613:C646)</f>
        <v>2410072</v>
      </c>
      <c r="L647" s="269"/>
    </row>
    <row r="665" spans="1:14" ht="12.65" customHeight="1" x14ac:dyDescent="0.3">
      <c r="C665" s="181" t="s">
        <v>660</v>
      </c>
      <c r="M665" s="181" t="s">
        <v>661</v>
      </c>
    </row>
    <row r="666" spans="1:14" ht="12.65" customHeight="1" x14ac:dyDescent="0.3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">
      <c r="A667" s="196">
        <v>6010</v>
      </c>
      <c r="B667" s="198" t="s">
        <v>283</v>
      </c>
      <c r="C667" s="180" t="str">
        <f>C72</f>
        <v>x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 t="e">
        <f>(L646/L611)*C81</f>
        <v>#DIV/0!</v>
      </c>
      <c r="M667" s="180" t="e">
        <f t="shared" ref="M667:M712" si="8">ROUND(SUM(D667:L667),0)</f>
        <v>#DIV/0!</v>
      </c>
      <c r="N667" s="198" t="s">
        <v>663</v>
      </c>
    </row>
    <row r="668" spans="1:14" ht="12.65" customHeight="1" x14ac:dyDescent="0.3">
      <c r="A668" s="196">
        <v>6030</v>
      </c>
      <c r="B668" s="198" t="s">
        <v>284</v>
      </c>
      <c r="C668" s="180" t="str">
        <f>D72</f>
        <v>x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 t="e">
        <f>(L646/L611)*D81</f>
        <v>#DIV/0!</v>
      </c>
      <c r="M668" s="180" t="e">
        <f t="shared" si="8"/>
        <v>#DIV/0!</v>
      </c>
      <c r="N668" s="198" t="s">
        <v>664</v>
      </c>
    </row>
    <row r="669" spans="1:14" ht="12.65" customHeight="1" x14ac:dyDescent="0.3">
      <c r="A669" s="196">
        <v>6070</v>
      </c>
      <c r="B669" s="198" t="s">
        <v>665</v>
      </c>
      <c r="C669" s="180" t="str">
        <f>E72</f>
        <v>x</v>
      </c>
      <c r="D669" s="180">
        <f>(D614/D611)*E77</f>
        <v>469798.51948152442</v>
      </c>
      <c r="E669" s="180">
        <f>(E622/E611)*SUM(C669:D669)</f>
        <v>0</v>
      </c>
      <c r="F669" s="180">
        <f>(F623/F611)*E64</f>
        <v>0</v>
      </c>
      <c r="G669" s="180">
        <f>(G624/G611)*E78</f>
        <v>0</v>
      </c>
      <c r="H669" s="180">
        <f>(H627/H611)*E60</f>
        <v>0</v>
      </c>
      <c r="I669" s="180">
        <f>(I628/I611)*E79</f>
        <v>0</v>
      </c>
      <c r="J669" s="180">
        <f>(J629/J611)*E80</f>
        <v>0</v>
      </c>
      <c r="K669" s="180">
        <f>(K643/K611)*E76</f>
        <v>0</v>
      </c>
      <c r="L669" s="180" t="e">
        <f>(L646/L611)*E81</f>
        <v>#DIV/0!</v>
      </c>
      <c r="M669" s="180" t="e">
        <f t="shared" si="8"/>
        <v>#DIV/0!</v>
      </c>
      <c r="N669" s="198" t="s">
        <v>666</v>
      </c>
    </row>
    <row r="670" spans="1:14" ht="12.65" customHeight="1" x14ac:dyDescent="0.3">
      <c r="A670" s="196">
        <v>6100</v>
      </c>
      <c r="B670" s="198" t="s">
        <v>667</v>
      </c>
      <c r="C670" s="180" t="str">
        <f>F72</f>
        <v>x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 t="e">
        <f>(L646/L611)*F81</f>
        <v>#DIV/0!</v>
      </c>
      <c r="M670" s="180" t="e">
        <f t="shared" si="8"/>
        <v>#DIV/0!</v>
      </c>
      <c r="N670" s="198" t="s">
        <v>668</v>
      </c>
    </row>
    <row r="671" spans="1:14" ht="12.65" customHeight="1" x14ac:dyDescent="0.3">
      <c r="A671" s="196">
        <v>6120</v>
      </c>
      <c r="B671" s="198" t="s">
        <v>669</v>
      </c>
      <c r="C671" s="180" t="str">
        <f>G72</f>
        <v>x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 t="e">
        <f>(L646/L611)*G81</f>
        <v>#DIV/0!</v>
      </c>
      <c r="M671" s="180" t="e">
        <f t="shared" si="8"/>
        <v>#DIV/0!</v>
      </c>
      <c r="N671" s="198" t="s">
        <v>670</v>
      </c>
    </row>
    <row r="672" spans="1:14" ht="12.65" customHeight="1" x14ac:dyDescent="0.3">
      <c r="A672" s="196">
        <v>6140</v>
      </c>
      <c r="B672" s="198" t="s">
        <v>671</v>
      </c>
      <c r="C672" s="180" t="str">
        <f>H72</f>
        <v>x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 t="e">
        <f>(L646/L611)*H81</f>
        <v>#DIV/0!</v>
      </c>
      <c r="M672" s="180" t="e">
        <f t="shared" si="8"/>
        <v>#DIV/0!</v>
      </c>
      <c r="N672" s="198" t="s">
        <v>672</v>
      </c>
    </row>
    <row r="673" spans="1:14" ht="12.65" customHeight="1" x14ac:dyDescent="0.3">
      <c r="A673" s="196">
        <v>6150</v>
      </c>
      <c r="B673" s="198" t="s">
        <v>673</v>
      </c>
      <c r="C673" s="180" t="str">
        <f>I72</f>
        <v>x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 t="e">
        <f>(L646/L611)*I81</f>
        <v>#DIV/0!</v>
      </c>
      <c r="M673" s="180" t="e">
        <f t="shared" si="8"/>
        <v>#DIV/0!</v>
      </c>
      <c r="N673" s="198" t="s">
        <v>674</v>
      </c>
    </row>
    <row r="674" spans="1:14" ht="12.65" customHeight="1" x14ac:dyDescent="0.3">
      <c r="A674" s="196">
        <v>6170</v>
      </c>
      <c r="B674" s="198" t="s">
        <v>99</v>
      </c>
      <c r="C674" s="180" t="str">
        <f>J72</f>
        <v>x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 t="e">
        <f>(L646/L611)*J81</f>
        <v>#DIV/0!</v>
      </c>
      <c r="M674" s="180" t="e">
        <f t="shared" si="8"/>
        <v>#DIV/0!</v>
      </c>
      <c r="N674" s="198" t="s">
        <v>675</v>
      </c>
    </row>
    <row r="675" spans="1:14" ht="12.65" customHeight="1" x14ac:dyDescent="0.3">
      <c r="A675" s="196">
        <v>6200</v>
      </c>
      <c r="B675" s="198" t="s">
        <v>288</v>
      </c>
      <c r="C675" s="180" t="str">
        <f>K72</f>
        <v>x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 t="e">
        <f>(L646/L611)*K81</f>
        <v>#DIV/0!</v>
      </c>
      <c r="M675" s="180" t="e">
        <f t="shared" si="8"/>
        <v>#DIV/0!</v>
      </c>
      <c r="N675" s="198" t="s">
        <v>676</v>
      </c>
    </row>
    <row r="676" spans="1:14" ht="12.65" customHeight="1" x14ac:dyDescent="0.3">
      <c r="A676" s="196">
        <v>6210</v>
      </c>
      <c r="B676" s="198" t="s">
        <v>289</v>
      </c>
      <c r="C676" s="180" t="str">
        <f>L72</f>
        <v>x</v>
      </c>
      <c r="D676" s="180">
        <f>(D614/D611)*L77</f>
        <v>1940273.4805184754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 t="e">
        <f>(L646/L611)*L81</f>
        <v>#DIV/0!</v>
      </c>
      <c r="M676" s="180" t="e">
        <f t="shared" si="8"/>
        <v>#DIV/0!</v>
      </c>
      <c r="N676" s="198" t="s">
        <v>677</v>
      </c>
    </row>
    <row r="677" spans="1:14" ht="12.65" customHeight="1" x14ac:dyDescent="0.3">
      <c r="A677" s="196">
        <v>6330</v>
      </c>
      <c r="B677" s="198" t="s">
        <v>678</v>
      </c>
      <c r="C677" s="180" t="str">
        <f>M72</f>
        <v>x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 t="e">
        <f>(L646/L611)*M81</f>
        <v>#DIV/0!</v>
      </c>
      <c r="M677" s="180" t="e">
        <f t="shared" si="8"/>
        <v>#DIV/0!</v>
      </c>
      <c r="N677" s="198" t="s">
        <v>679</v>
      </c>
    </row>
    <row r="678" spans="1:14" ht="12.65" customHeight="1" x14ac:dyDescent="0.3">
      <c r="A678" s="196">
        <v>6400</v>
      </c>
      <c r="B678" s="198" t="s">
        <v>680</v>
      </c>
      <c r="C678" s="180" t="str">
        <f>N72</f>
        <v>x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 t="e">
        <f>(L646/L611)*N81</f>
        <v>#DIV/0!</v>
      </c>
      <c r="M678" s="180" t="e">
        <f t="shared" si="8"/>
        <v>#DIV/0!</v>
      </c>
      <c r="N678" s="198" t="s">
        <v>681</v>
      </c>
    </row>
    <row r="679" spans="1:14" ht="12.65" customHeight="1" x14ac:dyDescent="0.3">
      <c r="A679" s="196">
        <v>7010</v>
      </c>
      <c r="B679" s="198" t="s">
        <v>682</v>
      </c>
      <c r="C679" s="180" t="str">
        <f>O72</f>
        <v>x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 t="e">
        <f>(L646/L611)*O81</f>
        <v>#DIV/0!</v>
      </c>
      <c r="M679" s="180" t="e">
        <f t="shared" si="8"/>
        <v>#DIV/0!</v>
      </c>
      <c r="N679" s="198" t="s">
        <v>683</v>
      </c>
    </row>
    <row r="680" spans="1:14" ht="12.65" customHeight="1" x14ac:dyDescent="0.3">
      <c r="A680" s="196">
        <v>7020</v>
      </c>
      <c r="B680" s="198" t="s">
        <v>684</v>
      </c>
      <c r="C680" s="180" t="str">
        <f>P72</f>
        <v>x</v>
      </c>
      <c r="D680" s="180">
        <f>(D614/D611)*P77</f>
        <v>0</v>
      </c>
      <c r="E680" s="180">
        <f>(E622/E611)*SUM(C680:D680)</f>
        <v>0</v>
      </c>
      <c r="F680" s="180">
        <f>(F623/F611)*P64</f>
        <v>0</v>
      </c>
      <c r="G680" s="180">
        <f>(G624/G611)*P78</f>
        <v>0</v>
      </c>
      <c r="H680" s="180">
        <f>(H627/H611)*P60</f>
        <v>0</v>
      </c>
      <c r="I680" s="180">
        <f>(I628/I611)*P79</f>
        <v>0</v>
      </c>
      <c r="J680" s="180">
        <f>(J629/J611)*P80</f>
        <v>0</v>
      </c>
      <c r="K680" s="180">
        <f>(K643/K611)*P76</f>
        <v>0</v>
      </c>
      <c r="L680" s="180" t="e">
        <f>(L646/L611)*P81</f>
        <v>#DIV/0!</v>
      </c>
      <c r="M680" s="180" t="e">
        <f t="shared" si="8"/>
        <v>#DIV/0!</v>
      </c>
      <c r="N680" s="198" t="s">
        <v>685</v>
      </c>
    </row>
    <row r="681" spans="1:14" ht="12.65" customHeight="1" x14ac:dyDescent="0.3">
      <c r="A681" s="196">
        <v>7030</v>
      </c>
      <c r="B681" s="198" t="s">
        <v>686</v>
      </c>
      <c r="C681" s="180" t="str">
        <f>Q72</f>
        <v>x</v>
      </c>
      <c r="D681" s="180">
        <f>(D614/D611)*Q77</f>
        <v>0</v>
      </c>
      <c r="E681" s="180">
        <f>(E622/E611)*SUM(C681:D681)</f>
        <v>0</v>
      </c>
      <c r="F681" s="180">
        <f>(F623/F611)*Q64</f>
        <v>0</v>
      </c>
      <c r="G681" s="180">
        <f>(G624/G611)*Q78</f>
        <v>0</v>
      </c>
      <c r="H681" s="180">
        <f>(H627/H611)*Q60</f>
        <v>0</v>
      </c>
      <c r="I681" s="180">
        <f>(I628/I611)*Q79</f>
        <v>0</v>
      </c>
      <c r="J681" s="180">
        <f>(J629/J611)*Q80</f>
        <v>0</v>
      </c>
      <c r="K681" s="180">
        <f>(K643/K611)*Q76</f>
        <v>0</v>
      </c>
      <c r="L681" s="180" t="e">
        <f>(L646/L611)*Q81</f>
        <v>#DIV/0!</v>
      </c>
      <c r="M681" s="180" t="e">
        <f t="shared" si="8"/>
        <v>#DIV/0!</v>
      </c>
      <c r="N681" s="198" t="s">
        <v>687</v>
      </c>
    </row>
    <row r="682" spans="1:14" ht="12.65" customHeight="1" x14ac:dyDescent="0.3">
      <c r="A682" s="196">
        <v>7040</v>
      </c>
      <c r="B682" s="198" t="s">
        <v>107</v>
      </c>
      <c r="C682" s="180" t="str">
        <f>R72</f>
        <v>x</v>
      </c>
      <c r="D682" s="180">
        <f>(D614/D611)*R77</f>
        <v>0</v>
      </c>
      <c r="E682" s="180">
        <f>(E622/E611)*SUM(C682:D682)</f>
        <v>0</v>
      </c>
      <c r="F682" s="180">
        <f>(F623/F611)*R64</f>
        <v>0</v>
      </c>
      <c r="G682" s="180">
        <f>(G624/G611)*R78</f>
        <v>0</v>
      </c>
      <c r="H682" s="180">
        <f>(H627/H611)*R60</f>
        <v>0</v>
      </c>
      <c r="I682" s="180">
        <f>(I628/I611)*R79</f>
        <v>0</v>
      </c>
      <c r="J682" s="180">
        <f>(J629/J611)*R80</f>
        <v>0</v>
      </c>
      <c r="K682" s="180">
        <f>(K643/K611)*R76</f>
        <v>0</v>
      </c>
      <c r="L682" s="180" t="e">
        <f>(L646/L611)*R81</f>
        <v>#DIV/0!</v>
      </c>
      <c r="M682" s="180" t="e">
        <f t="shared" si="8"/>
        <v>#DIV/0!</v>
      </c>
      <c r="N682" s="198" t="s">
        <v>688</v>
      </c>
    </row>
    <row r="683" spans="1:14" ht="12.65" customHeight="1" x14ac:dyDescent="0.3">
      <c r="A683" s="196">
        <v>7050</v>
      </c>
      <c r="B683" s="198" t="s">
        <v>689</v>
      </c>
      <c r="C683" s="180" t="str">
        <f>S72</f>
        <v>x</v>
      </c>
      <c r="D683" s="180">
        <f>(D614/D611)*S77</f>
        <v>0</v>
      </c>
      <c r="E683" s="180">
        <f>(E622/E611)*SUM(C683:D683)</f>
        <v>0</v>
      </c>
      <c r="F683" s="180">
        <f>(F623/F611)*S64</f>
        <v>0</v>
      </c>
      <c r="G683" s="180">
        <f>(G624/G611)*S78</f>
        <v>0</v>
      </c>
      <c r="H683" s="180">
        <f>(H627/H611)*S60</f>
        <v>0</v>
      </c>
      <c r="I683" s="180">
        <f>(I628/I611)*S79</f>
        <v>0</v>
      </c>
      <c r="J683" s="180">
        <f>(J629/J611)*S80</f>
        <v>0</v>
      </c>
      <c r="K683" s="180">
        <f>(K643/K611)*S76</f>
        <v>0</v>
      </c>
      <c r="L683" s="180" t="e">
        <f>(L646/L611)*S81</f>
        <v>#DIV/0!</v>
      </c>
      <c r="M683" s="180" t="e">
        <f t="shared" si="8"/>
        <v>#DIV/0!</v>
      </c>
      <c r="N683" s="198" t="s">
        <v>690</v>
      </c>
    </row>
    <row r="684" spans="1:14" ht="12.65" customHeight="1" x14ac:dyDescent="0.3">
      <c r="A684" s="196">
        <v>7060</v>
      </c>
      <c r="B684" s="198" t="s">
        <v>691</v>
      </c>
      <c r="C684" s="180" t="str">
        <f>T72</f>
        <v>x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 t="e">
        <f>(L646/L611)*T81</f>
        <v>#DIV/0!</v>
      </c>
      <c r="M684" s="180" t="e">
        <f t="shared" si="8"/>
        <v>#DIV/0!</v>
      </c>
      <c r="N684" s="198" t="s">
        <v>692</v>
      </c>
    </row>
    <row r="685" spans="1:14" ht="12.65" customHeight="1" x14ac:dyDescent="0.3">
      <c r="A685" s="196">
        <v>7070</v>
      </c>
      <c r="B685" s="198" t="s">
        <v>109</v>
      </c>
      <c r="C685" s="180" t="str">
        <f>U72</f>
        <v>x</v>
      </c>
      <c r="D685" s="180">
        <f>(D614/D611)*U77</f>
        <v>0</v>
      </c>
      <c r="E685" s="180">
        <f>(E622/E611)*SUM(C685:D685)</f>
        <v>0</v>
      </c>
      <c r="F685" s="180">
        <f>(F623/F611)*U64</f>
        <v>0</v>
      </c>
      <c r="G685" s="180">
        <f>(G624/G611)*U78</f>
        <v>0</v>
      </c>
      <c r="H685" s="180">
        <f>(H627/H611)*U60</f>
        <v>0</v>
      </c>
      <c r="I685" s="180">
        <f>(I628/I611)*U79</f>
        <v>0</v>
      </c>
      <c r="J685" s="180">
        <f>(J629/J611)*U80</f>
        <v>0</v>
      </c>
      <c r="K685" s="180">
        <f>(K643/K611)*U76</f>
        <v>0</v>
      </c>
      <c r="L685" s="180" t="e">
        <f>(L646/L611)*U81</f>
        <v>#DIV/0!</v>
      </c>
      <c r="M685" s="180" t="e">
        <f t="shared" si="8"/>
        <v>#DIV/0!</v>
      </c>
      <c r="N685" s="198" t="s">
        <v>693</v>
      </c>
    </row>
    <row r="686" spans="1:14" ht="12.65" customHeight="1" x14ac:dyDescent="0.3">
      <c r="A686" s="196">
        <v>7110</v>
      </c>
      <c r="B686" s="198" t="s">
        <v>694</v>
      </c>
      <c r="C686" s="180" t="str">
        <f>V72</f>
        <v>x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 t="e">
        <f>(L646/L611)*V81</f>
        <v>#DIV/0!</v>
      </c>
      <c r="M686" s="180" t="e">
        <f t="shared" si="8"/>
        <v>#DIV/0!</v>
      </c>
      <c r="N686" s="198" t="s">
        <v>695</v>
      </c>
    </row>
    <row r="687" spans="1:14" ht="12.65" customHeight="1" x14ac:dyDescent="0.3">
      <c r="A687" s="196">
        <v>7120</v>
      </c>
      <c r="B687" s="198" t="s">
        <v>696</v>
      </c>
      <c r="C687" s="180" t="str">
        <f>W72</f>
        <v>x</v>
      </c>
      <c r="D687" s="180">
        <f>(D614/D611)*W77</f>
        <v>0</v>
      </c>
      <c r="E687" s="180">
        <f>(E622/E611)*SUM(C687:D687)</f>
        <v>0</v>
      </c>
      <c r="F687" s="180">
        <f>(F623/F611)*W64</f>
        <v>0</v>
      </c>
      <c r="G687" s="180">
        <f>(G624/G611)*W78</f>
        <v>0</v>
      </c>
      <c r="H687" s="180">
        <f>(H627/H611)*W60</f>
        <v>0</v>
      </c>
      <c r="I687" s="180">
        <f>(I628/I611)*W79</f>
        <v>0</v>
      </c>
      <c r="J687" s="180">
        <f>(J629/J611)*W80</f>
        <v>0</v>
      </c>
      <c r="K687" s="180">
        <f>(K643/K611)*W76</f>
        <v>0</v>
      </c>
      <c r="L687" s="180" t="e">
        <f>(L646/L611)*W81</f>
        <v>#DIV/0!</v>
      </c>
      <c r="M687" s="180" t="e">
        <f t="shared" si="8"/>
        <v>#DIV/0!</v>
      </c>
      <c r="N687" s="198" t="s">
        <v>697</v>
      </c>
    </row>
    <row r="688" spans="1:14" ht="12.65" customHeight="1" x14ac:dyDescent="0.3">
      <c r="A688" s="196">
        <v>7130</v>
      </c>
      <c r="B688" s="198" t="s">
        <v>698</v>
      </c>
      <c r="C688" s="180" t="str">
        <f>X72</f>
        <v>x</v>
      </c>
      <c r="D688" s="180">
        <f>(D614/D611)*X77</f>
        <v>0</v>
      </c>
      <c r="E688" s="180">
        <f>(E622/E611)*SUM(C688:D688)</f>
        <v>0</v>
      </c>
      <c r="F688" s="180">
        <f>(F623/F611)*X64</f>
        <v>0</v>
      </c>
      <c r="G688" s="180">
        <f>(G624/G611)*X78</f>
        <v>0</v>
      </c>
      <c r="H688" s="180">
        <f>(H627/H611)*X60</f>
        <v>0</v>
      </c>
      <c r="I688" s="180">
        <f>(I628/I611)*X79</f>
        <v>0</v>
      </c>
      <c r="J688" s="180">
        <f>(J629/J611)*X80</f>
        <v>0</v>
      </c>
      <c r="K688" s="180">
        <f>(K643/K611)*X76</f>
        <v>0</v>
      </c>
      <c r="L688" s="180" t="e">
        <f>(L646/L611)*X81</f>
        <v>#DIV/0!</v>
      </c>
      <c r="M688" s="180" t="e">
        <f t="shared" si="8"/>
        <v>#DIV/0!</v>
      </c>
      <c r="N688" s="198" t="s">
        <v>699</v>
      </c>
    </row>
    <row r="689" spans="1:14" ht="12.65" customHeight="1" x14ac:dyDescent="0.3">
      <c r="A689" s="196">
        <v>7140</v>
      </c>
      <c r="B689" s="198" t="s">
        <v>1250</v>
      </c>
      <c r="C689" s="180" t="str">
        <f>Y72</f>
        <v>x</v>
      </c>
      <c r="D689" s="180">
        <f>(D614/D611)*Y77</f>
        <v>0</v>
      </c>
      <c r="E689" s="180">
        <f>(E622/E611)*SUM(C689:D689)</f>
        <v>0</v>
      </c>
      <c r="F689" s="180">
        <f>(F623/F611)*Y64</f>
        <v>0</v>
      </c>
      <c r="G689" s="180">
        <f>(G624/G611)*Y78</f>
        <v>0</v>
      </c>
      <c r="H689" s="180">
        <f>(H627/H611)*Y60</f>
        <v>0</v>
      </c>
      <c r="I689" s="180">
        <f>(I628/I611)*Y79</f>
        <v>0</v>
      </c>
      <c r="J689" s="180">
        <f>(J629/J611)*Y80</f>
        <v>0</v>
      </c>
      <c r="K689" s="180">
        <f>(K643/K611)*Y76</f>
        <v>0</v>
      </c>
      <c r="L689" s="180" t="e">
        <f>(L646/L611)*Y81</f>
        <v>#DIV/0!</v>
      </c>
      <c r="M689" s="180" t="e">
        <f t="shared" si="8"/>
        <v>#DIV/0!</v>
      </c>
      <c r="N689" s="198" t="s">
        <v>700</v>
      </c>
    </row>
    <row r="690" spans="1:14" ht="12.65" customHeight="1" x14ac:dyDescent="0.3">
      <c r="A690" s="196">
        <v>7150</v>
      </c>
      <c r="B690" s="198" t="s">
        <v>701</v>
      </c>
      <c r="C690" s="180" t="str">
        <f>Z72</f>
        <v>x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 t="e">
        <f>(L646/L611)*Z81</f>
        <v>#DIV/0!</v>
      </c>
      <c r="M690" s="180" t="e">
        <f t="shared" si="8"/>
        <v>#DIV/0!</v>
      </c>
      <c r="N690" s="198" t="s">
        <v>702</v>
      </c>
    </row>
    <row r="691" spans="1:14" ht="12.65" customHeight="1" x14ac:dyDescent="0.3">
      <c r="A691" s="196">
        <v>7160</v>
      </c>
      <c r="B691" s="198" t="s">
        <v>703</v>
      </c>
      <c r="C691" s="180" t="str">
        <f>AA72</f>
        <v>x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 t="e">
        <f>(L646/L611)*AA81</f>
        <v>#DIV/0!</v>
      </c>
      <c r="M691" s="180" t="e">
        <f t="shared" si="8"/>
        <v>#DIV/0!</v>
      </c>
      <c r="N691" s="198" t="s">
        <v>704</v>
      </c>
    </row>
    <row r="692" spans="1:14" ht="12.65" customHeight="1" x14ac:dyDescent="0.3">
      <c r="A692" s="196">
        <v>7170</v>
      </c>
      <c r="B692" s="198" t="s">
        <v>115</v>
      </c>
      <c r="C692" s="180" t="str">
        <f>AB72</f>
        <v>x</v>
      </c>
      <c r="D692" s="180">
        <f>(D614/D611)*AB77</f>
        <v>0</v>
      </c>
      <c r="E692" s="180">
        <f>(E622/E611)*SUM(C692:D692)</f>
        <v>0</v>
      </c>
      <c r="F692" s="180">
        <f>(F623/F611)*AB64</f>
        <v>0</v>
      </c>
      <c r="G692" s="180">
        <f>(G624/G611)*AB78</f>
        <v>0</v>
      </c>
      <c r="H692" s="180">
        <f>(H627/H611)*AB60</f>
        <v>0</v>
      </c>
      <c r="I692" s="180">
        <f>(I628/I611)*AB79</f>
        <v>0</v>
      </c>
      <c r="J692" s="180">
        <f>(J629/J611)*AB80</f>
        <v>0</v>
      </c>
      <c r="K692" s="180">
        <f>(K643/K611)*AB76</f>
        <v>0</v>
      </c>
      <c r="L692" s="180" t="e">
        <f>(L646/L611)*AB81</f>
        <v>#DIV/0!</v>
      </c>
      <c r="M692" s="180" t="e">
        <f t="shared" si="8"/>
        <v>#DIV/0!</v>
      </c>
      <c r="N692" s="198" t="s">
        <v>705</v>
      </c>
    </row>
    <row r="693" spans="1:14" ht="12.65" customHeight="1" x14ac:dyDescent="0.3">
      <c r="A693" s="196">
        <v>7180</v>
      </c>
      <c r="B693" s="198" t="s">
        <v>706</v>
      </c>
      <c r="C693" s="180" t="str">
        <f>AC72</f>
        <v>x</v>
      </c>
      <c r="D693" s="180">
        <f>(D614/D611)*AC77</f>
        <v>0</v>
      </c>
      <c r="E693" s="180">
        <f>(E622/E611)*SUM(C693:D693)</f>
        <v>0</v>
      </c>
      <c r="F693" s="180">
        <f>(F623/F611)*AC64</f>
        <v>0</v>
      </c>
      <c r="G693" s="180">
        <f>(G624/G611)*AC78</f>
        <v>0</v>
      </c>
      <c r="H693" s="180">
        <f>(H627/H611)*AC60</f>
        <v>0</v>
      </c>
      <c r="I693" s="180">
        <f>(I628/I611)*AC79</f>
        <v>0</v>
      </c>
      <c r="J693" s="180">
        <f>(J629/J611)*AC80</f>
        <v>0</v>
      </c>
      <c r="K693" s="180">
        <f>(K643/K611)*AC76</f>
        <v>0</v>
      </c>
      <c r="L693" s="180" t="e">
        <f>(L646/L611)*AC81</f>
        <v>#DIV/0!</v>
      </c>
      <c r="M693" s="180" t="e">
        <f t="shared" si="8"/>
        <v>#DIV/0!</v>
      </c>
      <c r="N693" s="198" t="s">
        <v>707</v>
      </c>
    </row>
    <row r="694" spans="1:14" ht="12.65" customHeight="1" x14ac:dyDescent="0.3">
      <c r="A694" s="196">
        <v>7190</v>
      </c>
      <c r="B694" s="198" t="s">
        <v>117</v>
      </c>
      <c r="C694" s="180" t="str">
        <f>AD72</f>
        <v>x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 t="e">
        <f>(L646/L611)*AD81</f>
        <v>#DIV/0!</v>
      </c>
      <c r="M694" s="180" t="e">
        <f t="shared" si="8"/>
        <v>#DIV/0!</v>
      </c>
      <c r="N694" s="198" t="s">
        <v>708</v>
      </c>
    </row>
    <row r="695" spans="1:14" ht="12.65" customHeight="1" x14ac:dyDescent="0.3">
      <c r="A695" s="196">
        <v>7200</v>
      </c>
      <c r="B695" s="198" t="s">
        <v>709</v>
      </c>
      <c r="C695" s="180" t="str">
        <f>AE72</f>
        <v>x</v>
      </c>
      <c r="D695" s="180">
        <f>(D614/D611)*AE77</f>
        <v>0</v>
      </c>
      <c r="E695" s="180">
        <f>(E622/E611)*SUM(C695:D695)</f>
        <v>0</v>
      </c>
      <c r="F695" s="180">
        <f>(F623/F611)*AE64</f>
        <v>0</v>
      </c>
      <c r="G695" s="180">
        <f>(G624/G611)*AE78</f>
        <v>0</v>
      </c>
      <c r="H695" s="180">
        <f>(H627/H611)*AE60</f>
        <v>0</v>
      </c>
      <c r="I695" s="180">
        <f>(I628/I611)*AE79</f>
        <v>0</v>
      </c>
      <c r="J695" s="180">
        <f>(J629/J611)*AE80</f>
        <v>0</v>
      </c>
      <c r="K695" s="180">
        <f>(K643/K611)*AE76</f>
        <v>0</v>
      </c>
      <c r="L695" s="180" t="e">
        <f>(L646/L611)*AE81</f>
        <v>#DIV/0!</v>
      </c>
      <c r="M695" s="180" t="e">
        <f t="shared" si="8"/>
        <v>#DIV/0!</v>
      </c>
      <c r="N695" s="198" t="s">
        <v>710</v>
      </c>
    </row>
    <row r="696" spans="1:14" ht="12.65" customHeight="1" x14ac:dyDescent="0.3">
      <c r="A696" s="196">
        <v>7220</v>
      </c>
      <c r="B696" s="198" t="s">
        <v>711</v>
      </c>
      <c r="C696" s="180" t="str">
        <f>AF72</f>
        <v>x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 t="e">
        <f>(L646/L611)*AF81</f>
        <v>#DIV/0!</v>
      </c>
      <c r="M696" s="180" t="e">
        <f t="shared" si="8"/>
        <v>#DIV/0!</v>
      </c>
      <c r="N696" s="198" t="s">
        <v>712</v>
      </c>
    </row>
    <row r="697" spans="1:14" ht="12.65" customHeight="1" x14ac:dyDescent="0.3">
      <c r="A697" s="196">
        <v>7230</v>
      </c>
      <c r="B697" s="198" t="s">
        <v>713</v>
      </c>
      <c r="C697" s="180" t="str">
        <f>AG72</f>
        <v>x</v>
      </c>
      <c r="D697" s="180">
        <f>(D614/D611)*AG77</f>
        <v>0</v>
      </c>
      <c r="E697" s="180">
        <f>(E622/E611)*SUM(C697:D697)</f>
        <v>0</v>
      </c>
      <c r="F697" s="180">
        <f>(F623/F611)*AG64</f>
        <v>0</v>
      </c>
      <c r="G697" s="180">
        <f>(G624/G611)*AG78</f>
        <v>0</v>
      </c>
      <c r="H697" s="180">
        <f>(H627/H611)*AG60</f>
        <v>0</v>
      </c>
      <c r="I697" s="180">
        <f>(I628/I611)*AG79</f>
        <v>0</v>
      </c>
      <c r="J697" s="180">
        <f>(J629/J611)*AG80</f>
        <v>0</v>
      </c>
      <c r="K697" s="180">
        <f>(K643/K611)*AG76</f>
        <v>0</v>
      </c>
      <c r="L697" s="180" t="e">
        <f>(L646/L611)*AG81</f>
        <v>#DIV/0!</v>
      </c>
      <c r="M697" s="180" t="e">
        <f t="shared" si="8"/>
        <v>#DIV/0!</v>
      </c>
      <c r="N697" s="198" t="s">
        <v>714</v>
      </c>
    </row>
    <row r="698" spans="1:14" ht="12.65" customHeight="1" x14ac:dyDescent="0.3">
      <c r="A698" s="196">
        <v>7240</v>
      </c>
      <c r="B698" s="198" t="s">
        <v>119</v>
      </c>
      <c r="C698" s="180" t="str">
        <f>AH72</f>
        <v>x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 t="e">
        <f>(L646/L611)*AH81</f>
        <v>#DIV/0!</v>
      </c>
      <c r="M698" s="180" t="e">
        <f t="shared" si="8"/>
        <v>#DIV/0!</v>
      </c>
      <c r="N698" s="198" t="s">
        <v>715</v>
      </c>
    </row>
    <row r="699" spans="1:14" ht="12.65" customHeight="1" x14ac:dyDescent="0.3">
      <c r="A699" s="196">
        <v>7250</v>
      </c>
      <c r="B699" s="198" t="s">
        <v>716</v>
      </c>
      <c r="C699" s="180" t="str">
        <f>AI72</f>
        <v>x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 t="e">
        <f>(L646/L611)*AI81</f>
        <v>#DIV/0!</v>
      </c>
      <c r="M699" s="180" t="e">
        <f t="shared" si="8"/>
        <v>#DIV/0!</v>
      </c>
      <c r="N699" s="198" t="s">
        <v>717</v>
      </c>
    </row>
    <row r="700" spans="1:14" ht="12.65" customHeight="1" x14ac:dyDescent="0.3">
      <c r="A700" s="196">
        <v>7260</v>
      </c>
      <c r="B700" s="198" t="s">
        <v>121</v>
      </c>
      <c r="C700" s="180" t="str">
        <f>AJ72</f>
        <v>x</v>
      </c>
      <c r="D700" s="180">
        <f>(D614/D611)*AJ77</f>
        <v>0</v>
      </c>
      <c r="E700" s="180">
        <f>(E622/E611)*SUM(C700:D700)</f>
        <v>0</v>
      </c>
      <c r="F700" s="180">
        <f>(F623/F611)*AJ64</f>
        <v>0</v>
      </c>
      <c r="G700" s="180">
        <f>(G624/G611)*AJ78</f>
        <v>0</v>
      </c>
      <c r="H700" s="180">
        <f>(H627/H611)*AJ60</f>
        <v>0</v>
      </c>
      <c r="I700" s="180">
        <f>(I628/I611)*AJ79</f>
        <v>0</v>
      </c>
      <c r="J700" s="180">
        <f>(J629/J611)*AJ80</f>
        <v>0</v>
      </c>
      <c r="K700" s="180">
        <f>(K643/K611)*AJ76</f>
        <v>0</v>
      </c>
      <c r="L700" s="180" t="e">
        <f>(L646/L611)*AJ81</f>
        <v>#DIV/0!</v>
      </c>
      <c r="M700" s="180" t="e">
        <f t="shared" si="8"/>
        <v>#DIV/0!</v>
      </c>
      <c r="N700" s="198" t="s">
        <v>718</v>
      </c>
    </row>
    <row r="701" spans="1:14" ht="12.65" customHeight="1" x14ac:dyDescent="0.3">
      <c r="A701" s="196">
        <v>7310</v>
      </c>
      <c r="B701" s="198" t="s">
        <v>719</v>
      </c>
      <c r="C701" s="180" t="str">
        <f>AK72</f>
        <v>x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0</v>
      </c>
      <c r="L701" s="180" t="e">
        <f>(L646/L611)*AK81</f>
        <v>#DIV/0!</v>
      </c>
      <c r="M701" s="180" t="e">
        <f t="shared" si="8"/>
        <v>#DIV/0!</v>
      </c>
      <c r="N701" s="198" t="s">
        <v>720</v>
      </c>
    </row>
    <row r="702" spans="1:14" ht="12.65" customHeight="1" x14ac:dyDescent="0.3">
      <c r="A702" s="196">
        <v>7320</v>
      </c>
      <c r="B702" s="198" t="s">
        <v>721</v>
      </c>
      <c r="C702" s="180" t="str">
        <f>AL72</f>
        <v>x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 t="e">
        <f>(L646/L611)*AL81</f>
        <v>#DIV/0!</v>
      </c>
      <c r="M702" s="180" t="e">
        <f t="shared" si="8"/>
        <v>#DIV/0!</v>
      </c>
      <c r="N702" s="198" t="s">
        <v>722</v>
      </c>
    </row>
    <row r="703" spans="1:14" ht="12.65" customHeight="1" x14ac:dyDescent="0.3">
      <c r="A703" s="196">
        <v>7330</v>
      </c>
      <c r="B703" s="198" t="s">
        <v>723</v>
      </c>
      <c r="C703" s="180" t="str">
        <f>AM72</f>
        <v>x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 t="e">
        <f>(L646/L611)*AM81</f>
        <v>#DIV/0!</v>
      </c>
      <c r="M703" s="180" t="e">
        <f t="shared" si="8"/>
        <v>#DIV/0!</v>
      </c>
      <c r="N703" s="198" t="s">
        <v>724</v>
      </c>
    </row>
    <row r="704" spans="1:14" ht="12.65" customHeight="1" x14ac:dyDescent="0.3">
      <c r="A704" s="196">
        <v>7340</v>
      </c>
      <c r="B704" s="198" t="s">
        <v>725</v>
      </c>
      <c r="C704" s="180" t="str">
        <f>AN72</f>
        <v>x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 t="e">
        <f>(L646/L611)*AN81</f>
        <v>#DIV/0!</v>
      </c>
      <c r="M704" s="180" t="e">
        <f t="shared" si="8"/>
        <v>#DIV/0!</v>
      </c>
      <c r="N704" s="198" t="s">
        <v>726</v>
      </c>
    </row>
    <row r="705" spans="1:82" ht="12.65" customHeight="1" x14ac:dyDescent="0.3">
      <c r="A705" s="196">
        <v>7350</v>
      </c>
      <c r="B705" s="198" t="s">
        <v>727</v>
      </c>
      <c r="C705" s="180" t="str">
        <f>AO72</f>
        <v>x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 t="e">
        <f>(L646/L611)*AO81</f>
        <v>#DIV/0!</v>
      </c>
      <c r="M705" s="180" t="e">
        <f t="shared" si="8"/>
        <v>#DIV/0!</v>
      </c>
      <c r="N705" s="198" t="s">
        <v>728</v>
      </c>
    </row>
    <row r="706" spans="1:82" ht="12.65" customHeight="1" x14ac:dyDescent="0.3">
      <c r="A706" s="196">
        <v>7380</v>
      </c>
      <c r="B706" s="198" t="s">
        <v>729</v>
      </c>
      <c r="C706" s="180" t="str">
        <f>AP72</f>
        <v>x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 t="e">
        <f>(L646/L611)*AP81</f>
        <v>#DIV/0!</v>
      </c>
      <c r="M706" s="180" t="e">
        <f t="shared" si="8"/>
        <v>#DIV/0!</v>
      </c>
      <c r="N706" s="198" t="s">
        <v>730</v>
      </c>
    </row>
    <row r="707" spans="1:82" ht="12.65" customHeight="1" x14ac:dyDescent="0.3">
      <c r="A707" s="196">
        <v>7390</v>
      </c>
      <c r="B707" s="198" t="s">
        <v>731</v>
      </c>
      <c r="C707" s="180" t="str">
        <f>AQ72</f>
        <v>x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 t="e">
        <f>(L646/L611)*AQ81</f>
        <v>#DIV/0!</v>
      </c>
      <c r="M707" s="180" t="e">
        <f t="shared" si="8"/>
        <v>#DIV/0!</v>
      </c>
      <c r="N707" s="198" t="s">
        <v>732</v>
      </c>
    </row>
    <row r="708" spans="1:82" ht="12.65" customHeight="1" x14ac:dyDescent="0.3">
      <c r="A708" s="196">
        <v>7400</v>
      </c>
      <c r="B708" s="198" t="s">
        <v>733</v>
      </c>
      <c r="C708" s="180" t="str">
        <f>AR72</f>
        <v>x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 t="e">
        <f>(L646/L611)*AR81</f>
        <v>#DIV/0!</v>
      </c>
      <c r="M708" s="180" t="e">
        <f t="shared" si="8"/>
        <v>#DIV/0!</v>
      </c>
      <c r="N708" s="198" t="s">
        <v>734</v>
      </c>
    </row>
    <row r="709" spans="1:82" ht="12.65" customHeight="1" x14ac:dyDescent="0.3">
      <c r="A709" s="196">
        <v>7410</v>
      </c>
      <c r="B709" s="198" t="s">
        <v>129</v>
      </c>
      <c r="C709" s="180" t="str">
        <f>AS72</f>
        <v>x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 t="e">
        <f>(L646/L611)*AS81</f>
        <v>#DIV/0!</v>
      </c>
      <c r="M709" s="180" t="e">
        <f t="shared" si="8"/>
        <v>#DIV/0!</v>
      </c>
      <c r="N709" s="198" t="s">
        <v>735</v>
      </c>
    </row>
    <row r="710" spans="1:82" ht="12.65" customHeight="1" x14ac:dyDescent="0.3">
      <c r="A710" s="196">
        <v>7420</v>
      </c>
      <c r="B710" s="198" t="s">
        <v>736</v>
      </c>
      <c r="C710" s="180" t="str">
        <f>AT72</f>
        <v>x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 t="e">
        <f>(L646/L611)*AT81</f>
        <v>#DIV/0!</v>
      </c>
      <c r="M710" s="180" t="e">
        <f t="shared" si="8"/>
        <v>#DIV/0!</v>
      </c>
      <c r="N710" s="198" t="s">
        <v>737</v>
      </c>
    </row>
    <row r="711" spans="1:82" ht="12.65" customHeight="1" x14ac:dyDescent="0.3">
      <c r="A711" s="196">
        <v>7430</v>
      </c>
      <c r="B711" s="198" t="s">
        <v>738</v>
      </c>
      <c r="C711" s="180" t="str">
        <f>AU72</f>
        <v>x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 t="e">
        <f>(L646/L611)*AU81</f>
        <v>#DIV/0!</v>
      </c>
      <c r="M711" s="180" t="e">
        <f t="shared" si="8"/>
        <v>#DIV/0!</v>
      </c>
      <c r="N711" s="198" t="s">
        <v>739</v>
      </c>
    </row>
    <row r="712" spans="1:82" ht="12.65" customHeight="1" x14ac:dyDescent="0.3">
      <c r="A712" s="196">
        <v>7490</v>
      </c>
      <c r="B712" s="198" t="s">
        <v>740</v>
      </c>
      <c r="C712" s="180" t="str">
        <f>AV72</f>
        <v>x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 t="e">
        <f>(L646/L611)*AV81</f>
        <v>#DIV/0!</v>
      </c>
      <c r="M712" s="180" t="e">
        <f t="shared" si="8"/>
        <v>#DIV/0!</v>
      </c>
      <c r="N712" s="199" t="s">
        <v>741</v>
      </c>
    </row>
    <row r="714" spans="1:82" ht="12.65" customHeight="1" x14ac:dyDescent="0.3">
      <c r="C714" s="180">
        <f>SUM(C613:C646)+SUM(C667:C712)</f>
        <v>2410072</v>
      </c>
      <c r="D714" s="180">
        <f>SUM(D615:D646)+SUM(D667:D712)</f>
        <v>2410072</v>
      </c>
      <c r="E714" s="180">
        <f>SUM(E623:E646)+SUM(E667:E712)</f>
        <v>0</v>
      </c>
      <c r="F714" s="180">
        <f>SUM(F624:F647)+SUM(F667:F712)</f>
        <v>0</v>
      </c>
      <c r="G714" s="180">
        <f>SUM(G625:G646)+SUM(G667:G712)</f>
        <v>0</v>
      </c>
      <c r="H714" s="180">
        <f>SUM(H628:H646)+SUM(H667:H712)</f>
        <v>0</v>
      </c>
      <c r="I714" s="180">
        <f>SUM(I629:I646)+SUM(I667:I712)</f>
        <v>0</v>
      </c>
      <c r="J714" s="180">
        <f>SUM(J630:J646)+SUM(J667:J712)</f>
        <v>0</v>
      </c>
      <c r="K714" s="180">
        <f>SUM(K667:K712)</f>
        <v>0</v>
      </c>
      <c r="L714" s="180" t="e">
        <f>SUM(L667:L712)</f>
        <v>#DIV/0!</v>
      </c>
      <c r="M714" s="180" t="e">
        <f>SUM(M667:M712)</f>
        <v>#DIV/0!</v>
      </c>
      <c r="N714" s="198" t="s">
        <v>742</v>
      </c>
    </row>
    <row r="715" spans="1:82" ht="12.65" customHeight="1" x14ac:dyDescent="0.3">
      <c r="C715" s="180">
        <f>CE72</f>
        <v>698268.83</v>
      </c>
      <c r="D715" s="180">
        <f>D614</f>
        <v>2410072</v>
      </c>
      <c r="E715" s="180">
        <f>E622</f>
        <v>0</v>
      </c>
      <c r="F715" s="180">
        <f>F623</f>
        <v>0</v>
      </c>
      <c r="G715" s="180">
        <f>G624</f>
        <v>0</v>
      </c>
      <c r="H715" s="180">
        <f>H627</f>
        <v>0</v>
      </c>
      <c r="I715" s="180">
        <f>I628</f>
        <v>0</v>
      </c>
      <c r="J715" s="180">
        <f>J629</f>
        <v>0</v>
      </c>
      <c r="K715" s="180">
        <f>K643</f>
        <v>0</v>
      </c>
      <c r="L715" s="180">
        <f>L646</f>
        <v>0</v>
      </c>
      <c r="M715" s="180">
        <f>C647</f>
        <v>2410072</v>
      </c>
      <c r="N715" s="198" t="s">
        <v>743</v>
      </c>
    </row>
    <row r="716" spans="1:82" ht="12.65" customHeight="1" x14ac:dyDescent="0.3">
      <c r="O716" s="198"/>
    </row>
    <row r="717" spans="1:82" ht="12.65" customHeight="1" x14ac:dyDescent="0.3">
      <c r="O717" s="198"/>
    </row>
    <row r="718" spans="1:82" ht="12.65" customHeight="1" x14ac:dyDescent="0.3">
      <c r="O718" s="198"/>
    </row>
    <row r="719" spans="1:82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2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8" t="str">
        <f>RIGHT(C84,3)&amp;"*"&amp;RIGHT(C83,4)&amp;"*"&amp;"A"</f>
        <v>tal*054*A</v>
      </c>
      <c r="B721" s="286">
        <f>ROUND(C166,0)</f>
        <v>56379</v>
      </c>
      <c r="C721" s="286">
        <f>ROUND(C167,0)</f>
        <v>204437</v>
      </c>
      <c r="D721" s="286">
        <f>ROUND(C168,0)</f>
        <v>3269206</v>
      </c>
      <c r="E721" s="286">
        <f>ROUND(C169,0)</f>
        <v>0</v>
      </c>
      <c r="F721" s="286">
        <f>ROUND(C170,0)</f>
        <v>1415506</v>
      </c>
      <c r="G721" s="286">
        <f>ROUND(C171,0)</f>
        <v>136726</v>
      </c>
      <c r="H721" s="286">
        <f>ROUND(C172+C173,0)</f>
        <v>163631</v>
      </c>
      <c r="I721" s="286">
        <f>ROUND(C176,0)</f>
        <v>58943</v>
      </c>
      <c r="J721" s="286">
        <f>ROUND(C177,0)</f>
        <v>0</v>
      </c>
      <c r="K721" s="286">
        <f>ROUND(C180,0)</f>
        <v>0</v>
      </c>
      <c r="L721" s="286">
        <f>ROUND(C181,0)</f>
        <v>0</v>
      </c>
      <c r="M721" s="286">
        <f>ROUND(C184,0)</f>
        <v>299143</v>
      </c>
      <c r="N721" s="286">
        <f>ROUND(C185,0)</f>
        <v>0</v>
      </c>
      <c r="O721" s="286">
        <f>ROUND(C186,0)</f>
        <v>0</v>
      </c>
      <c r="P721" s="286">
        <f>ROUND(C189,0)</f>
        <v>211249</v>
      </c>
      <c r="Q721" s="286">
        <f>ROUND(C190,0)</f>
        <v>0</v>
      </c>
      <c r="R721" s="286">
        <f>ROUND(B196,0)</f>
        <v>935266</v>
      </c>
      <c r="S721" s="286">
        <f>ROUND(C196,0)</f>
        <v>0</v>
      </c>
      <c r="T721" s="286">
        <f>ROUND(D196,0)</f>
        <v>0</v>
      </c>
      <c r="U721" s="286">
        <f>ROUND(B197,0)</f>
        <v>15475259</v>
      </c>
      <c r="V721" s="286">
        <f>ROUND(C197,0)</f>
        <v>99191</v>
      </c>
      <c r="W721" s="286">
        <f>ROUND(D197,0)</f>
        <v>0</v>
      </c>
      <c r="X721" s="286">
        <f>ROUND(B198,0)</f>
        <v>0</v>
      </c>
      <c r="Y721" s="286">
        <f>ROUND(C198,0)</f>
        <v>0</v>
      </c>
      <c r="Z721" s="286">
        <f>ROUND(D198,0)</f>
        <v>0</v>
      </c>
      <c r="AA721" s="286">
        <f>ROUND(B199,0)</f>
        <v>15868718</v>
      </c>
      <c r="AB721" s="286">
        <f>ROUND(C199,0)</f>
        <v>560858</v>
      </c>
      <c r="AC721" s="286">
        <f>ROUND(D199,0)</f>
        <v>158017</v>
      </c>
      <c r="AD721" s="286">
        <f>ROUND(B200,0)</f>
        <v>0</v>
      </c>
      <c r="AE721" s="286">
        <f>ROUND(C200,0)</f>
        <v>0</v>
      </c>
      <c r="AF721" s="286">
        <f>ROUND(D200,0)</f>
        <v>0</v>
      </c>
      <c r="AG721" s="286">
        <f>ROUND(B201,0)</f>
        <v>0</v>
      </c>
      <c r="AH721" s="286">
        <f>ROUND(C201,0)</f>
        <v>0</v>
      </c>
      <c r="AI721" s="286">
        <f>ROUND(D201,0)</f>
        <v>0</v>
      </c>
      <c r="AJ721" s="286">
        <f>ROUND(B202,0)</f>
        <v>0</v>
      </c>
      <c r="AK721" s="286">
        <f>ROUND(C202,0)</f>
        <v>0</v>
      </c>
      <c r="AL721" s="286">
        <f>ROUND(D202,0)</f>
        <v>0</v>
      </c>
      <c r="AM721" s="286">
        <f>ROUND(B203,0)</f>
        <v>161665</v>
      </c>
      <c r="AN721" s="286">
        <f>ROUND(C203,0)</f>
        <v>6592</v>
      </c>
      <c r="AO721" s="286">
        <f>ROUND(D203,0)</f>
        <v>0</v>
      </c>
      <c r="AP721" s="286">
        <f>ROUND(B204,0)</f>
        <v>32819411</v>
      </c>
      <c r="AQ721" s="286">
        <f>ROUND(C204,0)</f>
        <v>666640</v>
      </c>
      <c r="AR721" s="286">
        <f>ROUND(D204,0)</f>
        <v>158017</v>
      </c>
      <c r="AS721" s="286"/>
      <c r="AT721" s="286"/>
      <c r="AU721" s="286"/>
      <c r="AV721" s="286">
        <f>ROUND(B210,0)</f>
        <v>12010082</v>
      </c>
      <c r="AW721" s="286">
        <f>ROUND(C210,0)</f>
        <v>331454</v>
      </c>
      <c r="AX721" s="286">
        <f>ROUND(D210,0)</f>
        <v>0</v>
      </c>
      <c r="AY721" s="286">
        <f>ROUND(B211,0)</f>
        <v>0</v>
      </c>
      <c r="AZ721" s="286">
        <f>ROUND(C211,0)</f>
        <v>0</v>
      </c>
      <c r="BA721" s="286">
        <f>ROUND(D211,0)</f>
        <v>0</v>
      </c>
      <c r="BB721" s="286">
        <f>ROUND(B212,0)</f>
        <v>0</v>
      </c>
      <c r="BC721" s="286">
        <f>ROUND(C212,0)</f>
        <v>0</v>
      </c>
      <c r="BD721" s="286">
        <f>ROUND(D212,0)</f>
        <v>0</v>
      </c>
      <c r="BE721" s="286">
        <f>ROUND(B213,0)</f>
        <v>13703869</v>
      </c>
      <c r="BF721" s="286">
        <f>ROUND(C213,0)</f>
        <v>554164</v>
      </c>
      <c r="BG721" s="286">
        <f>ROUND(D213,0)</f>
        <v>151558</v>
      </c>
      <c r="BH721" s="286">
        <f>ROUND(B214,0)</f>
        <v>0</v>
      </c>
      <c r="BI721" s="286">
        <f>ROUND(C214,0)</f>
        <v>0</v>
      </c>
      <c r="BJ721" s="286">
        <f>ROUND(D214,0)</f>
        <v>0</v>
      </c>
      <c r="BK721" s="286">
        <f>ROUND(B215,0)</f>
        <v>0</v>
      </c>
      <c r="BL721" s="286">
        <f>ROUND(C215,0)</f>
        <v>0</v>
      </c>
      <c r="BM721" s="286">
        <f>ROUND(D215,0)</f>
        <v>0</v>
      </c>
      <c r="BN721" s="286">
        <f>ROUND(B216,0)</f>
        <v>0</v>
      </c>
      <c r="BO721" s="286">
        <f>ROUND(C216,0)</f>
        <v>0</v>
      </c>
      <c r="BP721" s="286">
        <f>ROUND(D216,0)</f>
        <v>0</v>
      </c>
      <c r="BQ721" s="286">
        <f>ROUND(B217,0)</f>
        <v>26529039</v>
      </c>
      <c r="BR721" s="286">
        <f>ROUND(C217,0)</f>
        <v>912913</v>
      </c>
      <c r="BS721" s="286">
        <f>ROUND(D217,0)</f>
        <v>151558</v>
      </c>
      <c r="BT721" s="286">
        <f>ROUND(C222,0)</f>
        <v>0</v>
      </c>
      <c r="BU721" s="286">
        <f>ROUND(C223,0)</f>
        <v>9178480</v>
      </c>
      <c r="BV721" s="286">
        <f>ROUND(C224,0)</f>
        <v>2142621</v>
      </c>
      <c r="BW721" s="286">
        <f>ROUND(C225,0)</f>
        <v>788829</v>
      </c>
      <c r="BX721" s="286">
        <f>ROUND(C226,0)</f>
        <v>3813235</v>
      </c>
      <c r="BY721" s="286">
        <f>ROUND(C227,0)</f>
        <v>4887051</v>
      </c>
      <c r="BZ721" s="286">
        <f>ROUND(C230,0)</f>
        <v>0</v>
      </c>
      <c r="CA721" s="286">
        <f>ROUND(C232,0)</f>
        <v>0</v>
      </c>
      <c r="CB721" s="286">
        <f>ROUND(C233,0)</f>
        <v>78512</v>
      </c>
      <c r="CC721" s="286">
        <f>ROUND(C237+C238,0)</f>
        <v>603734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8" t="str">
        <f>RIGHT(C84,3)&amp;"*"&amp;RIGHT(C83,4)&amp;"*"&amp;"A"</f>
        <v>tal*054*A</v>
      </c>
      <c r="B725" s="286">
        <f>ROUND(C112,0)</f>
        <v>138</v>
      </c>
      <c r="C725" s="286">
        <f>ROUND(C113,0)</f>
        <v>0</v>
      </c>
      <c r="D725" s="286">
        <f>ROUND(C114,0)</f>
        <v>45</v>
      </c>
      <c r="E725" s="286">
        <f>ROUND(C115,0)</f>
        <v>0</v>
      </c>
      <c r="F725" s="286">
        <f>ROUND(D112,0)</f>
        <v>7469</v>
      </c>
      <c r="G725" s="286">
        <f>ROUND(D113,0)</f>
        <v>0</v>
      </c>
      <c r="H725" s="286">
        <f>ROUND(D114,0)</f>
        <v>67</v>
      </c>
      <c r="I725" s="286">
        <f>ROUND(D115,0)</f>
        <v>0</v>
      </c>
      <c r="J725" s="286">
        <f>ROUND(C117,0)</f>
        <v>0</v>
      </c>
      <c r="K725" s="286">
        <f>ROUND(C118,0)</f>
        <v>17</v>
      </c>
      <c r="L725" s="286">
        <f>ROUND(C119,0)</f>
        <v>0</v>
      </c>
      <c r="M725" s="286">
        <f>ROUND(C120,0)</f>
        <v>0</v>
      </c>
      <c r="N725" s="286">
        <f>ROUND(C121,0)</f>
        <v>0</v>
      </c>
      <c r="O725" s="286">
        <f>ROUND(C122,0)</f>
        <v>0</v>
      </c>
      <c r="P725" s="286">
        <f>ROUND(C123,0)</f>
        <v>20</v>
      </c>
      <c r="Q725" s="286">
        <f>ROUND(C124,0)</f>
        <v>0</v>
      </c>
      <c r="R725" s="286">
        <f>ROUND(C125,0)</f>
        <v>0</v>
      </c>
      <c r="S725" s="286">
        <f>ROUND(C126,0)</f>
        <v>0</v>
      </c>
      <c r="T725" s="286"/>
      <c r="U725" s="286">
        <f>ROUND(C127,0)</f>
        <v>0</v>
      </c>
      <c r="V725" s="286">
        <f>ROUND(C129,0)</f>
        <v>0</v>
      </c>
      <c r="W725" s="286">
        <f>ROUND(C130,0)</f>
        <v>0</v>
      </c>
      <c r="X725" s="286">
        <f>ROUND(B139,0)</f>
        <v>408</v>
      </c>
      <c r="Y725" s="286">
        <f>ROUND(B140,0)</f>
        <v>0</v>
      </c>
      <c r="Z725" s="286">
        <f>ROUND(B141,0)</f>
        <v>2548004</v>
      </c>
      <c r="AA725" s="286">
        <f>ROUND(B142,0)</f>
        <v>16745376</v>
      </c>
      <c r="AB725" s="286">
        <f>ROUND(B143,0)</f>
        <v>0</v>
      </c>
      <c r="AC725" s="286">
        <f>ROUND(C139,0)</f>
        <v>45</v>
      </c>
      <c r="AD725" s="286">
        <f>ROUND(C140,0)</f>
        <v>0</v>
      </c>
      <c r="AE725" s="286">
        <f>ROUND(C141,0)</f>
        <v>1172794</v>
      </c>
      <c r="AF725" s="286">
        <f>ROUND(C142,0)</f>
        <v>11635130</v>
      </c>
      <c r="AG725" s="286">
        <f>ROUND(C143,0)</f>
        <v>0</v>
      </c>
      <c r="AH725" s="286">
        <f>ROUND(D139,0)</f>
        <v>194</v>
      </c>
      <c r="AI725" s="286">
        <f>ROUND(D140,0)</f>
        <v>0</v>
      </c>
      <c r="AJ725" s="286">
        <f>ROUND(D141,0)</f>
        <v>770981</v>
      </c>
      <c r="AK725" s="286">
        <f>ROUND(D142,0)</f>
        <v>18065948</v>
      </c>
      <c r="AL725" s="286">
        <f>ROUND(D143,0)</f>
        <v>0</v>
      </c>
      <c r="AM725" s="286">
        <f>ROUND(B145,0)</f>
        <v>408</v>
      </c>
      <c r="AN725" s="286">
        <f>ROUND(B146,0)</f>
        <v>0</v>
      </c>
      <c r="AO725" s="286">
        <f>ROUND(B147,0)</f>
        <v>1182227</v>
      </c>
      <c r="AP725" s="286">
        <f>ROUND(B148,0)</f>
        <v>0</v>
      </c>
      <c r="AQ725" s="286">
        <f>ROUND(B149,0)</f>
        <v>0</v>
      </c>
      <c r="AR725" s="286">
        <f>ROUND(C145,0)</f>
        <v>4866</v>
      </c>
      <c r="AS725" s="286">
        <f>ROUND(C146,0)</f>
        <v>0</v>
      </c>
      <c r="AT725" s="286">
        <f>ROUND(C147,0)</f>
        <v>1574225</v>
      </c>
      <c r="AU725" s="286">
        <f>ROUND(C148,0)</f>
        <v>0</v>
      </c>
      <c r="AV725" s="286">
        <f>ROUND(C149,0)</f>
        <v>0</v>
      </c>
      <c r="AW725" s="286">
        <f>ROUND(D145,0)</f>
        <v>2195</v>
      </c>
      <c r="AX725" s="286">
        <f>ROUND(D146,0)</f>
        <v>0</v>
      </c>
      <c r="AY725" s="286">
        <f>ROUND(D147,0)</f>
        <v>823473</v>
      </c>
      <c r="AZ725" s="286">
        <f>ROUND(D148,0)</f>
        <v>0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0</v>
      </c>
      <c r="BR725" s="286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8" t="str">
        <f>RIGHT(C84,3)&amp;"*"&amp;RIGHT(C83,4)&amp;"*"&amp;"A"</f>
        <v>tal*054*A</v>
      </c>
      <c r="B729" s="286">
        <f>ROUND(C249,0)</f>
        <v>0</v>
      </c>
      <c r="C729" s="286">
        <f>ROUND(C250,0)</f>
        <v>16031717</v>
      </c>
      <c r="D729" s="286">
        <f>ROUND(C251,0)</f>
        <v>0</v>
      </c>
      <c r="E729" s="286">
        <f>ROUND(C252,0)</f>
        <v>8508757</v>
      </c>
      <c r="F729" s="286">
        <f>ROUND(C253,0)</f>
        <v>4023506</v>
      </c>
      <c r="G729" s="286">
        <f>ROUND(C254,0)</f>
        <v>149026</v>
      </c>
      <c r="H729" s="286">
        <f>ROUND(C255,0)</f>
        <v>0</v>
      </c>
      <c r="I729" s="286">
        <f>ROUND(C256,0)</f>
        <v>0</v>
      </c>
      <c r="J729" s="286">
        <f>ROUND(C257,0)</f>
        <v>744248</v>
      </c>
      <c r="K729" s="286">
        <f>ROUND(C258,0)</f>
        <v>299308</v>
      </c>
      <c r="L729" s="286">
        <f>ROUND(C261,0)</f>
        <v>0</v>
      </c>
      <c r="M729" s="286">
        <f>ROUND(C262,0)</f>
        <v>814221</v>
      </c>
      <c r="N729" s="286">
        <f>ROUND(C263,0)</f>
        <v>0</v>
      </c>
      <c r="O729" s="286">
        <f>ROUND(C266,0)</f>
        <v>0</v>
      </c>
      <c r="P729" s="286">
        <f>ROUND(C267,0)</f>
        <v>378503</v>
      </c>
      <c r="Q729" s="286">
        <f>ROUND(C268,0)</f>
        <v>935266</v>
      </c>
      <c r="R729" s="286">
        <f>ROUND(C269,0)</f>
        <v>15574451</v>
      </c>
      <c r="S729" s="286">
        <f>ROUND(C270,0)</f>
        <v>0</v>
      </c>
      <c r="T729" s="286">
        <f>ROUND(C271,0)</f>
        <v>16271558</v>
      </c>
      <c r="U729" s="286">
        <f>ROUND(C272,0)</f>
        <v>0</v>
      </c>
      <c r="V729" s="286">
        <f>ROUND(C273,0)</f>
        <v>0</v>
      </c>
      <c r="W729" s="286">
        <f>ROUND(C274,0)</f>
        <v>168257</v>
      </c>
      <c r="X729" s="286">
        <f>ROUND(C275,0)</f>
        <v>0</v>
      </c>
      <c r="Y729" s="286">
        <f>ROUND(C278,0)</f>
        <v>0</v>
      </c>
      <c r="Z729" s="286">
        <f>ROUND(C279,0)</f>
        <v>0</v>
      </c>
      <c r="AA729" s="286">
        <f>ROUND(C280,0)</f>
        <v>0</v>
      </c>
      <c r="AB729" s="286">
        <f>ROUND(C281,0)</f>
        <v>48841</v>
      </c>
      <c r="AC729" s="286">
        <f>ROUND(C285,0)</f>
        <v>0</v>
      </c>
      <c r="AD729" s="286">
        <f>ROUND(C286,0)</f>
        <v>0</v>
      </c>
      <c r="AE729" s="286">
        <f>ROUND(C287,0)</f>
        <v>0</v>
      </c>
      <c r="AF729" s="286">
        <f>ROUND(C288,0)</f>
        <v>0</v>
      </c>
      <c r="AG729" s="286">
        <f>ROUND(C303,0)</f>
        <v>0</v>
      </c>
      <c r="AH729" s="286">
        <f>ROUND(C304,0)</f>
        <v>4312207</v>
      </c>
      <c r="AI729" s="286">
        <f>ROUND(C305,0)</f>
        <v>406362</v>
      </c>
      <c r="AJ729" s="286">
        <f>ROUND(C306,0)</f>
        <v>2214157</v>
      </c>
      <c r="AK729" s="286">
        <f>ROUND(C307,0)</f>
        <v>17099</v>
      </c>
      <c r="AL729" s="286">
        <f>ROUND(C308,0)</f>
        <v>0</v>
      </c>
      <c r="AM729" s="286">
        <f>ROUND(C309,0)</f>
        <v>3842946</v>
      </c>
      <c r="AN729" s="286">
        <f>ROUND(C310,0)</f>
        <v>0</v>
      </c>
      <c r="AO729" s="286">
        <f>ROUND(C311,0)</f>
        <v>0</v>
      </c>
      <c r="AP729" s="286">
        <f>ROUND(C312,0)</f>
        <v>3372929</v>
      </c>
      <c r="AQ729" s="286">
        <f>ROUND(C315,0)</f>
        <v>0</v>
      </c>
      <c r="AR729" s="286">
        <f>ROUND(C316,0)</f>
        <v>0</v>
      </c>
      <c r="AS729" s="286">
        <f>ROUND(C317,0)</f>
        <v>0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0</v>
      </c>
      <c r="AX729" s="286">
        <f>ROUND(C324,0)</f>
        <v>311267</v>
      </c>
      <c r="AY729" s="286">
        <f>ROUND(C325,0)</f>
        <v>4260000</v>
      </c>
      <c r="AZ729" s="286">
        <f>ROUND(C326,0)</f>
        <v>0</v>
      </c>
      <c r="BA729" s="286">
        <f>ROUND(C327,0)</f>
        <v>4232379</v>
      </c>
      <c r="BB729" s="286">
        <f>ROUND(C331,0)</f>
        <v>0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240.45</v>
      </c>
      <c r="BJ729" s="286">
        <f>ROUND(C358,0)</f>
        <v>0</v>
      </c>
      <c r="BK729" s="286">
        <f>ROUND(C359,0)</f>
        <v>8071704</v>
      </c>
      <c r="BL729" s="286">
        <f>ROUND(C362,0)</f>
        <v>0</v>
      </c>
      <c r="BM729" s="286">
        <f>ROUND(C363,0)</f>
        <v>1097273</v>
      </c>
      <c r="BN729" s="286">
        <f>ROUND(C364,0)</f>
        <v>20810216</v>
      </c>
      <c r="BO729" s="286">
        <f>ROUND(C368,0)</f>
        <v>0</v>
      </c>
      <c r="BP729" s="286">
        <f>ROUND(C369,0)</f>
        <v>0</v>
      </c>
      <c r="BQ729" s="286">
        <f>ROUND(C376,0)</f>
        <v>0</v>
      </c>
      <c r="BR729" s="286">
        <f>ROUND(C377,0)</f>
        <v>0</v>
      </c>
      <c r="BS729" s="286">
        <f>ROUND(C378,0)</f>
        <v>17499022</v>
      </c>
      <c r="BT729" s="286">
        <f>ROUND(C379,0)</f>
        <v>5492358</v>
      </c>
      <c r="BU729" s="286">
        <f>ROUND(C380,0)</f>
        <v>2592054</v>
      </c>
      <c r="BV729" s="286">
        <f>ROUND(C381,0)</f>
        <v>3361387</v>
      </c>
      <c r="BW729" s="286">
        <f>ROUND(C382,0)</f>
        <v>444021</v>
      </c>
      <c r="BX729" s="286">
        <f>ROUND(C383,0)</f>
        <v>1903360</v>
      </c>
      <c r="BY729" s="286">
        <f>ROUND(C384,0)</f>
        <v>912909</v>
      </c>
      <c r="BZ729" s="286">
        <f>ROUND(C385,0)</f>
        <v>101703</v>
      </c>
      <c r="CA729" s="286">
        <f>ROUND(C386,0)</f>
        <v>290737</v>
      </c>
      <c r="CB729" s="286">
        <f>ROUND(C387,0)</f>
        <v>362855</v>
      </c>
      <c r="CC729" s="286">
        <f>ROUND(C388,0)</f>
        <v>238571</v>
      </c>
      <c r="CD729" s="286">
        <f>ROUND(C391,0)</f>
        <v>0</v>
      </c>
      <c r="CE729" s="286">
        <f>ROUND(C393,0)</f>
        <v>0</v>
      </c>
      <c r="CF729" s="286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tal*054*6010*A</v>
      </c>
      <c r="B733" s="286">
        <f>ROUND(C59,0)</f>
        <v>0</v>
      </c>
      <c r="C733" s="289">
        <f>ROUND(C60,2)</f>
        <v>0</v>
      </c>
      <c r="D733" s="286">
        <f>ROUND(C61,0)</f>
        <v>0</v>
      </c>
      <c r="E733" s="286">
        <f>ROUND(C62,0)</f>
        <v>0</v>
      </c>
      <c r="F733" s="286">
        <f>ROUND(C63,0)</f>
        <v>0</v>
      </c>
      <c r="G733" s="286">
        <f>ROUND(C64,0)</f>
        <v>0</v>
      </c>
      <c r="H733" s="286">
        <f>ROUND(C65,0)</f>
        <v>0</v>
      </c>
      <c r="I733" s="286">
        <f>ROUND(C66,0)</f>
        <v>0</v>
      </c>
      <c r="J733" s="286">
        <f>ROUND(C67,0)</f>
        <v>0</v>
      </c>
      <c r="K733" s="286">
        <f>ROUND(C68,0)</f>
        <v>0</v>
      </c>
      <c r="L733" s="286">
        <f>ROUND(C70,0)</f>
        <v>0</v>
      </c>
      <c r="M733" s="286">
        <f>ROUND(C71,0)</f>
        <v>0</v>
      </c>
      <c r="N733" s="286">
        <f>ROUND(C76,0)</f>
        <v>0</v>
      </c>
      <c r="O733" s="286">
        <f>ROUND(C74,0)</f>
        <v>0</v>
      </c>
      <c r="P733" s="286">
        <f>IF(C77&gt;0,ROUND(C77,0),0)</f>
        <v>0</v>
      </c>
      <c r="Q733" s="286">
        <f>IF(C78&gt;0,ROUND(C78,0),0)</f>
        <v>0</v>
      </c>
      <c r="R733" s="286">
        <f>IF(C79&gt;0,ROUND(C79,0),0)</f>
        <v>0</v>
      </c>
      <c r="S733" s="286">
        <f>IF(C80&gt;0,ROUND(C80,0),0)</f>
        <v>0</v>
      </c>
      <c r="T733" s="289">
        <f>IF(C81&gt;0,ROUND(C81,2),0)</f>
        <v>0</v>
      </c>
      <c r="U733" s="286"/>
      <c r="X733" s="286"/>
      <c r="Y733" s="286"/>
      <c r="Z733" s="286" t="e">
        <f>IF(M667&lt;&gt;0,ROUND(M667,0),0)</f>
        <v>#DIV/0!</v>
      </c>
    </row>
    <row r="734" spans="1:84" ht="12.65" customHeight="1" x14ac:dyDescent="0.3">
      <c r="A734" s="209" t="str">
        <f>RIGHT($C$84,3)&amp;"*"&amp;RIGHT($C$83,4)&amp;"*"&amp;D$55&amp;"*"&amp;"A"</f>
        <v>tal*054*6030*A</v>
      </c>
      <c r="B734" s="286">
        <f>ROUND(D59,0)</f>
        <v>0</v>
      </c>
      <c r="C734" s="289">
        <f>ROUND(D60,2)</f>
        <v>0</v>
      </c>
      <c r="D734" s="286">
        <f>ROUND(D61,0)</f>
        <v>0</v>
      </c>
      <c r="E734" s="286">
        <f>ROUND(D62,0)</f>
        <v>0</v>
      </c>
      <c r="F734" s="286">
        <f>ROUND(D63,0)</f>
        <v>0</v>
      </c>
      <c r="G734" s="286">
        <f>ROUND(D64,0)</f>
        <v>0</v>
      </c>
      <c r="H734" s="286">
        <f>ROUND(D65,0)</f>
        <v>0</v>
      </c>
      <c r="I734" s="286">
        <f>ROUND(D66,0)</f>
        <v>0</v>
      </c>
      <c r="J734" s="286">
        <f>ROUND(D67,0)</f>
        <v>0</v>
      </c>
      <c r="K734" s="286">
        <f>ROUND(D68,0)</f>
        <v>0</v>
      </c>
      <c r="L734" s="286">
        <f>ROUND(D70,0)</f>
        <v>0</v>
      </c>
      <c r="M734" s="286">
        <f>ROUND(D71,0)</f>
        <v>0</v>
      </c>
      <c r="N734" s="286">
        <f>ROUND(D76,0)</f>
        <v>0</v>
      </c>
      <c r="O734" s="286">
        <f>ROUND(D74,0)</f>
        <v>0</v>
      </c>
      <c r="P734" s="286">
        <f>IF(D77&gt;0,ROUND(D77,0),0)</f>
        <v>0</v>
      </c>
      <c r="Q734" s="286">
        <f>IF(D78&gt;0,ROUND(D78,0),0)</f>
        <v>0</v>
      </c>
      <c r="R734" s="286">
        <f>IF(D79&gt;0,ROUND(D79,0),0)</f>
        <v>0</v>
      </c>
      <c r="S734" s="286">
        <f>IF(D80&gt;0,ROUND(D80,0),0)</f>
        <v>0</v>
      </c>
      <c r="T734" s="289">
        <f>IF(D81&gt;0,ROUND(D81,2),0)</f>
        <v>0</v>
      </c>
      <c r="U734" s="286"/>
      <c r="X734" s="286"/>
      <c r="Y734" s="286"/>
      <c r="Z734" s="286" t="e">
        <f t="shared" ref="Z734:Z778" si="9">IF(M668&lt;&gt;0,ROUND(M668,0),0)</f>
        <v>#DIV/0!</v>
      </c>
    </row>
    <row r="735" spans="1:84" ht="12.65" customHeight="1" x14ac:dyDescent="0.3">
      <c r="A735" s="209" t="str">
        <f>RIGHT($C$84,3)&amp;"*"&amp;RIGHT($C$83,4)&amp;"*"&amp;E$55&amp;"*"&amp;"A"</f>
        <v>tal*054*6070*A</v>
      </c>
      <c r="B735" s="286">
        <f>ROUND(E59,0)</f>
        <v>647</v>
      </c>
      <c r="C735" s="289">
        <f>ROUND(E60,2)</f>
        <v>14.92</v>
      </c>
      <c r="D735" s="286">
        <f>ROUND(E61,0)</f>
        <v>1446231</v>
      </c>
      <c r="E735" s="286">
        <f>ROUND(E62,0)</f>
        <v>453924</v>
      </c>
      <c r="F735" s="286">
        <f>ROUND(E63,0)</f>
        <v>156400</v>
      </c>
      <c r="G735" s="286">
        <f>ROUND(E64,0)</f>
        <v>81245</v>
      </c>
      <c r="H735" s="286">
        <f>ROUND(E65,0)</f>
        <v>882</v>
      </c>
      <c r="I735" s="286">
        <f>ROUND(E66,0)</f>
        <v>32285</v>
      </c>
      <c r="J735" s="286">
        <f>ROUND(E67,0)</f>
        <v>62613</v>
      </c>
      <c r="K735" s="286">
        <f>ROUND(E68,0)</f>
        <v>0</v>
      </c>
      <c r="L735" s="286">
        <f>ROUND(E70,0)</f>
        <v>0</v>
      </c>
      <c r="M735" s="286">
        <f>ROUND(E71,0)</f>
        <v>2235232</v>
      </c>
      <c r="N735" s="286">
        <f>ROUND(E76,0)</f>
        <v>2649</v>
      </c>
      <c r="O735" s="286">
        <f>ROUND(E74,0)</f>
        <v>420380</v>
      </c>
      <c r="P735" s="286">
        <f>IF(E77&gt;0,ROUND(E77,0),0)</f>
        <v>5038</v>
      </c>
      <c r="Q735" s="286">
        <f>IF(E78&gt;0,ROUND(E78,0),0)</f>
        <v>1216</v>
      </c>
      <c r="R735" s="286">
        <f>IF(E79&gt;0,ROUND(E79,0),0)</f>
        <v>21508</v>
      </c>
      <c r="S735" s="286">
        <f>IF(E80&gt;0,ROUND(E80,0),0)</f>
        <v>7</v>
      </c>
      <c r="T735" s="289">
        <f>IF(E81&gt;0,ROUND(E81,2),0)</f>
        <v>0</v>
      </c>
      <c r="U735" s="286"/>
      <c r="X735" s="286"/>
      <c r="Y735" s="286"/>
      <c r="Z735" s="286" t="e">
        <f t="shared" si="9"/>
        <v>#DIV/0!</v>
      </c>
    </row>
    <row r="736" spans="1:84" ht="12.65" customHeight="1" x14ac:dyDescent="0.3">
      <c r="A736" s="209" t="str">
        <f>RIGHT($C$84,3)&amp;"*"&amp;RIGHT($C$83,4)&amp;"*"&amp;F$55&amp;"*"&amp;"A"</f>
        <v>tal*054*6100*A</v>
      </c>
      <c r="B736" s="286">
        <f>ROUND(F59,0)</f>
        <v>0</v>
      </c>
      <c r="C736" s="289">
        <f>ROUND(F60,2)</f>
        <v>0</v>
      </c>
      <c r="D736" s="286">
        <f>ROUND(F61,0)</f>
        <v>0</v>
      </c>
      <c r="E736" s="286">
        <f>ROUND(F62,0)</f>
        <v>0</v>
      </c>
      <c r="F736" s="286">
        <f>ROUND(F63,0)</f>
        <v>0</v>
      </c>
      <c r="G736" s="286">
        <f>ROUND(F64,0)</f>
        <v>0</v>
      </c>
      <c r="H736" s="286">
        <f>ROUND(F65,0)</f>
        <v>0</v>
      </c>
      <c r="I736" s="286">
        <f>ROUND(F66,0)</f>
        <v>0</v>
      </c>
      <c r="J736" s="286">
        <f>ROUND(F67,0)</f>
        <v>0</v>
      </c>
      <c r="K736" s="286">
        <f>ROUND(F68,0)</f>
        <v>0</v>
      </c>
      <c r="L736" s="286">
        <f>ROUND(F70,0)</f>
        <v>0</v>
      </c>
      <c r="M736" s="286">
        <f>ROUND(F71,0)</f>
        <v>0</v>
      </c>
      <c r="N736" s="286">
        <f>ROUND(F76,0)</f>
        <v>0</v>
      </c>
      <c r="O736" s="286">
        <f>ROUND(F74,0)</f>
        <v>0</v>
      </c>
      <c r="P736" s="286">
        <f>IF(F77&gt;0,ROUND(F77,0),0)</f>
        <v>0</v>
      </c>
      <c r="Q736" s="286">
        <f>IF(F78&gt;0,ROUND(F78,0),0)</f>
        <v>0</v>
      </c>
      <c r="R736" s="286">
        <f>IF(F79&gt;0,ROUND(F79,0),0)</f>
        <v>0</v>
      </c>
      <c r="S736" s="286">
        <f>IF(F80&gt;0,ROUND(F80,0),0)</f>
        <v>0</v>
      </c>
      <c r="T736" s="289">
        <f>IF(F81&gt;0,ROUND(F81,2),0)</f>
        <v>0</v>
      </c>
      <c r="U736" s="286"/>
      <c r="X736" s="286"/>
      <c r="Y736" s="286"/>
      <c r="Z736" s="286" t="e">
        <f t="shared" si="9"/>
        <v>#DIV/0!</v>
      </c>
    </row>
    <row r="737" spans="1:26" ht="12.65" customHeight="1" x14ac:dyDescent="0.3">
      <c r="A737" s="209" t="str">
        <f>RIGHT($C$84,3)&amp;"*"&amp;RIGHT($C$83,4)&amp;"*"&amp;G$55&amp;"*"&amp;"A"</f>
        <v>tal*054*6120*A</v>
      </c>
      <c r="B737" s="286">
        <f>ROUND(G59,0)</f>
        <v>0</v>
      </c>
      <c r="C737" s="289">
        <f>ROUND(G60,2)</f>
        <v>0</v>
      </c>
      <c r="D737" s="286">
        <f>ROUND(G61,0)</f>
        <v>0</v>
      </c>
      <c r="E737" s="286">
        <f>ROUND(G62,0)</f>
        <v>0</v>
      </c>
      <c r="F737" s="286">
        <f>ROUND(G63,0)</f>
        <v>0</v>
      </c>
      <c r="G737" s="286">
        <f>ROUND(G64,0)</f>
        <v>0</v>
      </c>
      <c r="H737" s="286">
        <f>ROUND(G65,0)</f>
        <v>0</v>
      </c>
      <c r="I737" s="286">
        <f>ROUND(G66,0)</f>
        <v>0</v>
      </c>
      <c r="J737" s="286">
        <f>ROUND(G67,0)</f>
        <v>0</v>
      </c>
      <c r="K737" s="286">
        <f>ROUND(G68,0)</f>
        <v>0</v>
      </c>
      <c r="L737" s="286">
        <f>ROUND(G70,0)</f>
        <v>0</v>
      </c>
      <c r="M737" s="286">
        <f>ROUND(G71,0)</f>
        <v>0</v>
      </c>
      <c r="N737" s="286">
        <f>ROUND(G76,0)</f>
        <v>0</v>
      </c>
      <c r="O737" s="286">
        <f>ROUND(G74,0)</f>
        <v>0</v>
      </c>
      <c r="P737" s="286">
        <f>IF(G77&gt;0,ROUND(G77,0),0)</f>
        <v>0</v>
      </c>
      <c r="Q737" s="286">
        <f>IF(G78&gt;0,ROUND(G78,0),0)</f>
        <v>0</v>
      </c>
      <c r="R737" s="286">
        <f>IF(G79&gt;0,ROUND(G79,0),0)</f>
        <v>0</v>
      </c>
      <c r="S737" s="286">
        <f>IF(G80&gt;0,ROUND(G80,0),0)</f>
        <v>0</v>
      </c>
      <c r="T737" s="289">
        <f>IF(G81&gt;0,ROUND(G81,2),0)</f>
        <v>0</v>
      </c>
      <c r="U737" s="286"/>
      <c r="X737" s="286"/>
      <c r="Y737" s="286"/>
      <c r="Z737" s="286" t="e">
        <f t="shared" si="9"/>
        <v>#DIV/0!</v>
      </c>
    </row>
    <row r="738" spans="1:26" ht="12.65" customHeight="1" x14ac:dyDescent="0.3">
      <c r="A738" s="209" t="str">
        <f>RIGHT($C$84,3)&amp;"*"&amp;RIGHT($C$83,4)&amp;"*"&amp;H$55&amp;"*"&amp;"A"</f>
        <v>tal*054*6140*A</v>
      </c>
      <c r="B738" s="286">
        <f>ROUND(H59,0)</f>
        <v>0</v>
      </c>
      <c r="C738" s="289">
        <f>ROUND(H60,2)</f>
        <v>0</v>
      </c>
      <c r="D738" s="286">
        <f>ROUND(H61,0)</f>
        <v>0</v>
      </c>
      <c r="E738" s="286">
        <f>ROUND(H62,0)</f>
        <v>0</v>
      </c>
      <c r="F738" s="286">
        <f>ROUND(H63,0)</f>
        <v>0</v>
      </c>
      <c r="G738" s="286">
        <f>ROUND(H64,0)</f>
        <v>0</v>
      </c>
      <c r="H738" s="286">
        <f>ROUND(H65,0)</f>
        <v>0</v>
      </c>
      <c r="I738" s="286">
        <f>ROUND(H66,0)</f>
        <v>0</v>
      </c>
      <c r="J738" s="286">
        <f>ROUND(H67,0)</f>
        <v>0</v>
      </c>
      <c r="K738" s="286">
        <f>ROUND(H68,0)</f>
        <v>0</v>
      </c>
      <c r="L738" s="286">
        <f>ROUND(H70,0)</f>
        <v>0</v>
      </c>
      <c r="M738" s="286">
        <f>ROUND(H71,0)</f>
        <v>0</v>
      </c>
      <c r="N738" s="286">
        <f>ROUND(H76,0)</f>
        <v>0</v>
      </c>
      <c r="O738" s="286">
        <f>ROUND(H74,0)</f>
        <v>0</v>
      </c>
      <c r="P738" s="286">
        <f>IF(H77&gt;0,ROUND(H77,0),0)</f>
        <v>0</v>
      </c>
      <c r="Q738" s="286">
        <f>IF(H78&gt;0,ROUND(H78,0),0)</f>
        <v>0</v>
      </c>
      <c r="R738" s="286">
        <f>IF(H79&gt;0,ROUND(H79,0),0)</f>
        <v>0</v>
      </c>
      <c r="S738" s="286">
        <f>IF(H80&gt;0,ROUND(H80,0),0)</f>
        <v>0</v>
      </c>
      <c r="T738" s="289">
        <f>IF(H81&gt;0,ROUND(H81,2),0)</f>
        <v>0</v>
      </c>
      <c r="U738" s="286"/>
      <c r="X738" s="286"/>
      <c r="Y738" s="286"/>
      <c r="Z738" s="286" t="e">
        <f t="shared" si="9"/>
        <v>#DIV/0!</v>
      </c>
    </row>
    <row r="739" spans="1:26" ht="12.65" customHeight="1" x14ac:dyDescent="0.3">
      <c r="A739" s="209" t="str">
        <f>RIGHT($C$84,3)&amp;"*"&amp;RIGHT($C$83,4)&amp;"*"&amp;I$55&amp;"*"&amp;"A"</f>
        <v>tal*054*6150*A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>
        <f>ROUND(I62,0)</f>
        <v>0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>
        <f>ROUND(I67,0)</f>
        <v>0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 t="e">
        <f t="shared" si="9"/>
        <v>#DIV/0!</v>
      </c>
    </row>
    <row r="740" spans="1:26" ht="12.65" customHeight="1" x14ac:dyDescent="0.3">
      <c r="A740" s="209" t="str">
        <f>RIGHT($C$84,3)&amp;"*"&amp;RIGHT($C$83,4)&amp;"*"&amp;J$55&amp;"*"&amp;"A"</f>
        <v>tal*054*6170*A</v>
      </c>
      <c r="B740" s="286">
        <f>ROUND(J59,0)</f>
        <v>67</v>
      </c>
      <c r="C740" s="289">
        <f>ROUND(J60,2)</f>
        <v>0</v>
      </c>
      <c r="D740" s="286">
        <f>ROUND(J61,0)</f>
        <v>0</v>
      </c>
      <c r="E740" s="286">
        <f>ROUND(J62,0)</f>
        <v>0</v>
      </c>
      <c r="F740" s="286">
        <f>ROUND(J63,0)</f>
        <v>0</v>
      </c>
      <c r="G740" s="286">
        <f>ROUND(J64,0)</f>
        <v>2450</v>
      </c>
      <c r="H740" s="286">
        <f>ROUND(J65,0)</f>
        <v>0</v>
      </c>
      <c r="I740" s="286">
        <f>ROUND(J66,0)</f>
        <v>0</v>
      </c>
      <c r="J740" s="286">
        <f>ROUND(J67,0)</f>
        <v>826</v>
      </c>
      <c r="K740" s="286">
        <f>ROUND(J68,0)</f>
        <v>0</v>
      </c>
      <c r="L740" s="286">
        <f>ROUND(J70,0)</f>
        <v>0</v>
      </c>
      <c r="M740" s="286">
        <f>ROUND(J71,0)</f>
        <v>3276</v>
      </c>
      <c r="N740" s="286">
        <f>ROUND(J76,0)</f>
        <v>167</v>
      </c>
      <c r="O740" s="286">
        <f>ROUND(J74,0)</f>
        <v>1330</v>
      </c>
      <c r="P740" s="286">
        <f>IF(J77&gt;0,ROUND(J77,0),0)</f>
        <v>0</v>
      </c>
      <c r="Q740" s="286">
        <f>IF(J78&gt;0,ROUND(J78,0),0)</f>
        <v>34</v>
      </c>
      <c r="R740" s="286">
        <f>IF(J79&gt;0,ROUND(J79,0),0)</f>
        <v>0</v>
      </c>
      <c r="S740" s="286">
        <f>IF(J80&gt;0,ROUND(J80,0),0)</f>
        <v>0</v>
      </c>
      <c r="T740" s="289">
        <f>IF(J81&gt;0,ROUND(J81,2),0)</f>
        <v>0</v>
      </c>
      <c r="U740" s="286"/>
      <c r="X740" s="286"/>
      <c r="Y740" s="286"/>
      <c r="Z740" s="286" t="e">
        <f t="shared" si="9"/>
        <v>#DIV/0!</v>
      </c>
    </row>
    <row r="741" spans="1:26" ht="12.65" customHeight="1" x14ac:dyDescent="0.3">
      <c r="A741" s="209" t="str">
        <f>RIGHT($C$84,3)&amp;"*"&amp;RIGHT($C$83,4)&amp;"*"&amp;K$55&amp;"*"&amp;"A"</f>
        <v>tal*054*6200*A</v>
      </c>
      <c r="B741" s="286">
        <f>ROUND(K59,0)</f>
        <v>6779</v>
      </c>
      <c r="C741" s="289">
        <f>ROUND(K60,2)</f>
        <v>28.24</v>
      </c>
      <c r="D741" s="286">
        <f>ROUND(K61,0)</f>
        <v>1770518</v>
      </c>
      <c r="E741" s="286">
        <f>ROUND(K62,0)</f>
        <v>555706</v>
      </c>
      <c r="F741" s="286">
        <f>ROUND(K63,0)</f>
        <v>40516</v>
      </c>
      <c r="G741" s="286">
        <f>ROUND(K64,0)</f>
        <v>104049</v>
      </c>
      <c r="H741" s="286">
        <f>ROUND(K65,0)</f>
        <v>639</v>
      </c>
      <c r="I741" s="286">
        <f>ROUND(K66,0)</f>
        <v>19062</v>
      </c>
      <c r="J741" s="286">
        <f>ROUND(K67,0)</f>
        <v>40932</v>
      </c>
      <c r="K741" s="286">
        <f>ROUND(K68,0)</f>
        <v>2640</v>
      </c>
      <c r="L741" s="286">
        <f>ROUND(K70,0)</f>
        <v>0</v>
      </c>
      <c r="M741" s="286">
        <f>ROUND(K71,0)</f>
        <v>2539950</v>
      </c>
      <c r="N741" s="286">
        <f>ROUND(K76,0)</f>
        <v>2417</v>
      </c>
      <c r="O741" s="286">
        <f>ROUND(K74,0)</f>
        <v>35142</v>
      </c>
      <c r="P741" s="286">
        <f>IF(K77&gt;0,ROUND(K77,0),0)</f>
        <v>0</v>
      </c>
      <c r="Q741" s="286">
        <f>IF(K78&gt;0,ROUND(K78,0),0)</f>
        <v>2019</v>
      </c>
      <c r="R741" s="286">
        <f>IF(K79&gt;0,ROUND(K79,0),0)</f>
        <v>114905</v>
      </c>
      <c r="S741" s="286">
        <f>IF(K80&gt;0,ROUND(K80,0),0)</f>
        <v>8</v>
      </c>
      <c r="T741" s="289">
        <f>IF(K81&gt;0,ROUND(K81,2),0)</f>
        <v>0</v>
      </c>
      <c r="U741" s="286"/>
      <c r="X741" s="286"/>
      <c r="Y741" s="286"/>
      <c r="Z741" s="286" t="e">
        <f t="shared" si="9"/>
        <v>#DIV/0!</v>
      </c>
    </row>
    <row r="742" spans="1:26" ht="12.65" customHeight="1" x14ac:dyDescent="0.3">
      <c r="A742" s="209" t="str">
        <f>RIGHT($C$84,3)&amp;"*"&amp;RIGHT($C$83,4)&amp;"*"&amp;L$55&amp;"*"&amp;"A"</f>
        <v>tal*054*6210*A</v>
      </c>
      <c r="B742" s="286">
        <f>ROUND(L59,0)</f>
        <v>690</v>
      </c>
      <c r="C742" s="289">
        <f>ROUND(L60,2)</f>
        <v>4.16</v>
      </c>
      <c r="D742" s="286">
        <f>ROUND(L61,0)</f>
        <v>355278</v>
      </c>
      <c r="E742" s="286">
        <f>ROUND(L62,0)</f>
        <v>111510</v>
      </c>
      <c r="F742" s="286">
        <f>ROUND(L63,0)</f>
        <v>0</v>
      </c>
      <c r="G742" s="286">
        <f>ROUND(L64,0)</f>
        <v>0</v>
      </c>
      <c r="H742" s="286">
        <f>ROUND(L65,0)</f>
        <v>0</v>
      </c>
      <c r="I742" s="286">
        <f>ROUND(L66,0)</f>
        <v>0</v>
      </c>
      <c r="J742" s="286">
        <f>ROUND(L67,0)</f>
        <v>8585</v>
      </c>
      <c r="K742" s="286">
        <f>ROUND(L68,0)</f>
        <v>0</v>
      </c>
      <c r="L742" s="286">
        <f>ROUND(L70,0)</f>
        <v>0</v>
      </c>
      <c r="M742" s="286">
        <f>ROUND(L71,0)</f>
        <v>475373</v>
      </c>
      <c r="N742" s="286">
        <f>ROUND(L76,0)</f>
        <v>1736</v>
      </c>
      <c r="O742" s="286">
        <f>ROUND(L74,0)</f>
        <v>128704</v>
      </c>
      <c r="P742" s="286">
        <f>IF(L77&gt;0,ROUND(L77,0),0)</f>
        <v>20807</v>
      </c>
      <c r="Q742" s="286">
        <f>IF(L78&gt;0,ROUND(L78,0),0)</f>
        <v>1076</v>
      </c>
      <c r="R742" s="286">
        <f>IF(L79&gt;0,ROUND(L79,0),0)</f>
        <v>22936</v>
      </c>
      <c r="S742" s="286">
        <f>IF(L80&gt;0,ROUND(L80,0),0)</f>
        <v>3</v>
      </c>
      <c r="T742" s="289">
        <f>IF(L81&gt;0,ROUND(L81,2),0)</f>
        <v>0</v>
      </c>
      <c r="U742" s="286"/>
      <c r="X742" s="286"/>
      <c r="Y742" s="286"/>
      <c r="Z742" s="286" t="e">
        <f t="shared" si="9"/>
        <v>#DIV/0!</v>
      </c>
    </row>
    <row r="743" spans="1:26" ht="12.65" customHeight="1" x14ac:dyDescent="0.3">
      <c r="A743" s="209" t="str">
        <f>RIGHT($C$84,3)&amp;"*"&amp;RIGHT($C$83,4)&amp;"*"&amp;M$55&amp;"*"&amp;"A"</f>
        <v>tal*054*6330*A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>
        <f>ROUND(M62,0)</f>
        <v>0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>
        <f>ROUND(M67,0)</f>
        <v>0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 t="e">
        <f t="shared" si="9"/>
        <v>#DIV/0!</v>
      </c>
    </row>
    <row r="744" spans="1:26" ht="12.65" customHeight="1" x14ac:dyDescent="0.3">
      <c r="A744" s="209" t="str">
        <f>RIGHT($C$84,3)&amp;"*"&amp;RIGHT($C$83,4)&amp;"*"&amp;N$55&amp;"*"&amp;"A"</f>
        <v>tal*054*6400*A</v>
      </c>
      <c r="B744" s="286">
        <f>ROUND(N59,0)</f>
        <v>0</v>
      </c>
      <c r="C744" s="289">
        <f>ROUND(N60,2)</f>
        <v>0</v>
      </c>
      <c r="D744" s="286">
        <f>ROUND(N61,0)</f>
        <v>0</v>
      </c>
      <c r="E744" s="286">
        <f>ROUND(N62,0)</f>
        <v>0</v>
      </c>
      <c r="F744" s="286">
        <f>ROUND(N63,0)</f>
        <v>0</v>
      </c>
      <c r="G744" s="286">
        <f>ROUND(N64,0)</f>
        <v>0</v>
      </c>
      <c r="H744" s="286">
        <f>ROUND(N65,0)</f>
        <v>0</v>
      </c>
      <c r="I744" s="286">
        <f>ROUND(N66,0)</f>
        <v>0</v>
      </c>
      <c r="J744" s="286">
        <f>ROUND(N67,0)</f>
        <v>0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0</v>
      </c>
      <c r="O744" s="286">
        <f>ROUND(N74,0)</f>
        <v>0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 t="e">
        <f t="shared" si="9"/>
        <v>#DIV/0!</v>
      </c>
    </row>
    <row r="745" spans="1:26" ht="12.65" customHeight="1" x14ac:dyDescent="0.3">
      <c r="A745" s="209" t="str">
        <f>RIGHT($C$84,3)&amp;"*"&amp;RIGHT($C$83,4)&amp;"*"&amp;O$55&amp;"*"&amp;"A"</f>
        <v>tal*054*7010*A</v>
      </c>
      <c r="B745" s="286">
        <f>ROUND(O59,0)</f>
        <v>67</v>
      </c>
      <c r="C745" s="289">
        <f>ROUND(O60,2)</f>
        <v>0.37</v>
      </c>
      <c r="D745" s="286">
        <f>ROUND(O61,0)</f>
        <v>147132</v>
      </c>
      <c r="E745" s="286">
        <f>ROUND(O62,0)</f>
        <v>46180</v>
      </c>
      <c r="F745" s="286">
        <f>ROUND(O63,0)</f>
        <v>183572</v>
      </c>
      <c r="G745" s="286">
        <f>ROUND(O64,0)</f>
        <v>8873</v>
      </c>
      <c r="H745" s="286">
        <f>ROUND(O65,0)</f>
        <v>0</v>
      </c>
      <c r="I745" s="286">
        <f>ROUND(O66,0)</f>
        <v>166</v>
      </c>
      <c r="J745" s="286">
        <f>ROUND(O67,0)</f>
        <v>11716</v>
      </c>
      <c r="K745" s="286">
        <f>ROUND(O68,0)</f>
        <v>0</v>
      </c>
      <c r="L745" s="286">
        <f>ROUND(O70,0)</f>
        <v>0</v>
      </c>
      <c r="M745" s="286">
        <f>ROUND(O71,0)</f>
        <v>406033</v>
      </c>
      <c r="N745" s="286">
        <f>ROUND(O76,0)</f>
        <v>526</v>
      </c>
      <c r="O745" s="286">
        <f>ROUND(O74,0)</f>
        <v>51332</v>
      </c>
      <c r="P745" s="286">
        <f>IF(O77&gt;0,ROUND(O77,0),0)</f>
        <v>0</v>
      </c>
      <c r="Q745" s="286">
        <f>IF(O78&gt;0,ROUND(O78,0),0)</f>
        <v>204</v>
      </c>
      <c r="R745" s="286">
        <f>IF(O79&gt;0,ROUND(O79,0),0)</f>
        <v>5561</v>
      </c>
      <c r="S745" s="286">
        <f>IF(O80&gt;0,ROUND(O80,0),0)</f>
        <v>0</v>
      </c>
      <c r="T745" s="289">
        <f>IF(O81&gt;0,ROUND(O81,2),0)</f>
        <v>0</v>
      </c>
      <c r="U745" s="286"/>
      <c r="X745" s="286"/>
      <c r="Y745" s="286"/>
      <c r="Z745" s="286" t="e">
        <f t="shared" si="9"/>
        <v>#DIV/0!</v>
      </c>
    </row>
    <row r="746" spans="1:26" ht="12.65" customHeight="1" x14ac:dyDescent="0.3">
      <c r="A746" s="209" t="str">
        <f>RIGHT($C$84,3)&amp;"*"&amp;RIGHT($C$83,4)&amp;"*"&amp;P$55&amp;"*"&amp;"A"</f>
        <v>tal*054*7020*A</v>
      </c>
      <c r="B746" s="286">
        <f>ROUND(P59,0)</f>
        <v>7094</v>
      </c>
      <c r="C746" s="289">
        <f>ROUND(P60,2)</f>
        <v>3.92</v>
      </c>
      <c r="D746" s="286">
        <f>ROUND(P61,0)</f>
        <v>531634</v>
      </c>
      <c r="E746" s="286">
        <f>ROUND(P62,0)</f>
        <v>166862</v>
      </c>
      <c r="F746" s="286">
        <f>ROUND(P63,0)</f>
        <v>7200</v>
      </c>
      <c r="G746" s="286">
        <f>ROUND(P64,0)</f>
        <v>88377</v>
      </c>
      <c r="H746" s="286">
        <f>ROUND(P65,0)</f>
        <v>9133</v>
      </c>
      <c r="I746" s="286">
        <f>ROUND(P66,0)</f>
        <v>28682</v>
      </c>
      <c r="J746" s="286">
        <f>ROUND(P67,0)</f>
        <v>95416</v>
      </c>
      <c r="K746" s="286">
        <f>ROUND(P68,0)</f>
        <v>0</v>
      </c>
      <c r="L746" s="286">
        <f>ROUND(P70,0)</f>
        <v>0</v>
      </c>
      <c r="M746" s="286">
        <f>ROUND(P71,0)</f>
        <v>930351</v>
      </c>
      <c r="N746" s="286">
        <f>ROUND(P76,0)</f>
        <v>6021</v>
      </c>
      <c r="O746" s="286">
        <f>ROUND(P74,0)</f>
        <v>1250205</v>
      </c>
      <c r="P746" s="286">
        <f>IF(P77&gt;0,ROUND(P77,0),0)</f>
        <v>0</v>
      </c>
      <c r="Q746" s="286">
        <f>IF(P78&gt;0,ROUND(P78,0),0)</f>
        <v>1396</v>
      </c>
      <c r="R746" s="286">
        <f>IF(P79&gt;0,ROUND(P79,0),0)</f>
        <v>11027</v>
      </c>
      <c r="S746" s="286">
        <f>IF(P80&gt;0,ROUND(P80,0),0)</f>
        <v>2</v>
      </c>
      <c r="T746" s="289">
        <f>IF(P81&gt;0,ROUND(P81,2),0)</f>
        <v>0</v>
      </c>
      <c r="U746" s="286"/>
      <c r="X746" s="286"/>
      <c r="Y746" s="286"/>
      <c r="Z746" s="286" t="e">
        <f t="shared" si="9"/>
        <v>#DIV/0!</v>
      </c>
    </row>
    <row r="747" spans="1:26" ht="12.65" customHeight="1" x14ac:dyDescent="0.3">
      <c r="A747" s="209" t="str">
        <f>RIGHT($C$84,3)&amp;"*"&amp;RIGHT($C$83,4)&amp;"*"&amp;Q$55&amp;"*"&amp;"A"</f>
        <v>tal*054*7030*A</v>
      </c>
      <c r="B747" s="286">
        <f>ROUND(Q59,0)</f>
        <v>7601</v>
      </c>
      <c r="C747" s="289">
        <f>ROUND(Q60,2)</f>
        <v>0</v>
      </c>
      <c r="D747" s="286">
        <f>ROUND(Q61,0)</f>
        <v>2182</v>
      </c>
      <c r="E747" s="286">
        <f>ROUND(Q62,0)</f>
        <v>685</v>
      </c>
      <c r="F747" s="286">
        <f>ROUND(Q63,0)</f>
        <v>0</v>
      </c>
      <c r="G747" s="286">
        <f>ROUND(Q64,0)</f>
        <v>0</v>
      </c>
      <c r="H747" s="286">
        <f>ROUND(Q65,0)</f>
        <v>0</v>
      </c>
      <c r="I747" s="286">
        <f>ROUND(Q66,0)</f>
        <v>0</v>
      </c>
      <c r="J747" s="286">
        <f>ROUND(Q67,0)</f>
        <v>10418</v>
      </c>
      <c r="K747" s="286">
        <f>ROUND(Q68,0)</f>
        <v>0</v>
      </c>
      <c r="L747" s="286">
        <f>ROUND(Q70,0)</f>
        <v>0</v>
      </c>
      <c r="M747" s="286">
        <f>ROUND(Q71,0)</f>
        <v>13285</v>
      </c>
      <c r="N747" s="286">
        <f>ROUND(Q76,0)</f>
        <v>0</v>
      </c>
      <c r="O747" s="286">
        <f>ROUND(Q74,0)</f>
        <v>164515</v>
      </c>
      <c r="P747" s="286">
        <f>IF(Q77&gt;0,ROUND(Q77,0),0)</f>
        <v>0</v>
      </c>
      <c r="Q747" s="286">
        <f>IF(Q78&gt;0,ROUND(Q78,0),0)</f>
        <v>21</v>
      </c>
      <c r="R747" s="286">
        <f>IF(Q79&gt;0,ROUND(Q79,0),0)</f>
        <v>0</v>
      </c>
      <c r="S747" s="286">
        <f>IF(Q80&gt;0,ROUND(Q80,0),0)</f>
        <v>0</v>
      </c>
      <c r="T747" s="289">
        <f>IF(Q81&gt;0,ROUND(Q81,2),0)</f>
        <v>0</v>
      </c>
      <c r="U747" s="286"/>
      <c r="X747" s="286"/>
      <c r="Y747" s="286"/>
      <c r="Z747" s="286" t="e">
        <f t="shared" si="9"/>
        <v>#DIV/0!</v>
      </c>
    </row>
    <row r="748" spans="1:26" ht="12.65" customHeight="1" x14ac:dyDescent="0.3">
      <c r="A748" s="209" t="str">
        <f>RIGHT($C$84,3)&amp;"*"&amp;RIGHT($C$83,4)&amp;"*"&amp;R$55&amp;"*"&amp;"A"</f>
        <v>tal*054*7040*A</v>
      </c>
      <c r="B748" s="286">
        <f>ROUND(R59,0)</f>
        <v>12415</v>
      </c>
      <c r="C748" s="289">
        <f>ROUND(R60,2)</f>
        <v>1.04</v>
      </c>
      <c r="D748" s="286">
        <f>ROUND(R61,0)</f>
        <v>425271</v>
      </c>
      <c r="E748" s="286">
        <f>ROUND(R62,0)</f>
        <v>133478</v>
      </c>
      <c r="F748" s="286">
        <f>ROUND(R63,0)</f>
        <v>-3</v>
      </c>
      <c r="G748" s="286">
        <f>ROUND(R64,0)</f>
        <v>13228</v>
      </c>
      <c r="H748" s="286">
        <f>ROUND(R65,0)</f>
        <v>0</v>
      </c>
      <c r="I748" s="286">
        <f>ROUND(R66,0)</f>
        <v>1627</v>
      </c>
      <c r="J748" s="286">
        <f>ROUND(R67,0)</f>
        <v>0</v>
      </c>
      <c r="K748" s="286">
        <f>ROUND(R68,0)</f>
        <v>0</v>
      </c>
      <c r="L748" s="286">
        <f>ROUND(R70,0)</f>
        <v>0</v>
      </c>
      <c r="M748" s="286">
        <f>ROUND(R71,0)</f>
        <v>577299</v>
      </c>
      <c r="N748" s="286">
        <f>ROUND(R76,0)</f>
        <v>0</v>
      </c>
      <c r="O748" s="286">
        <f>ROUND(R74,0)</f>
        <v>881625</v>
      </c>
      <c r="P748" s="286">
        <f>IF(R77&gt;0,ROUND(R77,0),0)</f>
        <v>0</v>
      </c>
      <c r="Q748" s="286">
        <f>IF(R78&gt;0,ROUND(R78,0),0)</f>
        <v>0</v>
      </c>
      <c r="R748" s="286">
        <f>IF(R79&gt;0,ROUND(R79,0),0)</f>
        <v>0</v>
      </c>
      <c r="S748" s="286">
        <f>IF(R80&gt;0,ROUND(R80,0),0)</f>
        <v>1</v>
      </c>
      <c r="T748" s="289">
        <f>IF(R81&gt;0,ROUND(R81,2),0)</f>
        <v>0</v>
      </c>
      <c r="U748" s="286"/>
      <c r="X748" s="286"/>
      <c r="Y748" s="286"/>
      <c r="Z748" s="286" t="e">
        <f t="shared" si="9"/>
        <v>#DIV/0!</v>
      </c>
    </row>
    <row r="749" spans="1:26" ht="12.65" customHeight="1" x14ac:dyDescent="0.3">
      <c r="A749" s="209" t="str">
        <f>RIGHT($C$84,3)&amp;"*"&amp;RIGHT($C$83,4)&amp;"*"&amp;S$55&amp;"*"&amp;"A"</f>
        <v>tal*054*7050*A</v>
      </c>
      <c r="B749" s="286"/>
      <c r="C749" s="289">
        <f>ROUND(S60,2)</f>
        <v>2.0699999999999998</v>
      </c>
      <c r="D749" s="286">
        <f>ROUND(S61,0)</f>
        <v>58536</v>
      </c>
      <c r="E749" s="286">
        <f>ROUND(S62,0)</f>
        <v>18372</v>
      </c>
      <c r="F749" s="286">
        <f>ROUND(S63,0)</f>
        <v>0</v>
      </c>
      <c r="G749" s="286">
        <f>ROUND(S64,0)</f>
        <v>43760</v>
      </c>
      <c r="H749" s="286">
        <f>ROUND(S65,0)</f>
        <v>0</v>
      </c>
      <c r="I749" s="286">
        <f>ROUND(S66,0)</f>
        <v>84</v>
      </c>
      <c r="J749" s="286">
        <f>ROUND(S67,0)</f>
        <v>7468</v>
      </c>
      <c r="K749" s="286">
        <f>ROUND(S68,0)</f>
        <v>0</v>
      </c>
      <c r="L749" s="286">
        <f>ROUND(S70,0)</f>
        <v>0</v>
      </c>
      <c r="M749" s="286">
        <f>ROUND(S71,0)</f>
        <v>128220</v>
      </c>
      <c r="N749" s="286">
        <f>ROUND(S76,0)</f>
        <v>1510</v>
      </c>
      <c r="O749" s="286">
        <f>ROUND(S74,0)</f>
        <v>199282</v>
      </c>
      <c r="P749" s="286">
        <f>IF(S77&gt;0,ROUND(S77,0),0)</f>
        <v>0</v>
      </c>
      <c r="Q749" s="286">
        <f>IF(S78&gt;0,ROUND(S78,0),0)</f>
        <v>232</v>
      </c>
      <c r="R749" s="286">
        <f>IF(S79&gt;0,ROUND(S79,0),0)</f>
        <v>0</v>
      </c>
      <c r="S749" s="286">
        <f>IF(S80&gt;0,ROUND(S80,0),0)</f>
        <v>0</v>
      </c>
      <c r="T749" s="289">
        <f>IF(S81&gt;0,ROUND(S81,2),0)</f>
        <v>0</v>
      </c>
      <c r="U749" s="286"/>
      <c r="X749" s="286"/>
      <c r="Y749" s="286"/>
      <c r="Z749" s="286" t="e">
        <f t="shared" si="9"/>
        <v>#DIV/0!</v>
      </c>
    </row>
    <row r="750" spans="1:26" ht="12.65" customHeight="1" x14ac:dyDescent="0.3">
      <c r="A750" s="209" t="str">
        <f>RIGHT($C$84,3)&amp;"*"&amp;RIGHT($C$83,4)&amp;"*"&amp;T$55&amp;"*"&amp;"A"</f>
        <v>tal*054*7060*A</v>
      </c>
      <c r="B750" s="286"/>
      <c r="C750" s="289">
        <f>ROUND(T60,2)</f>
        <v>0</v>
      </c>
      <c r="D750" s="286">
        <f>ROUND(T61,0)</f>
        <v>0</v>
      </c>
      <c r="E750" s="286">
        <f>ROUND(T62,0)</f>
        <v>0</v>
      </c>
      <c r="F750" s="286">
        <f>ROUND(T63,0)</f>
        <v>0</v>
      </c>
      <c r="G750" s="286">
        <f>ROUND(T64,0)</f>
        <v>0</v>
      </c>
      <c r="H750" s="286">
        <f>ROUND(T65,0)</f>
        <v>0</v>
      </c>
      <c r="I750" s="286">
        <f>ROUND(T66,0)</f>
        <v>0</v>
      </c>
      <c r="J750" s="286">
        <f>ROUND(T67,0)</f>
        <v>0</v>
      </c>
      <c r="K750" s="286">
        <f>ROUND(T68,0)</f>
        <v>0</v>
      </c>
      <c r="L750" s="286">
        <f>ROUND(T70,0)</f>
        <v>0</v>
      </c>
      <c r="M750" s="286">
        <f>ROUND(T71,0)</f>
        <v>0</v>
      </c>
      <c r="N750" s="286">
        <f>ROUND(T76,0)</f>
        <v>0</v>
      </c>
      <c r="O750" s="286">
        <f>ROUND(T74,0)</f>
        <v>0</v>
      </c>
      <c r="P750" s="286">
        <f>IF(T77&gt;0,ROUND(T77,0),0)</f>
        <v>0</v>
      </c>
      <c r="Q750" s="286">
        <f>IF(T78&gt;0,ROUND(T78,0),0)</f>
        <v>0</v>
      </c>
      <c r="R750" s="286">
        <f>IF(T79&gt;0,ROUND(T79,0),0)</f>
        <v>0</v>
      </c>
      <c r="S750" s="286">
        <f>IF(T80&gt;0,ROUND(T80,0),0)</f>
        <v>0</v>
      </c>
      <c r="T750" s="289">
        <f>IF(T81&gt;0,ROUND(T81,2),0)</f>
        <v>0</v>
      </c>
      <c r="U750" s="286"/>
      <c r="X750" s="286"/>
      <c r="Y750" s="286"/>
      <c r="Z750" s="286" t="e">
        <f t="shared" si="9"/>
        <v>#DIV/0!</v>
      </c>
    </row>
    <row r="751" spans="1:26" ht="12.65" customHeight="1" x14ac:dyDescent="0.3">
      <c r="A751" s="209" t="str">
        <f>RIGHT($C$84,3)&amp;"*"&amp;RIGHT($C$83,4)&amp;"*"&amp;U$55&amp;"*"&amp;"A"</f>
        <v>tal*054*7070*A</v>
      </c>
      <c r="B751" s="286">
        <f>ROUND(U59,0)</f>
        <v>58450</v>
      </c>
      <c r="C751" s="289">
        <f>ROUND(U60,2)</f>
        <v>9.5399999999999991</v>
      </c>
      <c r="D751" s="286">
        <f>ROUND(U61,0)</f>
        <v>633242</v>
      </c>
      <c r="E751" s="286">
        <f>ROUND(U62,0)</f>
        <v>198753</v>
      </c>
      <c r="F751" s="286">
        <f>ROUND(U63,0)</f>
        <v>251502</v>
      </c>
      <c r="G751" s="286">
        <f>ROUND(U64,0)</f>
        <v>1203911</v>
      </c>
      <c r="H751" s="286">
        <f>ROUND(U65,0)</f>
        <v>457</v>
      </c>
      <c r="I751" s="286">
        <f>ROUND(U66,0)</f>
        <v>66911</v>
      </c>
      <c r="J751" s="286">
        <f>ROUND(U67,0)</f>
        <v>38095</v>
      </c>
      <c r="K751" s="286">
        <f>ROUND(U68,0)</f>
        <v>23135</v>
      </c>
      <c r="L751" s="286">
        <f>ROUND(U70,0)</f>
        <v>0</v>
      </c>
      <c r="M751" s="286">
        <f>ROUND(U71,0)</f>
        <v>2425431</v>
      </c>
      <c r="N751" s="286">
        <f>ROUND(U76,0)</f>
        <v>1260</v>
      </c>
      <c r="O751" s="286">
        <f>ROUND(U74,0)</f>
        <v>8053279</v>
      </c>
      <c r="P751" s="286">
        <f>IF(U77&gt;0,ROUND(U77,0),0)</f>
        <v>0</v>
      </c>
      <c r="Q751" s="286">
        <f>IF(U78&gt;0,ROUND(U78,0),0)</f>
        <v>408</v>
      </c>
      <c r="R751" s="286">
        <f>IF(U79&gt;0,ROUND(U79,0),0)</f>
        <v>0</v>
      </c>
      <c r="S751" s="286">
        <f>IF(U80&gt;0,ROUND(U80,0),0)</f>
        <v>0</v>
      </c>
      <c r="T751" s="289">
        <f>IF(U81&gt;0,ROUND(U81,2),0)</f>
        <v>0</v>
      </c>
      <c r="U751" s="286"/>
      <c r="X751" s="286"/>
      <c r="Y751" s="286"/>
      <c r="Z751" s="286" t="e">
        <f t="shared" si="9"/>
        <v>#DIV/0!</v>
      </c>
    </row>
    <row r="752" spans="1:26" ht="12.65" customHeight="1" x14ac:dyDescent="0.3">
      <c r="A752" s="209" t="str">
        <f>RIGHT($C$84,3)&amp;"*"&amp;RIGHT($C$83,4)&amp;"*"&amp;V$55&amp;"*"&amp;"A"</f>
        <v>tal*054*7110*A</v>
      </c>
      <c r="B752" s="286">
        <f>ROUND(V59,0)</f>
        <v>0</v>
      </c>
      <c r="C752" s="289">
        <f>ROUND(V60,2)</f>
        <v>0</v>
      </c>
      <c r="D752" s="286">
        <f>ROUND(V61,0)</f>
        <v>0</v>
      </c>
      <c r="E752" s="286">
        <f>ROUND(V62,0)</f>
        <v>0</v>
      </c>
      <c r="F752" s="286">
        <f>ROUND(V63,0)</f>
        <v>0</v>
      </c>
      <c r="G752" s="286">
        <f>ROUND(V64,0)</f>
        <v>434</v>
      </c>
      <c r="H752" s="286">
        <f>ROUND(V65,0)</f>
        <v>0</v>
      </c>
      <c r="I752" s="286">
        <f>ROUND(V66,0)</f>
        <v>0</v>
      </c>
      <c r="J752" s="286">
        <f>ROUND(V67,0)</f>
        <v>8169</v>
      </c>
      <c r="K752" s="286">
        <f>ROUND(V68,0)</f>
        <v>0</v>
      </c>
      <c r="L752" s="286">
        <f>ROUND(V70,0)</f>
        <v>0</v>
      </c>
      <c r="M752" s="286">
        <f>ROUND(V71,0)</f>
        <v>8603</v>
      </c>
      <c r="N752" s="286">
        <f>ROUND(V76,0)</f>
        <v>236</v>
      </c>
      <c r="O752" s="286">
        <f>ROUND(V74,0)</f>
        <v>0</v>
      </c>
      <c r="P752" s="286">
        <f>IF(V77&gt;0,ROUND(V77,0),0)</f>
        <v>0</v>
      </c>
      <c r="Q752" s="286">
        <f>IF(V78&gt;0,ROUND(V78,0),0)</f>
        <v>0</v>
      </c>
      <c r="R752" s="286">
        <f>IF(V79&gt;0,ROUND(V79,0),0)</f>
        <v>0</v>
      </c>
      <c r="S752" s="286">
        <f>IF(V80&gt;0,ROUND(V80,0),0)</f>
        <v>0</v>
      </c>
      <c r="T752" s="289">
        <f>IF(V81&gt;0,ROUND(V81,2),0)</f>
        <v>0</v>
      </c>
      <c r="U752" s="286"/>
      <c r="X752" s="286"/>
      <c r="Y752" s="286"/>
      <c r="Z752" s="286" t="e">
        <f t="shared" si="9"/>
        <v>#DIV/0!</v>
      </c>
    </row>
    <row r="753" spans="1:26" ht="12.65" customHeight="1" x14ac:dyDescent="0.3">
      <c r="A753" s="209" t="str">
        <f>RIGHT($C$84,3)&amp;"*"&amp;RIGHT($C$83,4)&amp;"*"&amp;W$55&amp;"*"&amp;"A"</f>
        <v>tal*054*7120*A</v>
      </c>
      <c r="B753" s="286">
        <f>ROUND(W59,0)</f>
        <v>4249</v>
      </c>
      <c r="C753" s="289">
        <f>ROUND(W60,2)</f>
        <v>0</v>
      </c>
      <c r="D753" s="286">
        <f>ROUND(W61,0)</f>
        <v>0</v>
      </c>
      <c r="E753" s="286">
        <f>ROUND(W62,0)</f>
        <v>0</v>
      </c>
      <c r="F753" s="286">
        <f>ROUND(W63,0)</f>
        <v>145310</v>
      </c>
      <c r="G753" s="286">
        <f>ROUND(W64,0)</f>
        <v>1766</v>
      </c>
      <c r="H753" s="286">
        <f>ROUND(W65,0)</f>
        <v>0</v>
      </c>
      <c r="I753" s="286">
        <f>ROUND(W66,0)</f>
        <v>0</v>
      </c>
      <c r="J753" s="286">
        <f>ROUND(W67,0)</f>
        <v>0</v>
      </c>
      <c r="K753" s="286">
        <f>ROUND(W68,0)</f>
        <v>0</v>
      </c>
      <c r="L753" s="286">
        <f>ROUND(W70,0)</f>
        <v>0</v>
      </c>
      <c r="M753" s="286">
        <f>ROUND(W71,0)</f>
        <v>147076</v>
      </c>
      <c r="N753" s="286">
        <f>ROUND(W76,0)</f>
        <v>0</v>
      </c>
      <c r="O753" s="286">
        <f>ROUND(W74,0)</f>
        <v>1354855</v>
      </c>
      <c r="P753" s="286">
        <f>IF(W77&gt;0,ROUND(W77,0),0)</f>
        <v>0</v>
      </c>
      <c r="Q753" s="286">
        <f>IF(W78&gt;0,ROUND(W78,0),0)</f>
        <v>17</v>
      </c>
      <c r="R753" s="286">
        <f>IF(W79&gt;0,ROUND(W79,0),0)</f>
        <v>0</v>
      </c>
      <c r="S753" s="286">
        <f>IF(W80&gt;0,ROUND(W80,0),0)</f>
        <v>0</v>
      </c>
      <c r="T753" s="289">
        <f>IF(W81&gt;0,ROUND(W81,2),0)</f>
        <v>0</v>
      </c>
      <c r="U753" s="286"/>
      <c r="X753" s="286"/>
      <c r="Y753" s="286"/>
      <c r="Z753" s="286" t="e">
        <f t="shared" si="9"/>
        <v>#DIV/0!</v>
      </c>
    </row>
    <row r="754" spans="1:26" ht="12.65" customHeight="1" x14ac:dyDescent="0.3">
      <c r="A754" s="209" t="str">
        <f>RIGHT($C$84,3)&amp;"*"&amp;RIGHT($C$83,4)&amp;"*"&amp;X$55&amp;"*"&amp;"A"</f>
        <v>tal*054*7130*A</v>
      </c>
      <c r="B754" s="286">
        <f>ROUND(X59,0)</f>
        <v>10926</v>
      </c>
      <c r="C754" s="289">
        <f>ROUND(X60,2)</f>
        <v>0</v>
      </c>
      <c r="D754" s="286">
        <f>ROUND(X61,0)</f>
        <v>0</v>
      </c>
      <c r="E754" s="286">
        <f>ROUND(X62,0)</f>
        <v>0</v>
      </c>
      <c r="F754" s="286">
        <f>ROUND(X63,0)</f>
        <v>0</v>
      </c>
      <c r="G754" s="286">
        <f>ROUND(X64,0)</f>
        <v>12339</v>
      </c>
      <c r="H754" s="286">
        <f>ROUND(X65,0)</f>
        <v>0</v>
      </c>
      <c r="I754" s="286">
        <f>ROUND(X66,0)</f>
        <v>83628</v>
      </c>
      <c r="J754" s="286">
        <f>ROUND(X67,0)</f>
        <v>0</v>
      </c>
      <c r="K754" s="286">
        <f>ROUND(X68,0)</f>
        <v>0</v>
      </c>
      <c r="L754" s="286">
        <f>ROUND(X70,0)</f>
        <v>0</v>
      </c>
      <c r="M754" s="286">
        <f>ROUND(X71,0)</f>
        <v>97218</v>
      </c>
      <c r="N754" s="286">
        <f>ROUND(X76,0)</f>
        <v>0</v>
      </c>
      <c r="O754" s="286">
        <f>ROUND(X74,0)</f>
        <v>5011346</v>
      </c>
      <c r="P754" s="286">
        <f>IF(X77&gt;0,ROUND(X77,0),0)</f>
        <v>0</v>
      </c>
      <c r="Q754" s="286">
        <f>IF(X78&gt;0,ROUND(X78,0),0)</f>
        <v>39</v>
      </c>
      <c r="R754" s="286">
        <f>IF(X79&gt;0,ROUND(X79,0),0)</f>
        <v>21514</v>
      </c>
      <c r="S754" s="286">
        <f>IF(X80&gt;0,ROUND(X80,0),0)</f>
        <v>0</v>
      </c>
      <c r="T754" s="289">
        <f>IF(X81&gt;0,ROUND(X81,2),0)</f>
        <v>0</v>
      </c>
      <c r="U754" s="286"/>
      <c r="X754" s="286"/>
      <c r="Y754" s="286"/>
      <c r="Z754" s="286" t="e">
        <f t="shared" si="9"/>
        <v>#DIV/0!</v>
      </c>
    </row>
    <row r="755" spans="1:26" ht="12.65" customHeight="1" x14ac:dyDescent="0.3">
      <c r="A755" s="209" t="str">
        <f>RIGHT($C$84,3)&amp;"*"&amp;RIGHT($C$83,4)&amp;"*"&amp;Y$55&amp;"*"&amp;"A"</f>
        <v>tal*054*7140*A</v>
      </c>
      <c r="B755" s="286">
        <f>ROUND(Y59,0)</f>
        <v>6848</v>
      </c>
      <c r="C755" s="289">
        <f>ROUND(Y60,2)</f>
        <v>9.5399999999999991</v>
      </c>
      <c r="D755" s="286">
        <f>ROUND(Y61,0)</f>
        <v>1043762</v>
      </c>
      <c r="E755" s="286">
        <f>ROUND(Y62,0)</f>
        <v>327602</v>
      </c>
      <c r="F755" s="286">
        <f>ROUND(Y63,0)</f>
        <v>43665</v>
      </c>
      <c r="G755" s="286">
        <f>ROUND(Y64,0)</f>
        <v>21843</v>
      </c>
      <c r="H755" s="286">
        <f>ROUND(Y65,0)</f>
        <v>953</v>
      </c>
      <c r="I755" s="286">
        <f>ROUND(Y66,0)</f>
        <v>187132</v>
      </c>
      <c r="J755" s="286">
        <f>ROUND(Y67,0)</f>
        <v>107585</v>
      </c>
      <c r="K755" s="286">
        <f>ROUND(Y68,0)</f>
        <v>0</v>
      </c>
      <c r="L755" s="286">
        <f>ROUND(Y70,0)</f>
        <v>0</v>
      </c>
      <c r="M755" s="286">
        <f>ROUND(Y71,0)</f>
        <v>1737801</v>
      </c>
      <c r="N755" s="286">
        <f>ROUND(Y76,0)</f>
        <v>2491</v>
      </c>
      <c r="O755" s="286">
        <f>ROUND(Y74,0)</f>
        <v>5067880</v>
      </c>
      <c r="P755" s="286">
        <f>IF(Y77&gt;0,ROUND(Y77,0),0)</f>
        <v>0</v>
      </c>
      <c r="Q755" s="286">
        <f>IF(Y78&gt;0,ROUND(Y78,0),0)</f>
        <v>578</v>
      </c>
      <c r="R755" s="286">
        <f>IF(Y79&gt;0,ROUND(Y79,0),0)</f>
        <v>13486</v>
      </c>
      <c r="S755" s="286">
        <f>IF(Y80&gt;0,ROUND(Y80,0),0)</f>
        <v>0</v>
      </c>
      <c r="T755" s="289">
        <f>IF(Y81&gt;0,ROUND(Y81,2),0)</f>
        <v>0</v>
      </c>
      <c r="U755" s="286"/>
      <c r="X755" s="286"/>
      <c r="Y755" s="286"/>
      <c r="Z755" s="286" t="e">
        <f t="shared" si="9"/>
        <v>#DIV/0!</v>
      </c>
    </row>
    <row r="756" spans="1:26" ht="12.65" customHeight="1" x14ac:dyDescent="0.3">
      <c r="A756" s="209" t="str">
        <f>RIGHT($C$84,3)&amp;"*"&amp;RIGHT($C$83,4)&amp;"*"&amp;Z$55&amp;"*"&amp;"A"</f>
        <v>tal*054*7150*A</v>
      </c>
      <c r="B756" s="286">
        <f>ROUND(Z59,0)</f>
        <v>0</v>
      </c>
      <c r="C756" s="289">
        <f>ROUND(Z60,2)</f>
        <v>0</v>
      </c>
      <c r="D756" s="286">
        <f>ROUND(Z61,0)</f>
        <v>0</v>
      </c>
      <c r="E756" s="286">
        <f>ROUND(Z62,0)</f>
        <v>0</v>
      </c>
      <c r="F756" s="286">
        <f>ROUND(Z63,0)</f>
        <v>0</v>
      </c>
      <c r="G756" s="286">
        <f>ROUND(Z64,0)</f>
        <v>0</v>
      </c>
      <c r="H756" s="286">
        <f>ROUND(Z65,0)</f>
        <v>0</v>
      </c>
      <c r="I756" s="286">
        <f>ROUND(Z66,0)</f>
        <v>0</v>
      </c>
      <c r="J756" s="286">
        <f>ROUND(Z67,0)</f>
        <v>0</v>
      </c>
      <c r="K756" s="286">
        <f>ROUND(Z68,0)</f>
        <v>0</v>
      </c>
      <c r="L756" s="286">
        <f>ROUND(Z70,0)</f>
        <v>0</v>
      </c>
      <c r="M756" s="286">
        <f>ROUND(Z71,0)</f>
        <v>0</v>
      </c>
      <c r="N756" s="286">
        <f>ROUND(Z76,0)</f>
        <v>0</v>
      </c>
      <c r="O756" s="286">
        <f>ROUND(Z74,0)</f>
        <v>0</v>
      </c>
      <c r="P756" s="286">
        <f>IF(Z77&gt;0,ROUND(Z77,0),0)</f>
        <v>0</v>
      </c>
      <c r="Q756" s="286">
        <f>IF(Z78&gt;0,ROUND(Z78,0),0)</f>
        <v>0</v>
      </c>
      <c r="R756" s="286">
        <f>IF(Z79&gt;0,ROUND(Z79,0),0)</f>
        <v>0</v>
      </c>
      <c r="S756" s="286">
        <f>IF(Z80&gt;0,ROUND(Z80,0),0)</f>
        <v>0</v>
      </c>
      <c r="T756" s="289">
        <f>IF(Z81&gt;0,ROUND(Z81,2),0)</f>
        <v>0</v>
      </c>
      <c r="U756" s="286"/>
      <c r="X756" s="286"/>
      <c r="Y756" s="286"/>
      <c r="Z756" s="286" t="e">
        <f t="shared" si="9"/>
        <v>#DIV/0!</v>
      </c>
    </row>
    <row r="757" spans="1:26" ht="12.65" customHeight="1" x14ac:dyDescent="0.3">
      <c r="A757" s="209" t="str">
        <f>RIGHT($C$84,3)&amp;"*"&amp;RIGHT($C$83,4)&amp;"*"&amp;AA$55&amp;"*"&amp;"A"</f>
        <v>tal*054*7160*A</v>
      </c>
      <c r="B757" s="286">
        <f>ROUND(AA59,0)</f>
        <v>328</v>
      </c>
      <c r="C757" s="289">
        <f>ROUND(AA60,2)</f>
        <v>0</v>
      </c>
      <c r="D757" s="286">
        <f>ROUND(AA61,0)</f>
        <v>0</v>
      </c>
      <c r="E757" s="286">
        <f>ROUND(AA62,0)</f>
        <v>0</v>
      </c>
      <c r="F757" s="286">
        <f>ROUND(AA63,0)</f>
        <v>55300</v>
      </c>
      <c r="G757" s="286">
        <f>ROUND(AA64,0)</f>
        <v>14074</v>
      </c>
      <c r="H757" s="286">
        <f>ROUND(AA65,0)</f>
        <v>0</v>
      </c>
      <c r="I757" s="286">
        <f>ROUND(AA66,0)</f>
        <v>0</v>
      </c>
      <c r="J757" s="286">
        <f>ROUND(AA67,0)</f>
        <v>0</v>
      </c>
      <c r="K757" s="286">
        <f>ROUND(AA68,0)</f>
        <v>0</v>
      </c>
      <c r="L757" s="286">
        <f>ROUND(AA70,0)</f>
        <v>0</v>
      </c>
      <c r="M757" s="286">
        <f>ROUND(AA71,0)</f>
        <v>69403</v>
      </c>
      <c r="N757" s="286">
        <f>ROUND(AA76,0)</f>
        <v>0</v>
      </c>
      <c r="O757" s="286">
        <f>ROUND(AA74,0)</f>
        <v>217490</v>
      </c>
      <c r="P757" s="286">
        <f>IF(AA77&gt;0,ROUND(AA77,0),0)</f>
        <v>0</v>
      </c>
      <c r="Q757" s="286">
        <f>IF(AA78&gt;0,ROUND(AA78,0),0)</f>
        <v>0</v>
      </c>
      <c r="R757" s="286">
        <f>IF(AA79&gt;0,ROUND(AA79,0),0)</f>
        <v>0</v>
      </c>
      <c r="S757" s="286">
        <f>IF(AA80&gt;0,ROUND(AA80,0),0)</f>
        <v>0</v>
      </c>
      <c r="T757" s="289">
        <f>IF(AA81&gt;0,ROUND(AA81,2),0)</f>
        <v>0</v>
      </c>
      <c r="U757" s="286"/>
      <c r="X757" s="286"/>
      <c r="Y757" s="286"/>
      <c r="Z757" s="286" t="e">
        <f t="shared" si="9"/>
        <v>#DIV/0!</v>
      </c>
    </row>
    <row r="758" spans="1:26" ht="12.65" customHeight="1" x14ac:dyDescent="0.3">
      <c r="A758" s="209" t="str">
        <f>RIGHT($C$84,3)&amp;"*"&amp;RIGHT($C$83,4)&amp;"*"&amp;AB$55&amp;"*"&amp;"A"</f>
        <v>tal*054*7170*A</v>
      </c>
      <c r="B758" s="286"/>
      <c r="C758" s="289">
        <f>ROUND(AB60,2)</f>
        <v>2.13</v>
      </c>
      <c r="D758" s="286">
        <f>ROUND(AB61,0)</f>
        <v>234576</v>
      </c>
      <c r="E758" s="286">
        <f>ROUND(AB62,0)</f>
        <v>73626</v>
      </c>
      <c r="F758" s="286">
        <f>ROUND(AB63,0)</f>
        <v>42934</v>
      </c>
      <c r="G758" s="286">
        <f>ROUND(AB64,0)</f>
        <v>743293</v>
      </c>
      <c r="H758" s="286">
        <f>ROUND(AB65,0)</f>
        <v>2348</v>
      </c>
      <c r="I758" s="286">
        <f>ROUND(AB66,0)</f>
        <v>121595</v>
      </c>
      <c r="J758" s="286">
        <f>ROUND(AB67,0)</f>
        <v>12370</v>
      </c>
      <c r="K758" s="286">
        <f>ROUND(AB68,0)</f>
        <v>0</v>
      </c>
      <c r="L758" s="286">
        <f>ROUND(AB70,0)</f>
        <v>0</v>
      </c>
      <c r="M758" s="286">
        <f>ROUND(AB71,0)</f>
        <v>1245258</v>
      </c>
      <c r="N758" s="286">
        <f>ROUND(AB76,0)</f>
        <v>394</v>
      </c>
      <c r="O758" s="286">
        <f>ROUND(AB74,0)</f>
        <v>2892304</v>
      </c>
      <c r="P758" s="286">
        <f>IF(AB77&gt;0,ROUND(AB77,0),0)</f>
        <v>0</v>
      </c>
      <c r="Q758" s="286">
        <f>IF(AB78&gt;0,ROUND(AB78,0),0)</f>
        <v>115</v>
      </c>
      <c r="R758" s="286">
        <f>IF(AB79&gt;0,ROUND(AB79,0),0)</f>
        <v>0</v>
      </c>
      <c r="S758" s="286">
        <f>IF(AB80&gt;0,ROUND(AB80,0),0)</f>
        <v>0</v>
      </c>
      <c r="T758" s="289">
        <f>IF(AB81&gt;0,ROUND(AB81,2),0)</f>
        <v>0</v>
      </c>
      <c r="U758" s="286"/>
      <c r="X758" s="286"/>
      <c r="Y758" s="286"/>
      <c r="Z758" s="286" t="e">
        <f t="shared" si="9"/>
        <v>#DIV/0!</v>
      </c>
    </row>
    <row r="759" spans="1:26" ht="12.65" customHeight="1" x14ac:dyDescent="0.3">
      <c r="A759" s="209" t="str">
        <f>RIGHT($C$84,3)&amp;"*"&amp;RIGHT($C$83,4)&amp;"*"&amp;AC$55&amp;"*"&amp;"A"</f>
        <v>tal*054*7180*A</v>
      </c>
      <c r="B759" s="286">
        <f>ROUND(AC59,0)</f>
        <v>450</v>
      </c>
      <c r="C759" s="289">
        <f>ROUND(AC60,2)</f>
        <v>1.07</v>
      </c>
      <c r="D759" s="286">
        <f>ROUND(AC61,0)</f>
        <v>84194</v>
      </c>
      <c r="E759" s="286">
        <f>ROUND(AC62,0)</f>
        <v>26426</v>
      </c>
      <c r="F759" s="286">
        <f>ROUND(AC63,0)</f>
        <v>0</v>
      </c>
      <c r="G759" s="286">
        <f>ROUND(AC64,0)</f>
        <v>2295</v>
      </c>
      <c r="H759" s="286">
        <f>ROUND(AC65,0)</f>
        <v>0</v>
      </c>
      <c r="I759" s="286">
        <f>ROUND(AC66,0)</f>
        <v>281</v>
      </c>
      <c r="J759" s="286">
        <f>ROUND(AC67,0)</f>
        <v>10388</v>
      </c>
      <c r="K759" s="286">
        <f>ROUND(AC68,0)</f>
        <v>0</v>
      </c>
      <c r="L759" s="286">
        <f>ROUND(AC70,0)</f>
        <v>0</v>
      </c>
      <c r="M759" s="286">
        <f>ROUND(AC71,0)</f>
        <v>123771</v>
      </c>
      <c r="N759" s="286">
        <f>ROUND(AC76,0)</f>
        <v>752</v>
      </c>
      <c r="O759" s="286">
        <f>ROUND(AC74,0)</f>
        <v>46793</v>
      </c>
      <c r="P759" s="286">
        <f>IF(AC77&gt;0,ROUND(AC77,0),0)</f>
        <v>0</v>
      </c>
      <c r="Q759" s="286">
        <f>IF(AC78&gt;0,ROUND(AC78,0),0)</f>
        <v>141</v>
      </c>
      <c r="R759" s="286">
        <f>IF(AC79&gt;0,ROUND(AC79,0),0)</f>
        <v>0</v>
      </c>
      <c r="S759" s="286">
        <f>IF(AC80&gt;0,ROUND(AC80,0),0)</f>
        <v>0</v>
      </c>
      <c r="T759" s="289">
        <f>IF(AC81&gt;0,ROUND(AC81,2),0)</f>
        <v>0</v>
      </c>
      <c r="U759" s="286"/>
      <c r="X759" s="286"/>
      <c r="Y759" s="286"/>
      <c r="Z759" s="286" t="e">
        <f t="shared" si="9"/>
        <v>#DIV/0!</v>
      </c>
    </row>
    <row r="760" spans="1:26" ht="12.65" customHeight="1" x14ac:dyDescent="0.3">
      <c r="A760" s="209" t="str">
        <f>RIGHT($C$84,3)&amp;"*"&amp;RIGHT($C$83,4)&amp;"*"&amp;AD$55&amp;"*"&amp;"A"</f>
        <v>tal*054*7190*A</v>
      </c>
      <c r="B760" s="286">
        <f>ROUND(AD59,0)</f>
        <v>0</v>
      </c>
      <c r="C760" s="289">
        <f>ROUND(AD60,2)</f>
        <v>0</v>
      </c>
      <c r="D760" s="286">
        <f>ROUND(AD61,0)</f>
        <v>0</v>
      </c>
      <c r="E760" s="286">
        <f>ROUND(AD62,0)</f>
        <v>0</v>
      </c>
      <c r="F760" s="286">
        <f>ROUND(AD63,0)</f>
        <v>0</v>
      </c>
      <c r="G760" s="286">
        <f>ROUND(AD64,0)</f>
        <v>0</v>
      </c>
      <c r="H760" s="286">
        <f>ROUND(AD65,0)</f>
        <v>0</v>
      </c>
      <c r="I760" s="286">
        <f>ROUND(AD66,0)</f>
        <v>0</v>
      </c>
      <c r="J760" s="286">
        <f>ROUND(AD67,0)</f>
        <v>0</v>
      </c>
      <c r="K760" s="286">
        <f>ROUND(AD68,0)</f>
        <v>0</v>
      </c>
      <c r="L760" s="286">
        <f>ROUND(AD70,0)</f>
        <v>0</v>
      </c>
      <c r="M760" s="286">
        <f>ROUND(AD71,0)</f>
        <v>0</v>
      </c>
      <c r="N760" s="286">
        <f>ROUND(AD76,0)</f>
        <v>0</v>
      </c>
      <c r="O760" s="286">
        <f>ROUND(AD74,0)</f>
        <v>0</v>
      </c>
      <c r="P760" s="286">
        <f>IF(AD77&gt;0,ROUND(AD77,0),0)</f>
        <v>0</v>
      </c>
      <c r="Q760" s="286">
        <f>IF(AD78&gt;0,ROUND(AD78,0),0)</f>
        <v>0</v>
      </c>
      <c r="R760" s="286">
        <f>IF(AD79&gt;0,ROUND(AD79,0),0)</f>
        <v>0</v>
      </c>
      <c r="S760" s="286">
        <f>IF(AD80&gt;0,ROUND(AD80,0),0)</f>
        <v>0</v>
      </c>
      <c r="T760" s="289">
        <f>IF(AD81&gt;0,ROUND(AD81,2),0)</f>
        <v>0</v>
      </c>
      <c r="U760" s="286"/>
      <c r="X760" s="286"/>
      <c r="Y760" s="286"/>
      <c r="Z760" s="286" t="e">
        <f t="shared" si="9"/>
        <v>#DIV/0!</v>
      </c>
    </row>
    <row r="761" spans="1:26" ht="12.65" customHeight="1" x14ac:dyDescent="0.3">
      <c r="A761" s="209" t="str">
        <f>RIGHT($C$84,3)&amp;"*"&amp;RIGHT($C$83,4)&amp;"*"&amp;AE$55&amp;"*"&amp;"A"</f>
        <v>tal*054*7200*A</v>
      </c>
      <c r="B761" s="286">
        <f>ROUND(AE59,0)</f>
        <v>6259</v>
      </c>
      <c r="C761" s="289">
        <f>ROUND(AE60,2)</f>
        <v>8.58</v>
      </c>
      <c r="D761" s="286">
        <f>ROUND(AE61,0)</f>
        <v>421950</v>
      </c>
      <c r="E761" s="286">
        <f>ROUND(AE62,0)</f>
        <v>132436</v>
      </c>
      <c r="F761" s="286">
        <f>ROUND(AE63,0)</f>
        <v>276958</v>
      </c>
      <c r="G761" s="286">
        <f>ROUND(AE64,0)</f>
        <v>13534</v>
      </c>
      <c r="H761" s="286">
        <f>ROUND(AE65,0)</f>
        <v>363</v>
      </c>
      <c r="I761" s="286">
        <f>ROUND(AE66,0)</f>
        <v>1859</v>
      </c>
      <c r="J761" s="286">
        <f>ROUND(AE67,0)</f>
        <v>20965</v>
      </c>
      <c r="K761" s="286">
        <f>ROUND(AE68,0)</f>
        <v>0</v>
      </c>
      <c r="L761" s="286">
        <f>ROUND(AE70,0)</f>
        <v>0</v>
      </c>
      <c r="M761" s="286">
        <f>ROUND(AE71,0)</f>
        <v>872121</v>
      </c>
      <c r="N761" s="286">
        <f>ROUND(AE76,0)</f>
        <v>2996</v>
      </c>
      <c r="O761" s="286">
        <f>ROUND(AE74,0)</f>
        <v>3255546</v>
      </c>
      <c r="P761" s="286">
        <f>IF(AE77&gt;0,ROUND(AE77,0),0)</f>
        <v>0</v>
      </c>
      <c r="Q761" s="286">
        <f>IF(AE78&gt;0,ROUND(AE78,0),0)</f>
        <v>927</v>
      </c>
      <c r="R761" s="286">
        <f>IF(AE79&gt;0,ROUND(AE79,0),0)</f>
        <v>1988</v>
      </c>
      <c r="S761" s="286">
        <f>IF(AE80&gt;0,ROUND(AE80,0),0)</f>
        <v>0</v>
      </c>
      <c r="T761" s="289">
        <f>IF(AE81&gt;0,ROUND(AE81,2),0)</f>
        <v>0</v>
      </c>
      <c r="U761" s="286"/>
      <c r="X761" s="286"/>
      <c r="Y761" s="286"/>
      <c r="Z761" s="286" t="e">
        <f t="shared" si="9"/>
        <v>#DIV/0!</v>
      </c>
    </row>
    <row r="762" spans="1:26" ht="12.65" customHeight="1" x14ac:dyDescent="0.3">
      <c r="A762" s="209" t="str">
        <f>RIGHT($C$84,3)&amp;"*"&amp;RIGHT($C$83,4)&amp;"*"&amp;AF$55&amp;"*"&amp;"A"</f>
        <v>tal*054*7220*A</v>
      </c>
      <c r="B762" s="286">
        <f>ROUND(AF59,0)</f>
        <v>0</v>
      </c>
      <c r="C762" s="289">
        <f>ROUND(AF60,2)</f>
        <v>0</v>
      </c>
      <c r="D762" s="286">
        <f>ROUND(AF61,0)</f>
        <v>0</v>
      </c>
      <c r="E762" s="286">
        <f>ROUND(AF62,0)</f>
        <v>0</v>
      </c>
      <c r="F762" s="286">
        <f>ROUND(AF63,0)</f>
        <v>0</v>
      </c>
      <c r="G762" s="286">
        <f>ROUND(AF64,0)</f>
        <v>0</v>
      </c>
      <c r="H762" s="286">
        <f>ROUND(AF65,0)</f>
        <v>0</v>
      </c>
      <c r="I762" s="286">
        <f>ROUND(AF66,0)</f>
        <v>0</v>
      </c>
      <c r="J762" s="286">
        <f>ROUND(AF67,0)</f>
        <v>0</v>
      </c>
      <c r="K762" s="286">
        <f>ROUND(AF68,0)</f>
        <v>0</v>
      </c>
      <c r="L762" s="286">
        <f>ROUND(AF70,0)</f>
        <v>0</v>
      </c>
      <c r="M762" s="286">
        <f>ROUND(AF71,0)</f>
        <v>0</v>
      </c>
      <c r="N762" s="286">
        <f>ROUND(AF76,0)</f>
        <v>0</v>
      </c>
      <c r="O762" s="286">
        <f>ROUND(AF74,0)</f>
        <v>0</v>
      </c>
      <c r="P762" s="286">
        <f>IF(AF77&gt;0,ROUND(AF77,0),0)</f>
        <v>0</v>
      </c>
      <c r="Q762" s="286">
        <f>IF(AF78&gt;0,ROUND(AF78,0),0)</f>
        <v>0</v>
      </c>
      <c r="R762" s="286">
        <f>IF(AF79&gt;0,ROUND(AF79,0),0)</f>
        <v>0</v>
      </c>
      <c r="S762" s="286">
        <f>IF(AF80&gt;0,ROUND(AF80,0),0)</f>
        <v>0</v>
      </c>
      <c r="T762" s="289">
        <f>IF(AF81&gt;0,ROUND(AF81,2),0)</f>
        <v>0</v>
      </c>
      <c r="U762" s="286"/>
      <c r="X762" s="286"/>
      <c r="Y762" s="286"/>
      <c r="Z762" s="286" t="e">
        <f t="shared" si="9"/>
        <v>#DIV/0!</v>
      </c>
    </row>
    <row r="763" spans="1:26" ht="12.65" customHeight="1" x14ac:dyDescent="0.3">
      <c r="A763" s="209" t="str">
        <f>RIGHT($C$84,3)&amp;"*"&amp;RIGHT($C$83,4)&amp;"*"&amp;AG$55&amp;"*"&amp;"A"</f>
        <v>tal*054*7230*A</v>
      </c>
      <c r="B763" s="286">
        <f>ROUND(AG59,0)</f>
        <v>4102</v>
      </c>
      <c r="C763" s="289">
        <f>ROUND(AG60,2)</f>
        <v>6.34</v>
      </c>
      <c r="D763" s="286">
        <f>ROUND(AG61,0)</f>
        <v>722421</v>
      </c>
      <c r="E763" s="286">
        <f>ROUND(AG62,0)</f>
        <v>226744</v>
      </c>
      <c r="F763" s="286">
        <f>ROUND(AG63,0)</f>
        <v>771846</v>
      </c>
      <c r="G763" s="286">
        <f>ROUND(AG64,0)</f>
        <v>55349</v>
      </c>
      <c r="H763" s="286">
        <f>ROUND(AG65,0)</f>
        <v>563</v>
      </c>
      <c r="I763" s="286">
        <f>ROUND(AG66,0)</f>
        <v>19746</v>
      </c>
      <c r="J763" s="286">
        <f>ROUND(AG67,0)</f>
        <v>43642</v>
      </c>
      <c r="K763" s="286">
        <f>ROUND(AG68,0)</f>
        <v>0</v>
      </c>
      <c r="L763" s="286">
        <f>ROUND(AG70,0)</f>
        <v>0</v>
      </c>
      <c r="M763" s="286">
        <f>ROUND(AG71,0)</f>
        <v>1850755</v>
      </c>
      <c r="N763" s="286">
        <f>ROUND(AG76,0)</f>
        <v>1577</v>
      </c>
      <c r="O763" s="286">
        <f>ROUND(AG74,0)</f>
        <v>7446987</v>
      </c>
      <c r="P763" s="286">
        <f>IF(AG77&gt;0,ROUND(AG77,0),0)</f>
        <v>0</v>
      </c>
      <c r="Q763" s="286">
        <f>IF(AG78&gt;0,ROUND(AG78,0),0)</f>
        <v>962</v>
      </c>
      <c r="R763" s="286">
        <f>IF(AG79&gt;0,ROUND(AG79,0),0)</f>
        <v>15947</v>
      </c>
      <c r="S763" s="286">
        <f>IF(AG80&gt;0,ROUND(AG80,0),0)</f>
        <v>1</v>
      </c>
      <c r="T763" s="289">
        <f>IF(AG81&gt;0,ROUND(AG81,2),0)</f>
        <v>0</v>
      </c>
      <c r="U763" s="286"/>
      <c r="X763" s="286"/>
      <c r="Y763" s="286"/>
      <c r="Z763" s="286" t="e">
        <f t="shared" si="9"/>
        <v>#DIV/0!</v>
      </c>
    </row>
    <row r="764" spans="1:26" ht="12.65" customHeight="1" x14ac:dyDescent="0.3">
      <c r="A764" s="209" t="str">
        <f>RIGHT($C$84,3)&amp;"*"&amp;RIGHT($C$83,4)&amp;"*"&amp;AH$55&amp;"*"&amp;"A"</f>
        <v>tal*054*7240*A</v>
      </c>
      <c r="B764" s="286">
        <f>ROUND(AH59,0)</f>
        <v>845</v>
      </c>
      <c r="C764" s="289">
        <f>ROUND(AH60,2)</f>
        <v>3.39</v>
      </c>
      <c r="D764" s="286">
        <f>ROUND(AH61,0)</f>
        <v>180029</v>
      </c>
      <c r="E764" s="286">
        <f>ROUND(AH62,0)</f>
        <v>56505</v>
      </c>
      <c r="F764" s="286">
        <f>ROUND(AH63,0)</f>
        <v>0</v>
      </c>
      <c r="G764" s="286">
        <f>ROUND(AH64,0)</f>
        <v>32962</v>
      </c>
      <c r="H764" s="286">
        <f>ROUND(AH65,0)</f>
        <v>13548</v>
      </c>
      <c r="I764" s="286">
        <f>ROUND(AH66,0)</f>
        <v>28896</v>
      </c>
      <c r="J764" s="286">
        <f>ROUND(AH67,0)</f>
        <v>111423</v>
      </c>
      <c r="K764" s="286">
        <f>ROUND(AH68,0)</f>
        <v>4315</v>
      </c>
      <c r="L764" s="286">
        <f>ROUND(AH70,0)</f>
        <v>0</v>
      </c>
      <c r="M764" s="286">
        <f>ROUND(AH71,0)</f>
        <v>435030</v>
      </c>
      <c r="N764" s="286">
        <f>ROUND(AH76,0)</f>
        <v>1650</v>
      </c>
      <c r="O764" s="286">
        <f>ROUND(AH74,0)</f>
        <v>597403</v>
      </c>
      <c r="P764" s="286">
        <f>IF(AH77&gt;0,ROUND(AH77,0),0)</f>
        <v>0</v>
      </c>
      <c r="Q764" s="286">
        <f>IF(AH78&gt;0,ROUND(AH78,0),0)</f>
        <v>240</v>
      </c>
      <c r="R764" s="286">
        <f>IF(AH79&gt;0,ROUND(AH79,0),0)</f>
        <v>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 t="e">
        <f t="shared" si="9"/>
        <v>#DIV/0!</v>
      </c>
    </row>
    <row r="765" spans="1:26" ht="12.65" customHeight="1" x14ac:dyDescent="0.3">
      <c r="A765" s="209" t="str">
        <f>RIGHT($C$84,3)&amp;"*"&amp;RIGHT($C$83,4)&amp;"*"&amp;AI$55&amp;"*"&amp;"A"</f>
        <v>tal*054*7250*A</v>
      </c>
      <c r="B765" s="286">
        <f>ROUND(AI59,0)</f>
        <v>382</v>
      </c>
      <c r="C765" s="289">
        <f>ROUND(AI60,2)</f>
        <v>1.41</v>
      </c>
      <c r="D765" s="286">
        <f>ROUND(AI61,0)</f>
        <v>134808</v>
      </c>
      <c r="E765" s="286">
        <f>ROUND(AI62,0)</f>
        <v>42312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>
        <f>ROUND(AI67,0)</f>
        <v>0</v>
      </c>
      <c r="K765" s="286">
        <f>ROUND(AI68,0)</f>
        <v>0</v>
      </c>
      <c r="L765" s="286">
        <f>ROUND(AI70,0)</f>
        <v>0</v>
      </c>
      <c r="M765" s="286">
        <f>ROUND(AI71,0)</f>
        <v>177120</v>
      </c>
      <c r="N765" s="286">
        <f>ROUND(AI76,0)</f>
        <v>0</v>
      </c>
      <c r="O765" s="286">
        <f>ROUND(AI74,0)</f>
        <v>1086948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10369</v>
      </c>
      <c r="S765" s="286">
        <f>IF(AI80&gt;0,ROUND(AI80,0),0)</f>
        <v>1</v>
      </c>
      <c r="T765" s="289">
        <f>IF(AI81&gt;0,ROUND(AI81,2),0)</f>
        <v>0</v>
      </c>
      <c r="U765" s="286"/>
      <c r="X765" s="286"/>
      <c r="Y765" s="286"/>
      <c r="Z765" s="286" t="e">
        <f t="shared" si="9"/>
        <v>#DIV/0!</v>
      </c>
    </row>
    <row r="766" spans="1:26" ht="12.65" customHeight="1" x14ac:dyDescent="0.3">
      <c r="A766" s="209" t="str">
        <f>RIGHT($C$84,3)&amp;"*"&amp;RIGHT($C$83,4)&amp;"*"&amp;AJ$55&amp;"*"&amp;"A"</f>
        <v>tal*054*7260*A</v>
      </c>
      <c r="B766" s="286">
        <f>ROUND(AJ59,0)</f>
        <v>17522</v>
      </c>
      <c r="C766" s="289">
        <f>ROUND(AJ60,2)</f>
        <v>36.86</v>
      </c>
      <c r="D766" s="286">
        <f>ROUND(AJ61,0)</f>
        <v>3421224</v>
      </c>
      <c r="E766" s="286">
        <f>ROUND(AJ62,0)</f>
        <v>1073808</v>
      </c>
      <c r="F766" s="286">
        <f>ROUND(AJ63,0)</f>
        <v>225731</v>
      </c>
      <c r="G766" s="286">
        <f>ROUND(AJ64,0)</f>
        <v>253175</v>
      </c>
      <c r="H766" s="286">
        <f>ROUND(AJ65,0)</f>
        <v>74976</v>
      </c>
      <c r="I766" s="286">
        <f>ROUND(AJ66,0)</f>
        <v>65136</v>
      </c>
      <c r="J766" s="286">
        <f>ROUND(AJ67,0)</f>
        <v>94030</v>
      </c>
      <c r="K766" s="286">
        <f>ROUND(AJ68,0)</f>
        <v>277</v>
      </c>
      <c r="L766" s="286">
        <f>ROUND(AJ70,0)</f>
        <v>0</v>
      </c>
      <c r="M766" s="286">
        <f>ROUND(AJ71,0)</f>
        <v>5407348</v>
      </c>
      <c r="N766" s="286">
        <f>ROUND(AJ76,0)</f>
        <v>12086</v>
      </c>
      <c r="O766" s="286">
        <f>ROUND(AJ74,0)</f>
        <v>5598150</v>
      </c>
      <c r="P766" s="286">
        <f>IF(AJ77&gt;0,ROUND(AJ77,0),0)</f>
        <v>0</v>
      </c>
      <c r="Q766" s="286">
        <f>IF(AJ78&gt;0,ROUND(AJ78,0),0)</f>
        <v>3061</v>
      </c>
      <c r="R766" s="286">
        <f>IF(AJ79&gt;0,ROUND(AJ79,0),0)</f>
        <v>45764</v>
      </c>
      <c r="S766" s="286">
        <f>IF(AJ80&gt;0,ROUND(AJ80,0),0)</f>
        <v>8</v>
      </c>
      <c r="T766" s="289">
        <f>IF(AJ81&gt;0,ROUND(AJ81,2),0)</f>
        <v>0</v>
      </c>
      <c r="U766" s="286"/>
      <c r="X766" s="286"/>
      <c r="Y766" s="286"/>
      <c r="Z766" s="286" t="e">
        <f t="shared" si="9"/>
        <v>#DIV/0!</v>
      </c>
    </row>
    <row r="767" spans="1:26" ht="12.65" customHeight="1" x14ac:dyDescent="0.3">
      <c r="A767" s="209" t="str">
        <f>RIGHT($C$84,3)&amp;"*"&amp;RIGHT($C$83,4)&amp;"*"&amp;AK$55&amp;"*"&amp;"A"</f>
        <v>tal*054*7310*A</v>
      </c>
      <c r="B767" s="286">
        <f>ROUND(AK59,0)</f>
        <v>0</v>
      </c>
      <c r="C767" s="289">
        <f>ROUND(AK60,2)</f>
        <v>0</v>
      </c>
      <c r="D767" s="286">
        <f>ROUND(AK61,0)</f>
        <v>0</v>
      </c>
      <c r="E767" s="286">
        <f>ROUND(AK62,0)</f>
        <v>0</v>
      </c>
      <c r="F767" s="286">
        <f>ROUND(AK63,0)</f>
        <v>0</v>
      </c>
      <c r="G767" s="286">
        <f>ROUND(AK64,0)</f>
        <v>0</v>
      </c>
      <c r="H767" s="286">
        <f>ROUND(AK65,0)</f>
        <v>0</v>
      </c>
      <c r="I767" s="286">
        <f>ROUND(AK66,0)</f>
        <v>0</v>
      </c>
      <c r="J767" s="286">
        <f>ROUND(AK67,0)</f>
        <v>0</v>
      </c>
      <c r="K767" s="286">
        <f>ROUND(AK68,0)</f>
        <v>0</v>
      </c>
      <c r="L767" s="286">
        <f>ROUND(AK70,0)</f>
        <v>0</v>
      </c>
      <c r="M767" s="286">
        <f>ROUND(AK71,0)</f>
        <v>0</v>
      </c>
      <c r="N767" s="286">
        <f>ROUND(AK76,0)</f>
        <v>0</v>
      </c>
      <c r="O767" s="286">
        <f>ROUND(AK74,0)</f>
        <v>0</v>
      </c>
      <c r="P767" s="286">
        <f>IF(AK77&gt;0,ROUND(AK77,0),0)</f>
        <v>0</v>
      </c>
      <c r="Q767" s="286">
        <f>IF(AK78&gt;0,ROUND(AK78,0),0)</f>
        <v>13</v>
      </c>
      <c r="R767" s="286">
        <f>IF(AK79&gt;0,ROUND(AK79,0),0)</f>
        <v>0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 t="e">
        <f t="shared" si="9"/>
        <v>#DIV/0!</v>
      </c>
    </row>
    <row r="768" spans="1:26" ht="12.65" customHeight="1" x14ac:dyDescent="0.3">
      <c r="A768" s="209" t="str">
        <f>RIGHT($C$84,3)&amp;"*"&amp;RIGHT($C$83,4)&amp;"*"&amp;AL$55&amp;"*"&amp;"A"</f>
        <v>tal*054*7320*A</v>
      </c>
      <c r="B768" s="286">
        <f>ROUND(AL59,0)</f>
        <v>0</v>
      </c>
      <c r="C768" s="289">
        <f>ROUND(AL60,2)</f>
        <v>0</v>
      </c>
      <c r="D768" s="286">
        <f>ROUND(AL61,0)</f>
        <v>0</v>
      </c>
      <c r="E768" s="286">
        <f>ROUND(AL62,0)</f>
        <v>0</v>
      </c>
      <c r="F768" s="286">
        <f>ROUND(AL63,0)</f>
        <v>0</v>
      </c>
      <c r="G768" s="286">
        <f>ROUND(AL64,0)</f>
        <v>0</v>
      </c>
      <c r="H768" s="286">
        <f>ROUND(AL65,0)</f>
        <v>0</v>
      </c>
      <c r="I768" s="286">
        <f>ROUND(AL66,0)</f>
        <v>0</v>
      </c>
      <c r="J768" s="286">
        <f>ROUND(AL67,0)</f>
        <v>0</v>
      </c>
      <c r="K768" s="286">
        <f>ROUND(AL68,0)</f>
        <v>0</v>
      </c>
      <c r="L768" s="286">
        <f>ROUND(AL70,0)</f>
        <v>0</v>
      </c>
      <c r="M768" s="286">
        <f>ROUND(AL71,0)</f>
        <v>0</v>
      </c>
      <c r="N768" s="286">
        <f>ROUND(AL76,0)</f>
        <v>0</v>
      </c>
      <c r="O768" s="286">
        <f>ROUND(AL74,0)</f>
        <v>0</v>
      </c>
      <c r="P768" s="286">
        <f>IF(AL77&gt;0,ROUND(AL77,0),0)</f>
        <v>0</v>
      </c>
      <c r="Q768" s="286">
        <f>IF(AL78&gt;0,ROUND(AL78,0),0)</f>
        <v>10</v>
      </c>
      <c r="R768" s="286">
        <f>IF(AL79&gt;0,ROUND(AL79,0),0)</f>
        <v>0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 t="e">
        <f t="shared" si="9"/>
        <v>#DIV/0!</v>
      </c>
    </row>
    <row r="769" spans="1:26" ht="12.65" customHeight="1" x14ac:dyDescent="0.3">
      <c r="A769" s="209" t="str">
        <f>RIGHT($C$84,3)&amp;"*"&amp;RIGHT($C$83,4)&amp;"*"&amp;AM$55&amp;"*"&amp;"A"</f>
        <v>tal*054*7330*A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>
        <f>ROUND(AM62,0)</f>
        <v>0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>
        <f>ROUND(AM67,0)</f>
        <v>0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 t="e">
        <f t="shared" si="9"/>
        <v>#DIV/0!</v>
      </c>
    </row>
    <row r="770" spans="1:26" ht="12.65" customHeight="1" x14ac:dyDescent="0.3">
      <c r="A770" s="209" t="str">
        <f>RIGHT($C$84,3)&amp;"*"&amp;RIGHT($C$83,4)&amp;"*"&amp;AN$55&amp;"*"&amp;"A"</f>
        <v>tal*054*7340*A</v>
      </c>
      <c r="B770" s="286">
        <f>ROUND(AN59,0)</f>
        <v>0</v>
      </c>
      <c r="C770" s="289">
        <f>ROUND(AN60,2)</f>
        <v>0</v>
      </c>
      <c r="D770" s="286">
        <f>ROUND(AN61,0)</f>
        <v>0</v>
      </c>
      <c r="E770" s="286">
        <f>ROUND(AN62,0)</f>
        <v>0</v>
      </c>
      <c r="F770" s="286">
        <f>ROUND(AN63,0)</f>
        <v>0</v>
      </c>
      <c r="G770" s="286">
        <f>ROUND(AN64,0)</f>
        <v>0</v>
      </c>
      <c r="H770" s="286">
        <f>ROUND(AN65,0)</f>
        <v>0</v>
      </c>
      <c r="I770" s="286">
        <f>ROUND(AN66,0)</f>
        <v>0</v>
      </c>
      <c r="J770" s="286">
        <f>ROUND(AN67,0)</f>
        <v>0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0</v>
      </c>
      <c r="O770" s="286">
        <f>ROUND(AN74,0)</f>
        <v>0</v>
      </c>
      <c r="P770" s="286">
        <f>IF(AN77&gt;0,ROUND(AN77,0),0)</f>
        <v>0</v>
      </c>
      <c r="Q770" s="286">
        <f>IF(AN78&gt;0,ROUND(AN78,0),0)</f>
        <v>0</v>
      </c>
      <c r="R770" s="286">
        <f>IF(AN79&gt;0,ROUND(AN79,0),0)</f>
        <v>0</v>
      </c>
      <c r="S770" s="286">
        <f>IF(AN80&gt;0,ROUND(AN80,0),0)</f>
        <v>0</v>
      </c>
      <c r="T770" s="289">
        <f>IF(AN81&gt;0,ROUND(AN81,2),0)</f>
        <v>0</v>
      </c>
      <c r="U770" s="286"/>
      <c r="X770" s="286"/>
      <c r="Y770" s="286"/>
      <c r="Z770" s="286" t="e">
        <f t="shared" si="9"/>
        <v>#DIV/0!</v>
      </c>
    </row>
    <row r="771" spans="1:26" ht="12.65" customHeight="1" x14ac:dyDescent="0.3">
      <c r="A771" s="209" t="str">
        <f>RIGHT($C$84,3)&amp;"*"&amp;RIGHT($C$83,4)&amp;"*"&amp;AO$55&amp;"*"&amp;"A"</f>
        <v>tal*054*7350*A</v>
      </c>
      <c r="B771" s="286">
        <f>ROUND(AO59,0)</f>
        <v>0</v>
      </c>
      <c r="C771" s="289">
        <f>ROUND(AO60,2)</f>
        <v>0</v>
      </c>
      <c r="D771" s="286">
        <f>ROUND(AO61,0)</f>
        <v>0</v>
      </c>
      <c r="E771" s="286">
        <f>ROUND(AO62,0)</f>
        <v>0</v>
      </c>
      <c r="F771" s="286">
        <f>ROUND(AO63,0)</f>
        <v>0</v>
      </c>
      <c r="G771" s="286">
        <f>ROUND(AO64,0)</f>
        <v>0</v>
      </c>
      <c r="H771" s="286">
        <f>ROUND(AO65,0)</f>
        <v>0</v>
      </c>
      <c r="I771" s="286">
        <f>ROUND(AO66,0)</f>
        <v>0</v>
      </c>
      <c r="J771" s="286">
        <f>ROUND(AO67,0)</f>
        <v>0</v>
      </c>
      <c r="K771" s="286">
        <f>ROUND(AO68,0)</f>
        <v>0</v>
      </c>
      <c r="L771" s="286">
        <f>ROUND(AO70,0)</f>
        <v>0</v>
      </c>
      <c r="M771" s="286">
        <f>ROUND(AO71,0)</f>
        <v>0</v>
      </c>
      <c r="N771" s="286">
        <f>ROUND(AO76,0)</f>
        <v>0</v>
      </c>
      <c r="O771" s="286">
        <f>ROUND(AO74,0)</f>
        <v>0</v>
      </c>
      <c r="P771" s="286">
        <f>IF(AO77&gt;0,ROUND(AO77,0),0)</f>
        <v>0</v>
      </c>
      <c r="Q771" s="286">
        <f>IF(AO78&gt;0,ROUND(AO78,0),0)</f>
        <v>45</v>
      </c>
      <c r="R771" s="286">
        <f>IF(AO79&gt;0,ROUND(AO79,0),0)</f>
        <v>0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 t="e">
        <f t="shared" si="9"/>
        <v>#DIV/0!</v>
      </c>
    </row>
    <row r="772" spans="1:26" ht="12.65" customHeight="1" x14ac:dyDescent="0.3">
      <c r="A772" s="209" t="str">
        <f>RIGHT($C$84,3)&amp;"*"&amp;RIGHT($C$83,4)&amp;"*"&amp;AP$55&amp;"*"&amp;"A"</f>
        <v>tal*054*7380*A</v>
      </c>
      <c r="B772" s="286">
        <f>ROUND(AP59,0)</f>
        <v>0</v>
      </c>
      <c r="C772" s="289">
        <f>ROUND(AP60,2)</f>
        <v>0</v>
      </c>
      <c r="D772" s="286">
        <f>ROUND(AP61,0)</f>
        <v>0</v>
      </c>
      <c r="E772" s="286">
        <f>ROUND(AP62,0)</f>
        <v>0</v>
      </c>
      <c r="F772" s="286">
        <f>ROUND(AP63,0)</f>
        <v>0</v>
      </c>
      <c r="G772" s="286">
        <f>ROUND(AP64,0)</f>
        <v>0</v>
      </c>
      <c r="H772" s="286">
        <f>ROUND(AP65,0)</f>
        <v>0</v>
      </c>
      <c r="I772" s="286">
        <f>ROUND(AP66,0)</f>
        <v>0</v>
      </c>
      <c r="J772" s="286">
        <f>ROUND(AP67,0)</f>
        <v>0</v>
      </c>
      <c r="K772" s="286">
        <f>ROUND(AP68,0)</f>
        <v>0</v>
      </c>
      <c r="L772" s="286">
        <f>ROUND(AP70,0)</f>
        <v>0</v>
      </c>
      <c r="M772" s="286">
        <f>ROUND(AP71,0)</f>
        <v>0</v>
      </c>
      <c r="N772" s="286">
        <f>ROUND(AP76,0)</f>
        <v>0</v>
      </c>
      <c r="O772" s="286">
        <f>ROUND(AP74,0)</f>
        <v>0</v>
      </c>
      <c r="P772" s="286">
        <f>IF(AP77&gt;0,ROUND(AP77,0),0)</f>
        <v>0</v>
      </c>
      <c r="Q772" s="286">
        <f>IF(AP78&gt;0,ROUND(AP78,0),0)</f>
        <v>0</v>
      </c>
      <c r="R772" s="286">
        <f>IF(AP79&gt;0,ROUND(AP79,0),0)</f>
        <v>0</v>
      </c>
      <c r="S772" s="286">
        <f>IF(AP80&gt;0,ROUND(AP80,0),0)</f>
        <v>0</v>
      </c>
      <c r="T772" s="289">
        <f>IF(AP81&gt;0,ROUND(AP81,2),0)</f>
        <v>0</v>
      </c>
      <c r="U772" s="286"/>
      <c r="X772" s="286"/>
      <c r="Y772" s="286"/>
      <c r="Z772" s="286" t="e">
        <f t="shared" si="9"/>
        <v>#DIV/0!</v>
      </c>
    </row>
    <row r="773" spans="1:26" ht="12.65" customHeight="1" x14ac:dyDescent="0.3">
      <c r="A773" s="209" t="str">
        <f>RIGHT($C$84,3)&amp;"*"&amp;RIGHT($C$83,4)&amp;"*"&amp;AQ$55&amp;"*"&amp;"A"</f>
        <v>tal*054*7390*A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>
        <f>ROUND(AQ62,0)</f>
        <v>0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0</v>
      </c>
      <c r="J773" s="286">
        <f>ROUND(AQ67,0)</f>
        <v>0</v>
      </c>
      <c r="K773" s="286">
        <f>ROUND(AQ68,0)</f>
        <v>0</v>
      </c>
      <c r="L773" s="286">
        <f>ROUND(AQ70,0)</f>
        <v>0</v>
      </c>
      <c r="M773" s="286">
        <f>ROUND(AQ71,0)</f>
        <v>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 t="e">
        <f t="shared" si="9"/>
        <v>#DIV/0!</v>
      </c>
    </row>
    <row r="774" spans="1:26" ht="12.65" customHeight="1" x14ac:dyDescent="0.3">
      <c r="A774" s="209" t="str">
        <f>RIGHT($C$84,3)&amp;"*"&amp;RIGHT($C$83,4)&amp;"*"&amp;AR$55&amp;"*"&amp;"A"</f>
        <v>tal*054*7400*A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>
        <f>ROUND(AR62,0)</f>
        <v>0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>
        <f>ROUND(AR67,0)</f>
        <v>0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 t="e">
        <f t="shared" si="9"/>
        <v>#DIV/0!</v>
      </c>
    </row>
    <row r="775" spans="1:26" ht="12.65" customHeight="1" x14ac:dyDescent="0.3">
      <c r="A775" s="209" t="str">
        <f>RIGHT($C$84,3)&amp;"*"&amp;RIGHT($C$83,4)&amp;"*"&amp;AS$55&amp;"*"&amp;"A"</f>
        <v>tal*054*7410*A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>
        <f>ROUND(AS62,0)</f>
        <v>0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>
        <f>ROUND(AS67,0)</f>
        <v>0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 t="e">
        <f t="shared" si="9"/>
        <v>#DIV/0!</v>
      </c>
    </row>
    <row r="776" spans="1:26" ht="12.65" customHeight="1" x14ac:dyDescent="0.3">
      <c r="A776" s="209" t="str">
        <f>RIGHT($C$84,3)&amp;"*"&amp;RIGHT($C$83,4)&amp;"*"&amp;AT$55&amp;"*"&amp;"A"</f>
        <v>tal*054*7420*A</v>
      </c>
      <c r="B776" s="286">
        <f>ROUND(AT59,0)</f>
        <v>0</v>
      </c>
      <c r="C776" s="289">
        <f>ROUND(AT60,2)</f>
        <v>0</v>
      </c>
      <c r="D776" s="286">
        <f>ROUND(AT61,0)</f>
        <v>0</v>
      </c>
      <c r="E776" s="286">
        <f>ROUND(AT62,0)</f>
        <v>0</v>
      </c>
      <c r="F776" s="286">
        <f>ROUND(AT63,0)</f>
        <v>0</v>
      </c>
      <c r="G776" s="286">
        <f>ROUND(AT64,0)</f>
        <v>0</v>
      </c>
      <c r="H776" s="286">
        <f>ROUND(AT65,0)</f>
        <v>0</v>
      </c>
      <c r="I776" s="286">
        <f>ROUND(AT66,0)</f>
        <v>0</v>
      </c>
      <c r="J776" s="286">
        <f>ROUND(AT67,0)</f>
        <v>0</v>
      </c>
      <c r="K776" s="286">
        <f>ROUND(AT68,0)</f>
        <v>0</v>
      </c>
      <c r="L776" s="286">
        <f>ROUND(AT70,0)</f>
        <v>0</v>
      </c>
      <c r="M776" s="286">
        <f>ROUND(AT71,0)</f>
        <v>0</v>
      </c>
      <c r="N776" s="286">
        <f>ROUND(AT76,0)</f>
        <v>0</v>
      </c>
      <c r="O776" s="286">
        <f>ROUND(AT74,0)</f>
        <v>0</v>
      </c>
      <c r="P776" s="286">
        <f>IF(AT77&gt;0,ROUND(AT77,0),0)</f>
        <v>0</v>
      </c>
      <c r="Q776" s="286">
        <f>IF(AT78&gt;0,ROUND(AT78,0),0)</f>
        <v>0</v>
      </c>
      <c r="R776" s="286">
        <f>IF(AT79&gt;0,ROUND(AT79,0),0)</f>
        <v>0</v>
      </c>
      <c r="S776" s="286">
        <f>IF(AT80&gt;0,ROUND(AT80,0),0)</f>
        <v>0</v>
      </c>
      <c r="T776" s="289">
        <f>IF(AT81&gt;0,ROUND(AT81,2),0)</f>
        <v>0</v>
      </c>
      <c r="U776" s="286"/>
      <c r="X776" s="286"/>
      <c r="Y776" s="286"/>
      <c r="Z776" s="286" t="e">
        <f t="shared" si="9"/>
        <v>#DIV/0!</v>
      </c>
    </row>
    <row r="777" spans="1:26" ht="12.65" customHeight="1" x14ac:dyDescent="0.3">
      <c r="A777" s="209" t="str">
        <f>RIGHT($C$84,3)&amp;"*"&amp;RIGHT($C$83,4)&amp;"*"&amp;AU$55&amp;"*"&amp;"A"</f>
        <v>tal*054*7430*A</v>
      </c>
      <c r="B777" s="286">
        <f>ROUND(AU59,0)</f>
        <v>18114</v>
      </c>
      <c r="C777" s="289">
        <f>ROUND(AU60,2)</f>
        <v>18.38</v>
      </c>
      <c r="D777" s="286">
        <f>ROUND(AU61,0)</f>
        <v>1034369</v>
      </c>
      <c r="E777" s="286">
        <f>ROUND(AU62,0)</f>
        <v>324654</v>
      </c>
      <c r="F777" s="286">
        <f>ROUND(AU63,0)</f>
        <v>0</v>
      </c>
      <c r="G777" s="286">
        <f>ROUND(AU64,0)</f>
        <v>9808</v>
      </c>
      <c r="H777" s="286">
        <f>ROUND(AU65,0)</f>
        <v>16915</v>
      </c>
      <c r="I777" s="286">
        <f>ROUND(AU66,0)</f>
        <v>104165</v>
      </c>
      <c r="J777" s="286">
        <f>ROUND(AU67,0)</f>
        <v>13981</v>
      </c>
      <c r="K777" s="286">
        <f>ROUND(AU68,0)</f>
        <v>0</v>
      </c>
      <c r="L777" s="286">
        <f>ROUND(AU70,0)</f>
        <v>0</v>
      </c>
      <c r="M777" s="286">
        <f>ROUND(AU71,0)</f>
        <v>1522609</v>
      </c>
      <c r="N777" s="286">
        <f>ROUND(AU76,0)</f>
        <v>1910</v>
      </c>
      <c r="O777" s="286">
        <f>ROUND(AU74,0)</f>
        <v>1355958</v>
      </c>
      <c r="P777" s="286">
        <f>IF(AU77&gt;0,ROUND(AU77,0),0)</f>
        <v>0</v>
      </c>
      <c r="Q777" s="286">
        <f>IF(AU78&gt;0,ROUND(AU78,0),0)</f>
        <v>278</v>
      </c>
      <c r="R777" s="286">
        <f>IF(AU79&gt;0,ROUND(AU79,0),0)</f>
        <v>0</v>
      </c>
      <c r="S777" s="286">
        <f>IF(AU80&gt;0,ROUND(AU80,0),0)</f>
        <v>0</v>
      </c>
      <c r="T777" s="289">
        <f>IF(AU81&gt;0,ROUND(AU81,2),0)</f>
        <v>0</v>
      </c>
      <c r="U777" s="286"/>
      <c r="X777" s="286"/>
      <c r="Y777" s="286"/>
      <c r="Z777" s="286" t="e">
        <f t="shared" si="9"/>
        <v>#DIV/0!</v>
      </c>
    </row>
    <row r="778" spans="1:26" ht="12.65" customHeight="1" x14ac:dyDescent="0.3">
      <c r="A778" s="209" t="str">
        <f>RIGHT($C$84,3)&amp;"*"&amp;RIGHT($C$83,4)&amp;"*"&amp;AV$55&amp;"*"&amp;"A"</f>
        <v>tal*054*7490*A</v>
      </c>
      <c r="B778" s="286"/>
      <c r="C778" s="289">
        <f>ROUND(AV60,2)</f>
        <v>2.89</v>
      </c>
      <c r="D778" s="286">
        <f>ROUND(AV61,0)</f>
        <v>181309</v>
      </c>
      <c r="E778" s="286">
        <f>ROUND(AV62,0)</f>
        <v>56907</v>
      </c>
      <c r="F778" s="286">
        <f>ROUND(AV63,0)</f>
        <v>86047</v>
      </c>
      <c r="G778" s="286">
        <f>ROUND(AV64,0)</f>
        <v>55533</v>
      </c>
      <c r="H778" s="286">
        <f>ROUND(AV65,0)</f>
        <v>1224</v>
      </c>
      <c r="I778" s="286">
        <f>ROUND(AV66,0)</f>
        <v>50600</v>
      </c>
      <c r="J778" s="286">
        <f>ROUND(AV67,0)</f>
        <v>19841</v>
      </c>
      <c r="K778" s="286">
        <f>ROUND(AV68,0)</f>
        <v>0</v>
      </c>
      <c r="L778" s="286">
        <f>ROUND(AV70,0)</f>
        <v>0</v>
      </c>
      <c r="M778" s="286">
        <f>ROUND(AV71,0)</f>
        <v>452992</v>
      </c>
      <c r="N778" s="286">
        <f>ROUND(AV76,0)</f>
        <v>902</v>
      </c>
      <c r="O778" s="286">
        <f>ROUND(AV74,0)</f>
        <v>1329000</v>
      </c>
      <c r="P778" s="286">
        <f>IF(AV77&gt;0,ROUND(AV77,0),0)</f>
        <v>0</v>
      </c>
      <c r="Q778" s="286">
        <f>IF(AV78&gt;0,ROUND(AV78,0),0)</f>
        <v>248</v>
      </c>
      <c r="R778" s="286">
        <f>IF(AV79&gt;0,ROUND(AV79,0),0)</f>
        <v>0</v>
      </c>
      <c r="S778" s="286">
        <f>IF(AV80&gt;0,ROUND(AV80,0),0)</f>
        <v>0</v>
      </c>
      <c r="T778" s="289">
        <f>IF(AV81&gt;0,ROUND(AV81,2),0)</f>
        <v>0</v>
      </c>
      <c r="U778" s="286"/>
      <c r="X778" s="286"/>
      <c r="Y778" s="286"/>
      <c r="Z778" s="286" t="e">
        <f t="shared" si="9"/>
        <v>#DIV/0!</v>
      </c>
    </row>
    <row r="779" spans="1:26" ht="12.65" customHeight="1" x14ac:dyDescent="0.3">
      <c r="A779" s="209" t="str">
        <f>RIGHT($C$84,3)&amp;"*"&amp;RIGHT($C$83,4)&amp;"*"&amp;AW$55&amp;"*"&amp;"A"</f>
        <v>tal*054*8200*A</v>
      </c>
      <c r="B779" s="286"/>
      <c r="C779" s="289">
        <f>ROUND(AW60,2)</f>
        <v>0</v>
      </c>
      <c r="D779" s="286">
        <f>ROUND(AW61,0)</f>
        <v>0</v>
      </c>
      <c r="E779" s="286">
        <f>ROUND(AW62,0)</f>
        <v>0</v>
      </c>
      <c r="F779" s="286">
        <f>ROUND(AW63,0)</f>
        <v>0</v>
      </c>
      <c r="G779" s="286">
        <f>ROUND(AW64,0)</f>
        <v>0</v>
      </c>
      <c r="H779" s="286">
        <f>ROUND(AW65,0)</f>
        <v>0</v>
      </c>
      <c r="I779" s="286">
        <f>ROUND(AW66,0)</f>
        <v>0</v>
      </c>
      <c r="J779" s="286">
        <f>ROUND(AW67,0)</f>
        <v>0</v>
      </c>
      <c r="K779" s="286">
        <f>ROUND(AW68,0)</f>
        <v>0</v>
      </c>
      <c r="L779" s="286">
        <f>ROUND(AW70,0)</f>
        <v>0</v>
      </c>
      <c r="M779" s="286">
        <f>ROUND(AW71,0)</f>
        <v>0</v>
      </c>
      <c r="N779" s="286"/>
      <c r="O779" s="286"/>
      <c r="P779" s="286">
        <f>IF(AW77&gt;0,ROUND(AW77,0),0)</f>
        <v>0</v>
      </c>
      <c r="Q779" s="286">
        <f>IF(AW78&gt;0,ROUND(AW78,0),0)</f>
        <v>0</v>
      </c>
      <c r="R779" s="286">
        <f>IF(AW79&gt;0,ROUND(AW79,0),0)</f>
        <v>0</v>
      </c>
      <c r="S779" s="286">
        <f>IF(AW80&gt;0,ROUND(AW80,0),0)</f>
        <v>0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">
      <c r="A780" s="209" t="str">
        <f>RIGHT($C$84,3)&amp;"*"&amp;RIGHT($C$83,4)&amp;"*"&amp;AX$55&amp;"*"&amp;"A"</f>
        <v>tal*054*8310*A</v>
      </c>
      <c r="B780" s="286"/>
      <c r="C780" s="289">
        <f>ROUND(AX60,2)</f>
        <v>0</v>
      </c>
      <c r="D780" s="286">
        <f>ROUND(AX61,0)</f>
        <v>0</v>
      </c>
      <c r="E780" s="286">
        <f>ROUND(AX62,0)</f>
        <v>0</v>
      </c>
      <c r="F780" s="286">
        <f>ROUND(AX63,0)</f>
        <v>0</v>
      </c>
      <c r="G780" s="286">
        <f>ROUND(AX64,0)</f>
        <v>0</v>
      </c>
      <c r="H780" s="286">
        <f>ROUND(AX65,0)</f>
        <v>0</v>
      </c>
      <c r="I780" s="286">
        <f>ROUND(AX66,0)</f>
        <v>0</v>
      </c>
      <c r="J780" s="286">
        <f>ROUND(AX67,0)</f>
        <v>0</v>
      </c>
      <c r="K780" s="286">
        <f>ROUND(AX68,0)</f>
        <v>0</v>
      </c>
      <c r="L780" s="286">
        <f>ROUND(AX70,0)</f>
        <v>0</v>
      </c>
      <c r="M780" s="286">
        <f>ROUND(AX71,0)</f>
        <v>0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">
      <c r="A781" s="209" t="str">
        <f>RIGHT($C$84,3)&amp;"*"&amp;RIGHT($C$83,4)&amp;"*"&amp;AY$55&amp;"*"&amp;"A"</f>
        <v>tal*054*8320*A</v>
      </c>
      <c r="B781" s="286">
        <f>ROUND(AY59,0)</f>
        <v>25845</v>
      </c>
      <c r="C781" s="289">
        <f>ROUND(AY60,2)</f>
        <v>11.68</v>
      </c>
      <c r="D781" s="286">
        <f>ROUND(AY61,0)</f>
        <v>471063</v>
      </c>
      <c r="E781" s="286">
        <f>ROUND(AY62,0)</f>
        <v>147851</v>
      </c>
      <c r="F781" s="286">
        <f>ROUND(AY63,0)</f>
        <v>1005</v>
      </c>
      <c r="G781" s="286">
        <f>ROUND(AY64,0)</f>
        <v>258630</v>
      </c>
      <c r="H781" s="286">
        <f>ROUND(AY65,0)</f>
        <v>56</v>
      </c>
      <c r="I781" s="286">
        <f>ROUND(AY66,0)</f>
        <v>5679</v>
      </c>
      <c r="J781" s="286">
        <f>ROUND(AY67,0)</f>
        <v>6278</v>
      </c>
      <c r="K781" s="286">
        <f>ROUND(AY68,0)</f>
        <v>0</v>
      </c>
      <c r="L781" s="286">
        <f>ROUND(AY70,0)</f>
        <v>0</v>
      </c>
      <c r="M781" s="286">
        <f>ROUND(AY71,0)</f>
        <v>891377</v>
      </c>
      <c r="N781" s="286"/>
      <c r="O781" s="286"/>
      <c r="P781" s="286">
        <f>IF(AY77&gt;0,ROUND(AY77,0),0)</f>
        <v>0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">
      <c r="A782" s="209" t="str">
        <f>RIGHT($C$84,3)&amp;"*"&amp;RIGHT($C$83,4)&amp;"*"&amp;AZ$55&amp;"*"&amp;"A"</f>
        <v>tal*054*8330*A</v>
      </c>
      <c r="B782" s="286">
        <f>ROUND(AZ59,0)</f>
        <v>0</v>
      </c>
      <c r="C782" s="289">
        <f>ROUND(AZ60,2)</f>
        <v>0</v>
      </c>
      <c r="D782" s="286">
        <f>ROUND(AZ61,0)</f>
        <v>0</v>
      </c>
      <c r="E782" s="286">
        <f>ROUND(AZ62,0)</f>
        <v>0</v>
      </c>
      <c r="F782" s="286">
        <f>ROUND(AZ63,0)</f>
        <v>0</v>
      </c>
      <c r="G782" s="286">
        <f>ROUND(AZ64,0)</f>
        <v>0</v>
      </c>
      <c r="H782" s="286">
        <f>ROUND(AZ65,0)</f>
        <v>0</v>
      </c>
      <c r="I782" s="286">
        <f>ROUND(AZ66,0)</f>
        <v>0</v>
      </c>
      <c r="J782" s="286">
        <f>ROUND(AZ67,0)</f>
        <v>3640</v>
      </c>
      <c r="K782" s="286">
        <f>ROUND(AZ68,0)</f>
        <v>0</v>
      </c>
      <c r="L782" s="286">
        <f>ROUND(AZ70,0)</f>
        <v>0</v>
      </c>
      <c r="M782" s="286">
        <f>ROUND(AZ71,0)</f>
        <v>3640</v>
      </c>
      <c r="N782" s="286"/>
      <c r="O782" s="286"/>
      <c r="P782" s="286">
        <f>IF(AZ77&gt;0,ROUND(AZ77,0),0)</f>
        <v>0</v>
      </c>
      <c r="Q782" s="286">
        <f>IF(AZ78&gt;0,ROUND(AZ78,0),0)</f>
        <v>0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">
      <c r="A783" s="209" t="str">
        <f>RIGHT($C$84,3)&amp;"*"&amp;RIGHT($C$83,4)&amp;"*"&amp;BA$55&amp;"*"&amp;"A"</f>
        <v>tal*054*8350*A</v>
      </c>
      <c r="B783" s="286">
        <f>ROUND(BA59,0)</f>
        <v>0</v>
      </c>
      <c r="C783" s="289">
        <f>ROUND(BA60,2)</f>
        <v>0</v>
      </c>
      <c r="D783" s="286">
        <f>ROUND(BA61,0)</f>
        <v>0</v>
      </c>
      <c r="E783" s="286">
        <f>ROUND(BA62,0)</f>
        <v>0</v>
      </c>
      <c r="F783" s="286">
        <f>ROUND(BA63,0)</f>
        <v>0</v>
      </c>
      <c r="G783" s="286">
        <f>ROUND(BA64,0)</f>
        <v>10094</v>
      </c>
      <c r="H783" s="286">
        <f>ROUND(BA65,0)</f>
        <v>0</v>
      </c>
      <c r="I783" s="286">
        <f>ROUND(BA66,0)</f>
        <v>212451</v>
      </c>
      <c r="J783" s="286">
        <f>ROUND(BA67,0)</f>
        <v>3694</v>
      </c>
      <c r="K783" s="286">
        <f>ROUND(BA68,0)</f>
        <v>0</v>
      </c>
      <c r="L783" s="286">
        <f>ROUND(BA70,0)</f>
        <v>0</v>
      </c>
      <c r="M783" s="286">
        <f>ROUND(BA71,0)</f>
        <v>226239</v>
      </c>
      <c r="N783" s="286"/>
      <c r="O783" s="286"/>
      <c r="P783" s="286">
        <f>IF(BA77&gt;0,ROUND(BA77,0),0)</f>
        <v>0</v>
      </c>
      <c r="Q783" s="286">
        <f>IF(BA78&gt;0,ROUND(BA78,0),0)</f>
        <v>240</v>
      </c>
      <c r="R783" s="286">
        <f>IF(BA79&gt;0,ROUND(BA79,0),0)</f>
        <v>0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">
      <c r="A784" s="209" t="str">
        <f>RIGHT($C$84,3)&amp;"*"&amp;RIGHT($C$83,4)&amp;"*"&amp;BB$55&amp;"*"&amp;"A"</f>
        <v>tal*054*8360*A</v>
      </c>
      <c r="B784" s="286"/>
      <c r="C784" s="289">
        <f>ROUND(BB60,2)</f>
        <v>2</v>
      </c>
      <c r="D784" s="286">
        <f>ROUND(BB61,0)</f>
        <v>143907</v>
      </c>
      <c r="E784" s="286">
        <f>ROUND(BB62,0)</f>
        <v>45168</v>
      </c>
      <c r="F784" s="286">
        <f>ROUND(BB63,0)</f>
        <v>66</v>
      </c>
      <c r="G784" s="286">
        <f>ROUND(BB64,0)</f>
        <v>653</v>
      </c>
      <c r="H784" s="286">
        <f>ROUND(BB65,0)</f>
        <v>846</v>
      </c>
      <c r="I784" s="286">
        <f>ROUND(BB66,0)</f>
        <v>239</v>
      </c>
      <c r="J784" s="286">
        <f>ROUND(BB67,0)</f>
        <v>495</v>
      </c>
      <c r="K784" s="286">
        <f>ROUND(BB68,0)</f>
        <v>0</v>
      </c>
      <c r="L784" s="286">
        <f>ROUND(BB70,0)</f>
        <v>0</v>
      </c>
      <c r="M784" s="286">
        <f>ROUND(BB71,0)</f>
        <v>191914</v>
      </c>
      <c r="N784" s="286"/>
      <c r="O784" s="286"/>
      <c r="P784" s="286">
        <f>IF(BB77&gt;0,ROUND(BB77,0),0)</f>
        <v>0</v>
      </c>
      <c r="Q784" s="286">
        <f>IF(BB78&gt;0,ROUND(BB78,0),0)</f>
        <v>40</v>
      </c>
      <c r="R784" s="286">
        <f>IF(BB79&gt;0,ROUND(BB79,0),0)</f>
        <v>0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">
      <c r="A785" s="209" t="str">
        <f>RIGHT($C$84,3)&amp;"*"&amp;RIGHT($C$83,4)&amp;"*"&amp;BC$55&amp;"*"&amp;"A"</f>
        <v>tal*054*8370*A</v>
      </c>
      <c r="B785" s="286"/>
      <c r="C785" s="289">
        <f>ROUND(BC60,2)</f>
        <v>0</v>
      </c>
      <c r="D785" s="286">
        <f>ROUND(BC61,0)</f>
        <v>0</v>
      </c>
      <c r="E785" s="286">
        <f>ROUND(BC62,0)</f>
        <v>0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0</v>
      </c>
      <c r="J785" s="286">
        <f>ROUND(BC67,0)</f>
        <v>0</v>
      </c>
      <c r="K785" s="286">
        <f>ROUND(BC68,0)</f>
        <v>0</v>
      </c>
      <c r="L785" s="286">
        <f>ROUND(BC70,0)</f>
        <v>0</v>
      </c>
      <c r="M785" s="286">
        <f>ROUND(BC71,0)</f>
        <v>0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">
      <c r="A786" s="209" t="str">
        <f>RIGHT($C$84,3)&amp;"*"&amp;RIGHT($C$83,4)&amp;"*"&amp;BD$55&amp;"*"&amp;"A"</f>
        <v>tal*054*8420*A</v>
      </c>
      <c r="B786" s="286"/>
      <c r="C786" s="289">
        <f>ROUND(BD60,2)</f>
        <v>2.69</v>
      </c>
      <c r="D786" s="286">
        <f>ROUND(BD61,0)</f>
        <v>140178</v>
      </c>
      <c r="E786" s="286">
        <f>ROUND(BD62,0)</f>
        <v>43997</v>
      </c>
      <c r="F786" s="286">
        <f>ROUND(BD63,0)</f>
        <v>0</v>
      </c>
      <c r="G786" s="286">
        <f>ROUND(BD64,0)</f>
        <v>1583</v>
      </c>
      <c r="H786" s="286">
        <f>ROUND(BD65,0)</f>
        <v>668</v>
      </c>
      <c r="I786" s="286">
        <f>ROUND(BD66,0)</f>
        <v>-36208</v>
      </c>
      <c r="J786" s="286">
        <f>ROUND(BD67,0)</f>
        <v>495</v>
      </c>
      <c r="K786" s="286">
        <f>ROUND(BD68,0)</f>
        <v>0</v>
      </c>
      <c r="L786" s="286">
        <f>ROUND(BD70,0)</f>
        <v>0</v>
      </c>
      <c r="M786" s="286">
        <f>ROUND(BD71,0)</f>
        <v>151317</v>
      </c>
      <c r="N786" s="286"/>
      <c r="O786" s="286"/>
      <c r="P786" s="286">
        <f>IF(BD77&gt;0,ROUND(BD77,0),0)</f>
        <v>0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">
      <c r="A787" s="209" t="str">
        <f>RIGHT($C$84,3)&amp;"*"&amp;RIGHT($C$83,4)&amp;"*"&amp;BE$55&amp;"*"&amp;"A"</f>
        <v>tal*054*8430*A</v>
      </c>
      <c r="B787" s="286">
        <f>ROUND(BE59,0)</f>
        <v>56157</v>
      </c>
      <c r="C787" s="289">
        <f>ROUND(BE60,2)</f>
        <v>5.96</v>
      </c>
      <c r="D787" s="286">
        <f>ROUND(BE61,0)</f>
        <v>367754</v>
      </c>
      <c r="E787" s="286">
        <f>ROUND(BE62,0)</f>
        <v>115426</v>
      </c>
      <c r="F787" s="286">
        <f>ROUND(BE63,0)</f>
        <v>0</v>
      </c>
      <c r="G787" s="286">
        <f>ROUND(BE64,0)</f>
        <v>61335</v>
      </c>
      <c r="H787" s="286">
        <f>ROUND(BE65,0)</f>
        <v>297145</v>
      </c>
      <c r="I787" s="286">
        <f>ROUND(BE66,0)</f>
        <v>165856</v>
      </c>
      <c r="J787" s="286">
        <f>ROUND(BE67,0)</f>
        <v>15259</v>
      </c>
      <c r="K787" s="286">
        <f>ROUND(BE68,0)</f>
        <v>20169</v>
      </c>
      <c r="L787" s="286">
        <f>ROUND(BE70,0)</f>
        <v>0</v>
      </c>
      <c r="M787" s="286">
        <f>ROUND(BE71,0)</f>
        <v>1043173</v>
      </c>
      <c r="N787" s="286"/>
      <c r="O787" s="286"/>
      <c r="P787" s="286">
        <f>IF(BE77&gt;0,ROUND(BE77,0),0)</f>
        <v>0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">
      <c r="A788" s="209" t="str">
        <f>RIGHT($C$84,3)&amp;"*"&amp;RIGHT($C$83,4)&amp;"*"&amp;BF$55&amp;"*"&amp;"A"</f>
        <v>tal*054*8460*A</v>
      </c>
      <c r="B788" s="286"/>
      <c r="C788" s="289">
        <f>ROUND(BF60,2)</f>
        <v>14.66</v>
      </c>
      <c r="D788" s="286">
        <f>ROUND(BF61,0)</f>
        <v>512583</v>
      </c>
      <c r="E788" s="286">
        <f>ROUND(BF62,0)</f>
        <v>160883</v>
      </c>
      <c r="F788" s="286">
        <f>ROUND(BF63,0)</f>
        <v>0</v>
      </c>
      <c r="G788" s="286">
        <f>ROUND(BF64,0)</f>
        <v>70340</v>
      </c>
      <c r="H788" s="286">
        <f>ROUND(BF65,0)</f>
        <v>11</v>
      </c>
      <c r="I788" s="286">
        <f>ROUND(BF66,0)</f>
        <v>12590</v>
      </c>
      <c r="J788" s="286">
        <f>ROUND(BF67,0)</f>
        <v>2153</v>
      </c>
      <c r="K788" s="286">
        <f>ROUND(BF68,0)</f>
        <v>0</v>
      </c>
      <c r="L788" s="286">
        <f>ROUND(BF70,0)</f>
        <v>0</v>
      </c>
      <c r="M788" s="286">
        <f>ROUND(BF71,0)</f>
        <v>758753</v>
      </c>
      <c r="N788" s="286"/>
      <c r="O788" s="286"/>
      <c r="P788" s="286">
        <f>IF(BF77&gt;0,ROUND(BF77,0),0)</f>
        <v>0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">
      <c r="A789" s="209" t="str">
        <f>RIGHT($C$84,3)&amp;"*"&amp;RIGHT($C$83,4)&amp;"*"&amp;BG$55&amp;"*"&amp;"A"</f>
        <v>tal*054*8470*A</v>
      </c>
      <c r="B789" s="286"/>
      <c r="C789" s="289">
        <f>ROUND(BG60,2)</f>
        <v>0</v>
      </c>
      <c r="D789" s="286">
        <f>ROUND(BG61,0)</f>
        <v>0</v>
      </c>
      <c r="E789" s="286">
        <f>ROUND(BG62,0)</f>
        <v>0</v>
      </c>
      <c r="F789" s="286">
        <f>ROUND(BG63,0)</f>
        <v>0</v>
      </c>
      <c r="G789" s="286">
        <f>ROUND(BG64,0)</f>
        <v>0</v>
      </c>
      <c r="H789" s="286">
        <f>ROUND(BG65,0)</f>
        <v>0</v>
      </c>
      <c r="I789" s="286">
        <f>ROUND(BG66,0)</f>
        <v>0</v>
      </c>
      <c r="J789" s="286">
        <f>ROUND(BG67,0)</f>
        <v>0</v>
      </c>
      <c r="K789" s="286">
        <f>ROUND(BG68,0)</f>
        <v>0</v>
      </c>
      <c r="L789" s="286">
        <f>ROUND(BG70,0)</f>
        <v>0</v>
      </c>
      <c r="M789" s="286">
        <f>ROUND(BG71,0)</f>
        <v>0</v>
      </c>
      <c r="N789" s="286"/>
      <c r="O789" s="286"/>
      <c r="P789" s="286">
        <f>IF(BG77&gt;0,ROUND(BG77,0),0)</f>
        <v>0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">
      <c r="A790" s="209" t="str">
        <f>RIGHT($C$84,3)&amp;"*"&amp;RIGHT($C$83,4)&amp;"*"&amp;BH$55&amp;"*"&amp;"A"</f>
        <v>tal*054*8480*A</v>
      </c>
      <c r="B790" s="286"/>
      <c r="C790" s="289">
        <f>ROUND(BH60,2)</f>
        <v>3.53</v>
      </c>
      <c r="D790" s="286">
        <f>ROUND(BH61,0)</f>
        <v>282354</v>
      </c>
      <c r="E790" s="286">
        <f>ROUND(BH62,0)</f>
        <v>88621</v>
      </c>
      <c r="F790" s="286">
        <f>ROUND(BH63,0)</f>
        <v>0</v>
      </c>
      <c r="G790" s="286">
        <f>ROUND(BH64,0)</f>
        <v>16598</v>
      </c>
      <c r="H790" s="286">
        <f>ROUND(BH65,0)</f>
        <v>10495</v>
      </c>
      <c r="I790" s="286">
        <f>ROUND(BH66,0)</f>
        <v>342471</v>
      </c>
      <c r="J790" s="286">
        <f>ROUND(BH67,0)</f>
        <v>92866</v>
      </c>
      <c r="K790" s="286">
        <f>ROUND(BH68,0)</f>
        <v>0</v>
      </c>
      <c r="L790" s="286">
        <f>ROUND(BH70,0)</f>
        <v>0</v>
      </c>
      <c r="M790" s="286">
        <f>ROUND(BH71,0)</f>
        <v>864361</v>
      </c>
      <c r="N790" s="286"/>
      <c r="O790" s="286"/>
      <c r="P790" s="286">
        <f>IF(BH77&gt;0,ROUND(BH77,0),0)</f>
        <v>0</v>
      </c>
      <c r="Q790" s="286">
        <f>IF(BH78&gt;0,ROUND(BH78,0),0)</f>
        <v>87</v>
      </c>
      <c r="R790" s="286">
        <f>IF(BH79&gt;0,ROUND(BH79,0),0)</f>
        <v>0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">
      <c r="A791" s="209" t="str">
        <f>RIGHT($C$84,3)&amp;"*"&amp;RIGHT($C$83,4)&amp;"*"&amp;BI$55&amp;"*"&amp;"A"</f>
        <v>tal*054*8490*A</v>
      </c>
      <c r="B791" s="286"/>
      <c r="C791" s="289">
        <f>ROUND(BI60,2)</f>
        <v>0</v>
      </c>
      <c r="D791" s="286">
        <f>ROUND(BI61,0)</f>
        <v>0</v>
      </c>
      <c r="E791" s="286">
        <f>ROUND(BI62,0)</f>
        <v>0</v>
      </c>
      <c r="F791" s="286">
        <f>ROUND(BI63,0)</f>
        <v>0</v>
      </c>
      <c r="G791" s="286">
        <f>ROUND(BI64,0)</f>
        <v>0</v>
      </c>
      <c r="H791" s="286">
        <f>ROUND(BI65,0)</f>
        <v>0</v>
      </c>
      <c r="I791" s="286">
        <f>ROUND(BI66,0)</f>
        <v>0</v>
      </c>
      <c r="J791" s="286">
        <f>ROUND(BI67,0)</f>
        <v>0</v>
      </c>
      <c r="K791" s="286">
        <f>ROUND(BI68,0)</f>
        <v>0</v>
      </c>
      <c r="L791" s="286">
        <f>ROUND(BI70,0)</f>
        <v>0</v>
      </c>
      <c r="M791" s="286">
        <f>ROUND(BI71,0)</f>
        <v>0</v>
      </c>
      <c r="N791" s="286"/>
      <c r="O791" s="286"/>
      <c r="P791" s="286">
        <f>IF(BI77&gt;0,ROUND(BI77,0),0)</f>
        <v>0</v>
      </c>
      <c r="Q791" s="286">
        <f>IF(BI78&gt;0,ROUND(BI78,0),0)</f>
        <v>0</v>
      </c>
      <c r="R791" s="286">
        <f>IF(BI79&gt;0,ROUND(BI79,0),0)</f>
        <v>0</v>
      </c>
      <c r="S791" s="286">
        <f>IF(BI80&gt;0,ROUND(BI80,0),0)</f>
        <v>0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">
      <c r="A792" s="209" t="str">
        <f>RIGHT($C$84,3)&amp;"*"&amp;RIGHT($C$83,4)&amp;"*"&amp;BJ$55&amp;"*"&amp;"A"</f>
        <v>tal*054*8510*A</v>
      </c>
      <c r="B792" s="286"/>
      <c r="C792" s="289">
        <f>ROUND(BJ60,2)</f>
        <v>4.16</v>
      </c>
      <c r="D792" s="286">
        <f>ROUND(BJ61,0)</f>
        <v>210914</v>
      </c>
      <c r="E792" s="286">
        <f>ROUND(BJ62,0)</f>
        <v>66199</v>
      </c>
      <c r="F792" s="286">
        <f>ROUND(BJ63,0)</f>
        <v>94994</v>
      </c>
      <c r="G792" s="286">
        <f>ROUND(BJ64,0)</f>
        <v>5605</v>
      </c>
      <c r="H792" s="286">
        <f>ROUND(BJ65,0)</f>
        <v>373</v>
      </c>
      <c r="I792" s="286">
        <f>ROUND(BJ66,0)</f>
        <v>43313</v>
      </c>
      <c r="J792" s="286">
        <f>ROUND(BJ67,0)</f>
        <v>0</v>
      </c>
      <c r="K792" s="286">
        <f>ROUND(BJ68,0)</f>
        <v>0</v>
      </c>
      <c r="L792" s="286">
        <f>ROUND(BJ70,0)</f>
        <v>0</v>
      </c>
      <c r="M792" s="286">
        <f>ROUND(BJ71,0)</f>
        <v>432589</v>
      </c>
      <c r="N792" s="286"/>
      <c r="O792" s="286"/>
      <c r="P792" s="286">
        <f>IF(BJ77&gt;0,ROUND(BJ77,0),0)</f>
        <v>0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">
      <c r="A793" s="209" t="str">
        <f>RIGHT($C$84,3)&amp;"*"&amp;RIGHT($C$83,4)&amp;"*"&amp;BK$55&amp;"*"&amp;"A"</f>
        <v>tal*054*8530*A</v>
      </c>
      <c r="B793" s="286"/>
      <c r="C793" s="289">
        <f>ROUND(BK60,2)</f>
        <v>14.78</v>
      </c>
      <c r="D793" s="286">
        <f>ROUND(BK61,0)</f>
        <v>641467</v>
      </c>
      <c r="E793" s="286">
        <f>ROUND(BK62,0)</f>
        <v>201335</v>
      </c>
      <c r="F793" s="286">
        <f>ROUND(BK63,0)</f>
        <v>8775</v>
      </c>
      <c r="G793" s="286">
        <f>ROUND(BK64,0)</f>
        <v>17880</v>
      </c>
      <c r="H793" s="286">
        <f>ROUND(BK65,0)</f>
        <v>504</v>
      </c>
      <c r="I793" s="286">
        <f>ROUND(BK66,0)</f>
        <v>97803</v>
      </c>
      <c r="J793" s="286">
        <f>ROUND(BK67,0)</f>
        <v>9119</v>
      </c>
      <c r="K793" s="286">
        <f>ROUND(BK68,0)</f>
        <v>0</v>
      </c>
      <c r="L793" s="286">
        <f>ROUND(BK70,0)</f>
        <v>0</v>
      </c>
      <c r="M793" s="286">
        <f>ROUND(BK71,0)</f>
        <v>985850</v>
      </c>
      <c r="N793" s="286"/>
      <c r="O793" s="286"/>
      <c r="P793" s="286">
        <f>IF(BK77&gt;0,ROUND(BK77,0),0)</f>
        <v>0</v>
      </c>
      <c r="Q793" s="286">
        <f>IF(BK78&gt;0,ROUND(BK78,0),0)</f>
        <v>333</v>
      </c>
      <c r="R793" s="286">
        <f>IF(BK79&gt;0,ROUND(BK79,0),0)</f>
        <v>0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">
      <c r="A794" s="209" t="str">
        <f>RIGHT($C$84,3)&amp;"*"&amp;RIGHT($C$83,4)&amp;"*"&amp;BL$55&amp;"*"&amp;"A"</f>
        <v>tal*054*8560*A</v>
      </c>
      <c r="B794" s="286"/>
      <c r="C794" s="289">
        <f>ROUND(BL60,2)</f>
        <v>5.91</v>
      </c>
      <c r="D794" s="286">
        <f>ROUND(BL61,0)</f>
        <v>254833</v>
      </c>
      <c r="E794" s="286">
        <f>ROUND(BL62,0)</f>
        <v>79984</v>
      </c>
      <c r="F794" s="286">
        <f>ROUND(BL63,0)</f>
        <v>17</v>
      </c>
      <c r="G794" s="286">
        <f>ROUND(BL64,0)</f>
        <v>9009</v>
      </c>
      <c r="H794" s="286">
        <f>ROUND(BL65,0)</f>
        <v>855</v>
      </c>
      <c r="I794" s="286">
        <f>ROUND(BL66,0)</f>
        <v>3587</v>
      </c>
      <c r="J794" s="286">
        <f>ROUND(BL67,0)</f>
        <v>732</v>
      </c>
      <c r="K794" s="286">
        <f>ROUND(BL68,0)</f>
        <v>4101</v>
      </c>
      <c r="L794" s="286">
        <f>ROUND(BL70,0)</f>
        <v>0</v>
      </c>
      <c r="M794" s="286">
        <f>ROUND(BL71,0)</f>
        <v>368820</v>
      </c>
      <c r="N794" s="286"/>
      <c r="O794" s="286"/>
      <c r="P794" s="286">
        <f>IF(BL77&gt;0,ROUND(BL77,0),0)</f>
        <v>0</v>
      </c>
      <c r="Q794" s="286">
        <f>IF(BL78&gt;0,ROUND(BL78,0),0)</f>
        <v>128</v>
      </c>
      <c r="R794" s="286">
        <f>IF(BL79&gt;0,ROUND(BL79,0),0)</f>
        <v>0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">
      <c r="A795" s="209" t="str">
        <f>RIGHT($C$84,3)&amp;"*"&amp;RIGHT($C$83,4)&amp;"*"&amp;BM$55&amp;"*"&amp;"A"</f>
        <v>tal*054*8590*A</v>
      </c>
      <c r="B795" s="286"/>
      <c r="C795" s="289">
        <f>ROUND(BM60,2)</f>
        <v>0</v>
      </c>
      <c r="D795" s="286">
        <f>ROUND(BM61,0)</f>
        <v>0</v>
      </c>
      <c r="E795" s="286">
        <f>ROUND(BM62,0)</f>
        <v>0</v>
      </c>
      <c r="F795" s="286">
        <f>ROUND(BM63,0)</f>
        <v>0</v>
      </c>
      <c r="G795" s="286">
        <f>ROUND(BM64,0)</f>
        <v>0</v>
      </c>
      <c r="H795" s="286">
        <f>ROUND(BM65,0)</f>
        <v>0</v>
      </c>
      <c r="I795" s="286">
        <f>ROUND(BM66,0)</f>
        <v>0</v>
      </c>
      <c r="J795" s="286">
        <f>ROUND(BM67,0)</f>
        <v>0</v>
      </c>
      <c r="K795" s="286">
        <f>ROUND(BM68,0)</f>
        <v>0</v>
      </c>
      <c r="L795" s="286">
        <f>ROUND(BM70,0)</f>
        <v>0</v>
      </c>
      <c r="M795" s="286">
        <f>ROUND(BM71,0)</f>
        <v>0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">
      <c r="A796" s="209" t="str">
        <f>RIGHT($C$84,3)&amp;"*"&amp;RIGHT($C$83,4)&amp;"*"&amp;BN$55&amp;"*"&amp;"A"</f>
        <v>tal*054*8610*A</v>
      </c>
      <c r="B796" s="286"/>
      <c r="C796" s="289">
        <f>ROUND(BN60,2)</f>
        <v>4.9000000000000004</v>
      </c>
      <c r="D796" s="286">
        <f>ROUND(BN61,0)</f>
        <v>504921</v>
      </c>
      <c r="E796" s="286">
        <f>ROUND(BN62,0)</f>
        <v>158478</v>
      </c>
      <c r="F796" s="286">
        <f>ROUND(BN63,0)</f>
        <v>149023</v>
      </c>
      <c r="G796" s="286">
        <f>ROUND(BN64,0)</f>
        <v>24213</v>
      </c>
      <c r="H796" s="286">
        <f>ROUND(BN65,0)</f>
        <v>9042</v>
      </c>
      <c r="I796" s="286">
        <f>ROUND(BN66,0)</f>
        <v>102319</v>
      </c>
      <c r="J796" s="286">
        <f>ROUND(BN67,0)</f>
        <v>52489</v>
      </c>
      <c r="K796" s="286">
        <f>ROUND(BN68,0)</f>
        <v>42760</v>
      </c>
      <c r="L796" s="286">
        <f>ROUND(BN70,0)</f>
        <v>0</v>
      </c>
      <c r="M796" s="286">
        <f>ROUND(BN71,0)</f>
        <v>1063694</v>
      </c>
      <c r="N796" s="286"/>
      <c r="O796" s="286"/>
      <c r="P796" s="286">
        <f>IF(BN77&gt;0,ROUND(BN77,0),0)</f>
        <v>0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">
      <c r="A797" s="209" t="str">
        <f>RIGHT($C$84,3)&amp;"*"&amp;RIGHT($C$83,4)&amp;"*"&amp;BO$55&amp;"*"&amp;"A"</f>
        <v>tal*054*8620*A</v>
      </c>
      <c r="B797" s="286"/>
      <c r="C797" s="289">
        <f>ROUND(BO60,2)</f>
        <v>0</v>
      </c>
      <c r="D797" s="286">
        <f>ROUND(BO61,0)</f>
        <v>0</v>
      </c>
      <c r="E797" s="286">
        <f>ROUND(BO62,0)</f>
        <v>0</v>
      </c>
      <c r="F797" s="286">
        <f>ROUND(BO63,0)</f>
        <v>0</v>
      </c>
      <c r="G797" s="286">
        <f>ROUND(BO64,0)</f>
        <v>0</v>
      </c>
      <c r="H797" s="286">
        <f>ROUND(BO65,0)</f>
        <v>0</v>
      </c>
      <c r="I797" s="286">
        <f>ROUND(BO66,0)</f>
        <v>0</v>
      </c>
      <c r="J797" s="286">
        <f>ROUND(BO67,0)</f>
        <v>0</v>
      </c>
      <c r="K797" s="286">
        <f>ROUND(BO68,0)</f>
        <v>0</v>
      </c>
      <c r="L797" s="286">
        <f>ROUND(BO70,0)</f>
        <v>0</v>
      </c>
      <c r="M797" s="286">
        <f>ROUND(BO71,0)</f>
        <v>0</v>
      </c>
      <c r="N797" s="286"/>
      <c r="O797" s="286"/>
      <c r="P797" s="286">
        <f>IF(BO77&gt;0,ROUND(BO77,0),0)</f>
        <v>0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">
      <c r="A798" s="209" t="str">
        <f>RIGHT($C$84,3)&amp;"*"&amp;RIGHT($C$83,4)&amp;"*"&amp;BP$55&amp;"*"&amp;"A"</f>
        <v>tal*054*8630*A</v>
      </c>
      <c r="B798" s="286"/>
      <c r="C798" s="289">
        <f>ROUND(BP60,2)</f>
        <v>0</v>
      </c>
      <c r="D798" s="286">
        <f>ROUND(BP61,0)</f>
        <v>0</v>
      </c>
      <c r="E798" s="286">
        <f>ROUND(BP62,0)</f>
        <v>0</v>
      </c>
      <c r="F798" s="286">
        <f>ROUND(BP63,0)</f>
        <v>0</v>
      </c>
      <c r="G798" s="286">
        <f>ROUND(BP64,0)</f>
        <v>0</v>
      </c>
      <c r="H798" s="286">
        <f>ROUND(BP65,0)</f>
        <v>0</v>
      </c>
      <c r="I798" s="286">
        <f>ROUND(BP66,0)</f>
        <v>0</v>
      </c>
      <c r="J798" s="286">
        <f>ROUND(BP67,0)</f>
        <v>0</v>
      </c>
      <c r="K798" s="286">
        <f>ROUND(BP68,0)</f>
        <v>0</v>
      </c>
      <c r="L798" s="286">
        <f>ROUND(BP70,0)</f>
        <v>0</v>
      </c>
      <c r="M798" s="286">
        <f>ROUND(BP71,0)</f>
        <v>0</v>
      </c>
      <c r="N798" s="286"/>
      <c r="O798" s="286"/>
      <c r="P798" s="286">
        <f>IF(BP77&gt;0,ROUND(BP77,0),0)</f>
        <v>0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">
      <c r="A799" s="209" t="str">
        <f>RIGHT($C$84,3)&amp;"*"&amp;RIGHT($C$83,4)&amp;"*"&amp;BQ$55&amp;"*"&amp;"A"</f>
        <v>tal*054*8640*A</v>
      </c>
      <c r="B799" s="286"/>
      <c r="C799" s="289">
        <f>ROUND(BQ60,2)</f>
        <v>0</v>
      </c>
      <c r="D799" s="286">
        <f>ROUND(BQ61,0)</f>
        <v>0</v>
      </c>
      <c r="E799" s="286">
        <f>ROUND(BQ62,0)</f>
        <v>0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>
        <f>ROUND(BQ67,0)</f>
        <v>0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">
      <c r="A800" s="209" t="str">
        <f>RIGHT($C$84,3)&amp;"*"&amp;RIGHT($C$83,4)&amp;"*"&amp;BR$55&amp;"*"&amp;"A"</f>
        <v>tal*054*8650*A</v>
      </c>
      <c r="B800" s="286"/>
      <c r="C800" s="289">
        <f>ROUND(BR60,2)</f>
        <v>2</v>
      </c>
      <c r="D800" s="286">
        <f>ROUND(BR61,0)</f>
        <v>169750</v>
      </c>
      <c r="E800" s="286">
        <f>ROUND(BR62,0)</f>
        <v>53279</v>
      </c>
      <c r="F800" s="286">
        <f>ROUND(BR63,0)</f>
        <v>11986</v>
      </c>
      <c r="G800" s="286">
        <f>ROUND(BR64,0)</f>
        <v>10110</v>
      </c>
      <c r="H800" s="286">
        <f>ROUND(BR65,0)</f>
        <v>632</v>
      </c>
      <c r="I800" s="286">
        <f>ROUND(BR66,0)</f>
        <v>46425</v>
      </c>
      <c r="J800" s="286">
        <f>ROUND(BR67,0)</f>
        <v>2008</v>
      </c>
      <c r="K800" s="286">
        <f>ROUND(BR68,0)</f>
        <v>0</v>
      </c>
      <c r="L800" s="286">
        <f>ROUND(BR70,0)</f>
        <v>0</v>
      </c>
      <c r="M800" s="286">
        <f>ROUND(BR71,0)</f>
        <v>307332</v>
      </c>
      <c r="N800" s="286"/>
      <c r="O800" s="286"/>
      <c r="P800" s="286">
        <f>IF(BR77&gt;0,ROUND(BR77,0),0)</f>
        <v>0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">
      <c r="A801" s="209" t="str">
        <f>RIGHT($C$84,3)&amp;"*"&amp;RIGHT($C$83,4)&amp;"*"&amp;BS$55&amp;"*"&amp;"A"</f>
        <v>tal*054*8660*A</v>
      </c>
      <c r="B801" s="286"/>
      <c r="C801" s="289">
        <f>ROUND(BS60,2)</f>
        <v>0</v>
      </c>
      <c r="D801" s="286">
        <f>ROUND(BS61,0)</f>
        <v>0</v>
      </c>
      <c r="E801" s="286">
        <f>ROUND(BS62,0)</f>
        <v>0</v>
      </c>
      <c r="F801" s="286">
        <f>ROUND(BS63,0)</f>
        <v>0</v>
      </c>
      <c r="G801" s="286">
        <f>ROUND(BS64,0)</f>
        <v>0</v>
      </c>
      <c r="H801" s="286">
        <f>ROUND(BS65,0)</f>
        <v>0</v>
      </c>
      <c r="I801" s="286">
        <f>ROUND(BS66,0)</f>
        <v>0</v>
      </c>
      <c r="J801" s="286">
        <f>ROUND(BS67,0)</f>
        <v>0</v>
      </c>
      <c r="K801" s="286">
        <f>ROUND(BS68,0)</f>
        <v>0</v>
      </c>
      <c r="L801" s="286">
        <f>ROUND(BS70,0)</f>
        <v>0</v>
      </c>
      <c r="M801" s="286">
        <f>ROUND(BS71,0)</f>
        <v>0</v>
      </c>
      <c r="N801" s="286"/>
      <c r="O801" s="286"/>
      <c r="P801" s="286">
        <f>IF(BS77&gt;0,ROUND(BS77,0),0)</f>
        <v>0</v>
      </c>
      <c r="Q801" s="286">
        <f>IF(BS78&gt;0,ROUND(BS78,0),0)</f>
        <v>0</v>
      </c>
      <c r="R801" s="286">
        <f>IF(BS79&gt;0,ROUND(BS79,0),0)</f>
        <v>0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">
      <c r="A802" s="209" t="str">
        <f>RIGHT($C$84,3)&amp;"*"&amp;RIGHT($C$83,4)&amp;"*"&amp;BT$55&amp;"*"&amp;"A"</f>
        <v>tal*054*8670*A</v>
      </c>
      <c r="B802" s="286"/>
      <c r="C802" s="289">
        <f>ROUND(BT60,2)</f>
        <v>0</v>
      </c>
      <c r="D802" s="286">
        <f>ROUND(BT61,0)</f>
        <v>0</v>
      </c>
      <c r="E802" s="286">
        <f>ROUND(BT62,0)</f>
        <v>0</v>
      </c>
      <c r="F802" s="286">
        <f>ROUND(BT63,0)</f>
        <v>0</v>
      </c>
      <c r="G802" s="286">
        <f>ROUND(BT64,0)</f>
        <v>0</v>
      </c>
      <c r="H802" s="286">
        <f>ROUND(BT65,0)</f>
        <v>0</v>
      </c>
      <c r="I802" s="286">
        <f>ROUND(BT66,0)</f>
        <v>0</v>
      </c>
      <c r="J802" s="286">
        <f>ROUND(BT67,0)</f>
        <v>0</v>
      </c>
      <c r="K802" s="286">
        <f>ROUND(BT68,0)</f>
        <v>0</v>
      </c>
      <c r="L802" s="286">
        <f>ROUND(BT70,0)</f>
        <v>0</v>
      </c>
      <c r="M802" s="286">
        <f>ROUND(BT71,0)</f>
        <v>0</v>
      </c>
      <c r="N802" s="286"/>
      <c r="O802" s="286"/>
      <c r="P802" s="286">
        <f>IF(BT77&gt;0,ROUND(BT77,0),0)</f>
        <v>0</v>
      </c>
      <c r="Q802" s="286">
        <f>IF(BT78&gt;0,ROUND(BT78,0),0)</f>
        <v>0</v>
      </c>
      <c r="R802" s="286">
        <f>IF(BT79&gt;0,ROUND(BT79,0),0)</f>
        <v>0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">
      <c r="A803" s="209" t="str">
        <f>RIGHT($C$84,3)&amp;"*"&amp;RIGHT($C$83,4)&amp;"*"&amp;BU$55&amp;"*"&amp;"A"</f>
        <v>tal*054*8680*A</v>
      </c>
      <c r="B803" s="286"/>
      <c r="C803" s="289">
        <f>ROUND(BU60,2)</f>
        <v>0</v>
      </c>
      <c r="D803" s="286">
        <f>ROUND(BU61,0)</f>
        <v>0</v>
      </c>
      <c r="E803" s="286">
        <f>ROUND(BU62,0)</f>
        <v>0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>
        <f>ROUND(BU67,0)</f>
        <v>0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">
      <c r="A804" s="209" t="str">
        <f>RIGHT($C$84,3)&amp;"*"&amp;RIGHT($C$83,4)&amp;"*"&amp;BV$55&amp;"*"&amp;"A"</f>
        <v>tal*054*8690*A</v>
      </c>
      <c r="B804" s="286"/>
      <c r="C804" s="289">
        <f>ROUND(BV60,2)</f>
        <v>3.72</v>
      </c>
      <c r="D804" s="286">
        <f>ROUND(BV61,0)</f>
        <v>161968</v>
      </c>
      <c r="E804" s="286">
        <f>ROUND(BV62,0)</f>
        <v>50836</v>
      </c>
      <c r="F804" s="286">
        <f>ROUND(BV63,0)</f>
        <v>33438</v>
      </c>
      <c r="G804" s="286">
        <f>ROUND(BV64,0)</f>
        <v>6256</v>
      </c>
      <c r="H804" s="286">
        <f>ROUND(BV65,0)</f>
        <v>398</v>
      </c>
      <c r="I804" s="286">
        <f>ROUND(BV66,0)</f>
        <v>19158</v>
      </c>
      <c r="J804" s="286">
        <f>ROUND(BV67,0)</f>
        <v>3027</v>
      </c>
      <c r="K804" s="286">
        <f>ROUND(BV68,0)</f>
        <v>0</v>
      </c>
      <c r="L804" s="286">
        <f>ROUND(BV70,0)</f>
        <v>0</v>
      </c>
      <c r="M804" s="286">
        <f>ROUND(BV71,0)</f>
        <v>288790</v>
      </c>
      <c r="N804" s="286"/>
      <c r="O804" s="286"/>
      <c r="P804" s="286">
        <f>IF(BV77&gt;0,ROUND(BV77,0),0)</f>
        <v>0</v>
      </c>
      <c r="Q804" s="286">
        <f>IF(BV78&gt;0,ROUND(BV78,0),0)</f>
        <v>0</v>
      </c>
      <c r="R804" s="286">
        <f>IF(BV79&gt;0,ROUND(BV79,0),0)</f>
        <v>0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">
      <c r="A805" s="209" t="str">
        <f>RIGHT($C$84,3)&amp;"*"&amp;RIGHT($C$83,4)&amp;"*"&amp;BW$55&amp;"*"&amp;"A"</f>
        <v>tal*054*8700*A</v>
      </c>
      <c r="B805" s="286"/>
      <c r="C805" s="289">
        <f>ROUND(BW60,2)</f>
        <v>0</v>
      </c>
      <c r="D805" s="286">
        <f>ROUND(BW61,0)</f>
        <v>0</v>
      </c>
      <c r="E805" s="286">
        <f>ROUND(BW62,0)</f>
        <v>0</v>
      </c>
      <c r="F805" s="286">
        <f>ROUND(BW63,0)</f>
        <v>0</v>
      </c>
      <c r="G805" s="286">
        <f>ROUND(BW64,0)</f>
        <v>0</v>
      </c>
      <c r="H805" s="286">
        <f>ROUND(BW65,0)</f>
        <v>0</v>
      </c>
      <c r="I805" s="286">
        <f>ROUND(BW66,0)</f>
        <v>0</v>
      </c>
      <c r="J805" s="286">
        <f>ROUND(BW67,0)</f>
        <v>0</v>
      </c>
      <c r="K805" s="286">
        <f>ROUND(BW68,0)</f>
        <v>0</v>
      </c>
      <c r="L805" s="286">
        <f>ROUND(BW70,0)</f>
        <v>0</v>
      </c>
      <c r="M805" s="286">
        <f>ROUND(BW71,0)</f>
        <v>0</v>
      </c>
      <c r="N805" s="286"/>
      <c r="O805" s="286"/>
      <c r="P805" s="286">
        <f>IF(BW77&gt;0,ROUND(BW77,0),0)</f>
        <v>0</v>
      </c>
      <c r="Q805" s="286">
        <f>IF(BW78&gt;0,ROUND(BW78,0),0)</f>
        <v>0</v>
      </c>
      <c r="R805" s="286">
        <f>IF(BW79&gt;0,ROUND(BW79,0),0)</f>
        <v>0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">
      <c r="A806" s="209" t="str">
        <f>RIGHT($C$84,3)&amp;"*"&amp;RIGHT($C$83,4)&amp;"*"&amp;BX$55&amp;"*"&amp;"A"</f>
        <v>tal*054*8710*A</v>
      </c>
      <c r="B806" s="286"/>
      <c r="C806" s="289">
        <f>ROUND(BX60,2)</f>
        <v>2.4700000000000002</v>
      </c>
      <c r="D806" s="286">
        <f>ROUND(BX61,0)</f>
        <v>217779</v>
      </c>
      <c r="E806" s="286">
        <f>ROUND(BX62,0)</f>
        <v>68354</v>
      </c>
      <c r="F806" s="286">
        <f>ROUND(BX63,0)</f>
        <v>758</v>
      </c>
      <c r="G806" s="286">
        <f>ROUND(BX64,0)</f>
        <v>396</v>
      </c>
      <c r="H806" s="286">
        <f>ROUND(BX65,0)</f>
        <v>23</v>
      </c>
      <c r="I806" s="286">
        <f>ROUND(BX66,0)</f>
        <v>51995</v>
      </c>
      <c r="J806" s="286">
        <f>ROUND(BX67,0)</f>
        <v>0</v>
      </c>
      <c r="K806" s="286">
        <f>ROUND(BX68,0)</f>
        <v>0</v>
      </c>
      <c r="L806" s="286">
        <f>ROUND(BX70,0)</f>
        <v>0</v>
      </c>
      <c r="M806" s="286">
        <f>ROUND(BX71,0)</f>
        <v>358040</v>
      </c>
      <c r="N806" s="286"/>
      <c r="O806" s="286"/>
      <c r="P806" s="286">
        <f>IF(BX77&gt;0,ROUND(BX77,0),0)</f>
        <v>0</v>
      </c>
      <c r="Q806" s="286">
        <f>IF(BX78&gt;0,ROUND(BX78,0),0)</f>
        <v>0</v>
      </c>
      <c r="R806" s="286">
        <f>IF(BX79&gt;0,ROUND(BX79,0),0)</f>
        <v>0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">
      <c r="A807" s="209" t="str">
        <f>RIGHT($C$84,3)&amp;"*"&amp;RIGHT($C$83,4)&amp;"*"&amp;BY$55&amp;"*"&amp;"A"</f>
        <v>tal*054*8720*A</v>
      </c>
      <c r="B807" s="286"/>
      <c r="C807" s="289">
        <f>ROUND(BY60,2)</f>
        <v>2.12</v>
      </c>
      <c r="D807" s="286">
        <f>ROUND(BY61,0)</f>
        <v>194887</v>
      </c>
      <c r="E807" s="286">
        <f>ROUND(BY62,0)</f>
        <v>61169</v>
      </c>
      <c r="F807" s="286">
        <f>ROUND(BY63,0)</f>
        <v>0</v>
      </c>
      <c r="G807" s="286">
        <f>ROUND(BY64,0)</f>
        <v>1306</v>
      </c>
      <c r="H807" s="286">
        <f>ROUND(BY65,0)</f>
        <v>33</v>
      </c>
      <c r="I807" s="286">
        <f>ROUND(BY66,0)</f>
        <v>0</v>
      </c>
      <c r="J807" s="286">
        <f>ROUND(BY67,0)</f>
        <v>1039</v>
      </c>
      <c r="K807" s="286">
        <f>ROUND(BY68,0)</f>
        <v>0</v>
      </c>
      <c r="L807" s="286">
        <f>ROUND(BY70,0)</f>
        <v>0</v>
      </c>
      <c r="M807" s="286">
        <f>ROUND(BY71,0)</f>
        <v>258712</v>
      </c>
      <c r="N807" s="286"/>
      <c r="O807" s="286"/>
      <c r="P807" s="286">
        <f>IF(BY77&gt;0,ROUND(BY77,0),0)</f>
        <v>0</v>
      </c>
      <c r="Q807" s="286">
        <f>IF(BY78&gt;0,ROUND(BY78,0),0)</f>
        <v>0</v>
      </c>
      <c r="R807" s="286">
        <f>IF(BY79&gt;0,ROUND(BY79,0),0)</f>
        <v>0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">
      <c r="A808" s="209" t="str">
        <f>RIGHT($C$84,3)&amp;"*"&amp;RIGHT($C$83,4)&amp;"*"&amp;BZ$55&amp;"*"&amp;"A"</f>
        <v>tal*054*8730*A</v>
      </c>
      <c r="B808" s="286"/>
      <c r="C808" s="289">
        <f>ROUND(BZ60,2)</f>
        <v>0</v>
      </c>
      <c r="D808" s="286">
        <f>ROUND(BZ61,0)</f>
        <v>0</v>
      </c>
      <c r="E808" s="286">
        <f>ROUND(BZ62,0)</f>
        <v>0</v>
      </c>
      <c r="F808" s="286">
        <f>ROUND(BZ63,0)</f>
        <v>0</v>
      </c>
      <c r="G808" s="286">
        <f>ROUND(BZ64,0)</f>
        <v>0</v>
      </c>
      <c r="H808" s="286">
        <f>ROUND(BZ65,0)</f>
        <v>0</v>
      </c>
      <c r="I808" s="286">
        <f>ROUND(BZ66,0)</f>
        <v>0</v>
      </c>
      <c r="J808" s="286">
        <f>ROUND(BZ67,0)</f>
        <v>0</v>
      </c>
      <c r="K808" s="286">
        <f>ROUND(BZ68,0)</f>
        <v>0</v>
      </c>
      <c r="L808" s="286">
        <f>ROUND(BZ70,0)</f>
        <v>0</v>
      </c>
      <c r="M808" s="286">
        <f>ROUND(BZ71,0)</f>
        <v>0</v>
      </c>
      <c r="N808" s="286"/>
      <c r="O808" s="286"/>
      <c r="P808" s="286">
        <f>IF(BZ77&gt;0,ROUND(BZ77,0),0)</f>
        <v>0</v>
      </c>
      <c r="Q808" s="286">
        <f>IF(BZ78&gt;0,ROUND(BZ78,0),0)</f>
        <v>0</v>
      </c>
      <c r="R808" s="286">
        <f>IF(BZ79&gt;0,ROUND(BZ79,0),0)</f>
        <v>0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">
      <c r="A809" s="209" t="str">
        <f>RIGHT($C$84,3)&amp;"*"&amp;RIGHT($C$83,4)&amp;"*"&amp;CA$55&amp;"*"&amp;"A"</f>
        <v>tal*054*8740*A</v>
      </c>
      <c r="B809" s="286"/>
      <c r="C809" s="289">
        <f>ROUND(CA60,2)</f>
        <v>0.27</v>
      </c>
      <c r="D809" s="286">
        <f>ROUND(CA61,0)</f>
        <v>18472</v>
      </c>
      <c r="E809" s="286">
        <f>ROUND(CA62,0)</f>
        <v>5798</v>
      </c>
      <c r="F809" s="286">
        <f>ROUND(CA63,0)</f>
        <v>0</v>
      </c>
      <c r="G809" s="286">
        <f>ROUND(CA64,0)</f>
        <v>359</v>
      </c>
      <c r="H809" s="286">
        <f>ROUND(CA65,0)</f>
        <v>0</v>
      </c>
      <c r="I809" s="286">
        <f>ROUND(CA66,0)</f>
        <v>0</v>
      </c>
      <c r="J809" s="286">
        <f>ROUND(CA67,0)</f>
        <v>480</v>
      </c>
      <c r="K809" s="286">
        <f>ROUND(CA68,0)</f>
        <v>0</v>
      </c>
      <c r="L809" s="286">
        <f>ROUND(CA70,0)</f>
        <v>0</v>
      </c>
      <c r="M809" s="286">
        <f>ROUND(CA71,0)</f>
        <v>23168</v>
      </c>
      <c r="N809" s="286"/>
      <c r="O809" s="286"/>
      <c r="P809" s="286">
        <f>IF(CA77&gt;0,ROUND(CA77,0),0)</f>
        <v>0</v>
      </c>
      <c r="Q809" s="286">
        <f>IF(CA78&gt;0,ROUND(CA78,0),0)</f>
        <v>0</v>
      </c>
      <c r="R809" s="286">
        <f>IF(CA79&gt;0,ROUND(CA79,0),0)</f>
        <v>0</v>
      </c>
      <c r="S809" s="286">
        <f>IF(CA80&gt;0,ROUND(CA80,0),0)</f>
        <v>0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">
      <c r="A810" s="209" t="str">
        <f>RIGHT($C$84,3)&amp;"*"&amp;RIGHT($C$83,4)&amp;"*"&amp;CB$55&amp;"*"&amp;"A"</f>
        <v>tal*054*8770*A</v>
      </c>
      <c r="B810" s="286"/>
      <c r="C810" s="289">
        <f>ROUND(CB60,2)</f>
        <v>0</v>
      </c>
      <c r="D810" s="286">
        <f>ROUND(CB61,0)</f>
        <v>0</v>
      </c>
      <c r="E810" s="286">
        <f>ROUND(CB62,0)</f>
        <v>0</v>
      </c>
      <c r="F810" s="286">
        <f>ROUND(CB63,0)</f>
        <v>0</v>
      </c>
      <c r="G810" s="286">
        <f>ROUND(CB64,0)</f>
        <v>0</v>
      </c>
      <c r="H810" s="286">
        <f>ROUND(CB65,0)</f>
        <v>0</v>
      </c>
      <c r="I810" s="286">
        <f>ROUND(CB66,0)</f>
        <v>0</v>
      </c>
      <c r="J810" s="286">
        <f>ROUND(CB67,0)</f>
        <v>0</v>
      </c>
      <c r="K810" s="286">
        <f>ROUND(CB68,0)</f>
        <v>0</v>
      </c>
      <c r="L810" s="286">
        <f>ROUND(CB70,0)</f>
        <v>0</v>
      </c>
      <c r="M810" s="286">
        <f>ROUND(CB71,0)</f>
        <v>0</v>
      </c>
      <c r="N810" s="286"/>
      <c r="O810" s="286"/>
      <c r="P810" s="286">
        <f>IF(CB77&gt;0,ROUND(CB77,0),0)</f>
        <v>0</v>
      </c>
      <c r="Q810" s="286">
        <f>IF(CB78&gt;0,ROUND(CB78,0),0)</f>
        <v>0</v>
      </c>
      <c r="R810" s="286">
        <f>IF(CB79&gt;0,ROUND(CB79,0),0)</f>
        <v>0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">
      <c r="A811" s="209" t="str">
        <f>RIGHT($C$84,3)&amp;"*"&amp;RIGHT($C$83,4)&amp;"*"&amp;CC$55&amp;"*"&amp;"A"</f>
        <v>tal*054*8790*A</v>
      </c>
      <c r="B811" s="286"/>
      <c r="C811" s="289">
        <f>ROUND(CC60,2)</f>
        <v>4.75</v>
      </c>
      <c r="D811" s="286">
        <f>ROUND(CC61,0)</f>
        <v>377525</v>
      </c>
      <c r="E811" s="286">
        <f>ROUND(CC62,0)</f>
        <v>118492</v>
      </c>
      <c r="F811" s="286">
        <f>ROUND(CC63,0)</f>
        <v>5013</v>
      </c>
      <c r="G811" s="286">
        <f>ROUND(CC64,0)</f>
        <v>104722</v>
      </c>
      <c r="H811" s="286">
        <f>ROUND(CC65,0)</f>
        <v>938</v>
      </c>
      <c r="I811" s="286">
        <f>ROUND(CC66,0)</f>
        <v>23826</v>
      </c>
      <c r="J811" s="286">
        <f>ROUND(CC67,0)</f>
        <v>676</v>
      </c>
      <c r="K811" s="286">
        <f>ROUND(CC68,0)</f>
        <v>4306</v>
      </c>
      <c r="L811" s="286">
        <f>ROUND(CC70,0)</f>
        <v>0</v>
      </c>
      <c r="M811" s="286">
        <f>ROUND(CC71,0)</f>
        <v>672817</v>
      </c>
      <c r="N811" s="286"/>
      <c r="O811" s="286"/>
      <c r="P811" s="286">
        <f>IF(CC77&gt;0,ROUND(CC77,0),0)</f>
        <v>0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">
      <c r="A812" s="209" t="str">
        <f>RIGHT($C$84,3)&amp;"*"&amp;RIGHT($C$83,4)&amp;"*"&amp;"9000"&amp;"*"&amp;"A"</f>
        <v>tal*054*9000*A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1205036</v>
      </c>
      <c r="V812" s="180">
        <f>ROUND(CD69,0)</f>
        <v>892163</v>
      </c>
      <c r="W812" s="180">
        <f>ROUND(CD71,0)</f>
        <v>-312873</v>
      </c>
      <c r="X812" s="286">
        <f>ROUND(CE73,0)</f>
        <v>8071704</v>
      </c>
      <c r="Y812" s="286">
        <f>ROUND(C132,0)</f>
        <v>0</v>
      </c>
      <c r="Z812" s="286"/>
    </row>
    <row r="814" spans="1:26" ht="12.65" customHeight="1" x14ac:dyDescent="0.3">
      <c r="B814" s="199" t="s">
        <v>1004</v>
      </c>
      <c r="C814" s="266">
        <f t="shared" ref="C814:K814" si="10">SUM(C733:C812)</f>
        <v>240.45</v>
      </c>
      <c r="D814" s="180">
        <f t="shared" si="10"/>
        <v>17499021</v>
      </c>
      <c r="E814" s="180">
        <f t="shared" si="10"/>
        <v>5492360</v>
      </c>
      <c r="F814" s="180">
        <f t="shared" si="10"/>
        <v>2592053</v>
      </c>
      <c r="G814" s="180">
        <f t="shared" si="10"/>
        <v>3361387</v>
      </c>
      <c r="H814" s="180">
        <f t="shared" si="10"/>
        <v>444020</v>
      </c>
      <c r="I814" s="180">
        <f t="shared" si="10"/>
        <v>1903359</v>
      </c>
      <c r="J814" s="180">
        <f t="shared" si="10"/>
        <v>912913</v>
      </c>
      <c r="K814" s="180">
        <f t="shared" si="10"/>
        <v>101703</v>
      </c>
      <c r="L814" s="180">
        <f>SUM(L733:L812)+SUM(U733:U812)</f>
        <v>1205036</v>
      </c>
      <c r="M814" s="180">
        <f>SUM(M733:M812)+SUM(W733:W812)</f>
        <v>32459268</v>
      </c>
      <c r="N814" s="180">
        <f t="shared" ref="N814:Z814" si="11">SUM(N733:N812)</f>
        <v>41280</v>
      </c>
      <c r="O814" s="180">
        <f t="shared" si="11"/>
        <v>46446454</v>
      </c>
      <c r="P814" s="180">
        <f t="shared" si="11"/>
        <v>25845</v>
      </c>
      <c r="Q814" s="180">
        <f t="shared" si="11"/>
        <v>14108</v>
      </c>
      <c r="R814" s="180">
        <f t="shared" si="11"/>
        <v>285005</v>
      </c>
      <c r="S814" s="180">
        <f t="shared" si="11"/>
        <v>31</v>
      </c>
      <c r="T814" s="266">
        <f t="shared" si="11"/>
        <v>0</v>
      </c>
      <c r="U814" s="180">
        <f t="shared" si="11"/>
        <v>1205036</v>
      </c>
      <c r="V814" s="180">
        <f t="shared" si="11"/>
        <v>892163</v>
      </c>
      <c r="W814" s="180">
        <f t="shared" si="11"/>
        <v>-312873</v>
      </c>
      <c r="X814" s="180">
        <f t="shared" si="11"/>
        <v>8071704</v>
      </c>
      <c r="Y814" s="180">
        <f t="shared" si="11"/>
        <v>0</v>
      </c>
      <c r="Z814" s="180" t="e">
        <f t="shared" si="11"/>
        <v>#DIV/0!</v>
      </c>
    </row>
    <row r="815" spans="1:26" ht="12.65" customHeight="1" x14ac:dyDescent="0.3">
      <c r="B815" s="180" t="s">
        <v>1005</v>
      </c>
      <c r="C815" s="266">
        <f>CE60</f>
        <v>240.45</v>
      </c>
      <c r="D815" s="180">
        <f>CE61</f>
        <v>17499021</v>
      </c>
      <c r="E815" s="180">
        <f>CE62</f>
        <v>5492360</v>
      </c>
      <c r="F815" s="180">
        <f>CE63</f>
        <v>2592053</v>
      </c>
      <c r="G815" s="180">
        <f>CE64</f>
        <v>3361387</v>
      </c>
      <c r="H815" s="243">
        <f>CE65</f>
        <v>444020</v>
      </c>
      <c r="I815" s="243">
        <f>CE66</f>
        <v>1903359</v>
      </c>
      <c r="J815" s="243">
        <f>CE67</f>
        <v>912913</v>
      </c>
      <c r="K815" s="243">
        <f>CE68</f>
        <v>101703</v>
      </c>
      <c r="L815" s="243">
        <f>CE70</f>
        <v>1205036</v>
      </c>
      <c r="M815" s="243">
        <f>CE71</f>
        <v>32459267.68</v>
      </c>
      <c r="N815" s="180">
        <f>CE76</f>
        <v>56157</v>
      </c>
      <c r="O815" s="180">
        <f>CE74</f>
        <v>46446453.809999995</v>
      </c>
      <c r="P815" s="180">
        <f>CE77</f>
        <v>25845</v>
      </c>
      <c r="Q815" s="180">
        <f>CE78</f>
        <v>14108</v>
      </c>
      <c r="R815" s="180">
        <f>CE79</f>
        <v>285006</v>
      </c>
      <c r="S815" s="180">
        <f>CE80</f>
        <v>32.46</v>
      </c>
      <c r="T815" s="266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2410072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17499021.77</v>
      </c>
      <c r="G816" s="243">
        <f>C379</f>
        <v>5492357.7699999996</v>
      </c>
      <c r="H816" s="243">
        <f>C380</f>
        <v>2592053.62</v>
      </c>
      <c r="I816" s="243">
        <f>C381</f>
        <v>3361387.36</v>
      </c>
      <c r="J816" s="243">
        <f>C382</f>
        <v>444020.96</v>
      </c>
      <c r="K816" s="243">
        <f>C383</f>
        <v>1903359.7</v>
      </c>
      <c r="L816" s="243">
        <f>C384+C385+C386+C388</f>
        <v>1543920.22</v>
      </c>
      <c r="M816" s="243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93" t="s">
        <v>1270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Forks Community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H-054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530 Bogachiel Way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530 Bogachiel Way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Forks, WA 98331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6" zoomScale="75" workbookViewId="0">
      <selection activeCell="F25" sqref="F25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H-54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Forks Community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Clallam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Heidi Anderson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Paul Babcock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Daisy Anderson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(360)374-6271 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(360)374-5220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 xml:space="preserve"> X</v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 xml:space="preserve"> X</v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210</v>
      </c>
      <c r="G23" s="21">
        <f>data!D111</f>
        <v>715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71</v>
      </c>
      <c r="G24" s="21">
        <f>data!D112</f>
        <v>7546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44</v>
      </c>
      <c r="G26" s="13">
        <f>data!D114</f>
        <v>78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20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17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29" sqref="B2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Forks Community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123</v>
      </c>
      <c r="C7" s="48">
        <f>data!B139</f>
        <v>418</v>
      </c>
      <c r="D7" s="48">
        <f>data!B140</f>
        <v>0</v>
      </c>
      <c r="E7" s="48">
        <f>data!B141</f>
        <v>2329783.67</v>
      </c>
      <c r="F7" s="48">
        <f>data!B142</f>
        <v>17124573.829999998</v>
      </c>
      <c r="G7" s="48">
        <f>data!B141+data!B142</f>
        <v>19454357.5</v>
      </c>
    </row>
    <row r="8" spans="1:13" ht="20.149999999999999" customHeight="1" x14ac:dyDescent="0.35">
      <c r="A8" s="23" t="s">
        <v>297</v>
      </c>
      <c r="B8" s="48">
        <f>data!C138</f>
        <v>20</v>
      </c>
      <c r="C8" s="48">
        <f>data!C139</f>
        <v>57</v>
      </c>
      <c r="D8" s="48">
        <f>data!C140</f>
        <v>0</v>
      </c>
      <c r="E8" s="48">
        <f>data!C141</f>
        <v>1876606.6400000001</v>
      </c>
      <c r="F8" s="48">
        <f>data!C142</f>
        <v>13144477.09</v>
      </c>
      <c r="G8" s="48">
        <f>data!C141+data!C142</f>
        <v>15021083.73</v>
      </c>
    </row>
    <row r="9" spans="1:13" ht="20.149999999999999" customHeight="1" x14ac:dyDescent="0.35">
      <c r="A9" s="23" t="s">
        <v>1058</v>
      </c>
      <c r="B9" s="48">
        <f>data!D138</f>
        <v>67</v>
      </c>
      <c r="C9" s="48">
        <f>data!D139</f>
        <v>240</v>
      </c>
      <c r="D9" s="48">
        <f>data!D140</f>
        <v>0</v>
      </c>
      <c r="E9" s="48">
        <f>data!D141</f>
        <v>1304195.33</v>
      </c>
      <c r="F9" s="48">
        <f>data!D142</f>
        <v>20233124</v>
      </c>
      <c r="G9" s="48">
        <f>data!D141+data!D142</f>
        <v>21537319.329999998</v>
      </c>
    </row>
    <row r="10" spans="1:13" ht="20.149999999999999" customHeight="1" x14ac:dyDescent="0.35">
      <c r="A10" s="111" t="s">
        <v>203</v>
      </c>
      <c r="B10" s="48">
        <f>data!E138</f>
        <v>210</v>
      </c>
      <c r="C10" s="48">
        <f>data!E139</f>
        <v>715</v>
      </c>
      <c r="D10" s="48">
        <f>data!E140</f>
        <v>0</v>
      </c>
      <c r="E10" s="48">
        <f>data!E141</f>
        <v>5510585.6400000006</v>
      </c>
      <c r="F10" s="48">
        <f>data!E142</f>
        <v>50502174.920000002</v>
      </c>
      <c r="G10" s="48">
        <f>data!E141+data!E142</f>
        <v>56012760.560000002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55</v>
      </c>
      <c r="C16" s="48">
        <f>data!B145</f>
        <v>638</v>
      </c>
      <c r="D16" s="48">
        <f>data!B146</f>
        <v>0</v>
      </c>
      <c r="E16" s="48">
        <f>data!B147</f>
        <v>1731496.13</v>
      </c>
      <c r="F16" s="48">
        <f>data!B148</f>
        <v>0</v>
      </c>
      <c r="G16" s="48">
        <f>data!B147+data!B148</f>
        <v>1731496.13</v>
      </c>
    </row>
    <row r="17" spans="1:7" ht="20.149999999999999" customHeight="1" x14ac:dyDescent="0.35">
      <c r="A17" s="23" t="s">
        <v>297</v>
      </c>
      <c r="B17" s="48">
        <f>data!C144</f>
        <v>2</v>
      </c>
      <c r="C17" s="48">
        <f>data!C145</f>
        <v>4775</v>
      </c>
      <c r="D17" s="48">
        <f>data!C146</f>
        <v>0</v>
      </c>
      <c r="E17" s="48">
        <f>data!C147</f>
        <v>1678606.65</v>
      </c>
      <c r="F17" s="48">
        <f>data!C148</f>
        <v>0</v>
      </c>
      <c r="G17" s="48">
        <f>data!C147+data!C148</f>
        <v>1678606.65</v>
      </c>
    </row>
    <row r="18" spans="1:7" ht="20.149999999999999" customHeight="1" x14ac:dyDescent="0.35">
      <c r="A18" s="23" t="s">
        <v>1058</v>
      </c>
      <c r="B18" s="48">
        <f>data!D144</f>
        <v>14</v>
      </c>
      <c r="C18" s="48">
        <f>data!D145</f>
        <v>2133</v>
      </c>
      <c r="D18" s="48">
        <f>data!D146</f>
        <v>0</v>
      </c>
      <c r="E18" s="48">
        <f>data!D147</f>
        <v>643397.01</v>
      </c>
      <c r="F18" s="48">
        <f>data!D148</f>
        <v>0</v>
      </c>
      <c r="G18" s="48">
        <f>data!D147+data!D148</f>
        <v>643397.01</v>
      </c>
    </row>
    <row r="19" spans="1:7" ht="20.149999999999999" customHeight="1" x14ac:dyDescent="0.35">
      <c r="A19" s="111" t="s">
        <v>203</v>
      </c>
      <c r="B19" s="48">
        <f>data!E144</f>
        <v>71</v>
      </c>
      <c r="C19" s="48">
        <f>data!E145</f>
        <v>7546</v>
      </c>
      <c r="D19" s="48">
        <f>data!E146</f>
        <v>0</v>
      </c>
      <c r="E19" s="48">
        <f>data!E147</f>
        <v>4053499.79</v>
      </c>
      <c r="F19" s="48">
        <f>data!E148</f>
        <v>0</v>
      </c>
      <c r="G19" s="48">
        <f>data!E147+data!E148</f>
        <v>4053499.79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Forks Community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256498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-7343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189387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3255532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1560699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127055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242072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5623900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59368.01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98621.989999999991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157990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188153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284333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472486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68345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339037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407382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48507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368513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417020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4" zoomScale="75" workbookViewId="0">
      <selection activeCell="E37" sqref="E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Forks Community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378503.29</v>
      </c>
      <c r="D7" s="21">
        <f>data!C195</f>
        <v>132253.89000000001</v>
      </c>
      <c r="E7" s="21">
        <f>data!D195</f>
        <v>0</v>
      </c>
      <c r="F7" s="21">
        <f>data!E195</f>
        <v>510757.18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935265.77</v>
      </c>
      <c r="D8" s="21">
        <f>data!C196</f>
        <v>0</v>
      </c>
      <c r="E8" s="21">
        <f>data!D196</f>
        <v>0</v>
      </c>
      <c r="F8" s="21">
        <f>data!E196</f>
        <v>935265.77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15574450.84</v>
      </c>
      <c r="D9" s="21">
        <f>data!C197</f>
        <v>4727959</v>
      </c>
      <c r="E9" s="21">
        <f>data!D197</f>
        <v>0</v>
      </c>
      <c r="F9" s="21">
        <f>data!E197</f>
        <v>20302409.84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16271558.140000001</v>
      </c>
      <c r="D12" s="21">
        <f>data!C200</f>
        <v>1185322</v>
      </c>
      <c r="E12" s="21">
        <f>data!D200</f>
        <v>0</v>
      </c>
      <c r="F12" s="21">
        <f>data!E200</f>
        <v>17456880.140000001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168256.55</v>
      </c>
      <c r="D15" s="21">
        <f>data!C203</f>
        <v>837723</v>
      </c>
      <c r="E15" s="21">
        <f>data!D203</f>
        <v>0</v>
      </c>
      <c r="F15" s="21">
        <f>data!E203</f>
        <v>1005979.55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33328034.59</v>
      </c>
      <c r="D16" s="21">
        <f>data!C204</f>
        <v>6883257.8899999997</v>
      </c>
      <c r="E16" s="21">
        <f>data!D204</f>
        <v>0</v>
      </c>
      <c r="F16" s="21">
        <f>data!E204</f>
        <v>40211292.479999997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842382.49</v>
      </c>
      <c r="D24" s="21">
        <f>data!C209</f>
        <v>25215.4</v>
      </c>
      <c r="E24" s="21">
        <f>data!D209</f>
        <v>0</v>
      </c>
      <c r="F24" s="21">
        <f>data!E209</f>
        <v>867597.89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12341535.9</v>
      </c>
      <c r="D25" s="21">
        <f>data!C210</f>
        <v>418772.16000000003</v>
      </c>
      <c r="E25" s="21">
        <f>data!D210</f>
        <v>0</v>
      </c>
      <c r="F25" s="21">
        <f>data!E210</f>
        <v>12760308.060000001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14106477.060000001</v>
      </c>
      <c r="D28" s="21">
        <f>data!C213</f>
        <v>737096.42</v>
      </c>
      <c r="E28" s="21">
        <f>data!D213</f>
        <v>0</v>
      </c>
      <c r="F28" s="21">
        <f>data!E213</f>
        <v>14843573.48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27290395.450000003</v>
      </c>
      <c r="D32" s="21">
        <f>data!C217</f>
        <v>1181083.98</v>
      </c>
      <c r="E32" s="21">
        <f>data!D217</f>
        <v>0</v>
      </c>
      <c r="F32" s="21">
        <f>data!E217</f>
        <v>28471479.43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Forks Community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794281.91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9915485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7816105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592955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187267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5602924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-2176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24112560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266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42531.11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524009.89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566541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22400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352235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25848017.91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15" zoomScale="75" workbookViewId="0">
      <selection activeCell="C63" sqref="C63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Forks Community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16681035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10834982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5111669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161331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656439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303636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23525754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7068446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7068446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510757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935266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20302410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17456880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1005980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40211293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28471479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11739814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58465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58465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42392479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Forks Community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985234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684156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2530080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57153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3217956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1012385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8486964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980350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980350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447577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16095000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4815175.4000000004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21357752.399999999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21357752.399999999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11567412.4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11567412.4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42392478.799999997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Forks Community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9564085.3499999996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50502175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60066260.350000001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794282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24112560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566541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374635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25848018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34218242.350000001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1140235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869061.41999999993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2009296.42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36227538.770000003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18214125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5623900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3108900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3727355.82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488953.02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1895532.88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1181084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157989.85999999999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472485.33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407382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417020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547185.42999999993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36241913.339999996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-14374.569999992847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7252329.2299999995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7237954.6600000067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7237954.6600000067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94" zoomScale="65" workbookViewId="0">
      <selection activeCell="K33" sqref="K33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Forks Community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715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18.809999999999999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1659541.8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512410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429129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71640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1540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54685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137351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1506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4770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2872572.8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1057086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2771772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452040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3223812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2649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5481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2912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11055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8.2757163461538443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Forks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78</v>
      </c>
      <c r="D41" s="14">
        <f>data!K59</f>
        <v>6793</v>
      </c>
      <c r="E41" s="14">
        <f>data!L59</f>
        <v>753</v>
      </c>
      <c r="F41" s="14">
        <f>data!M59</f>
        <v>0</v>
      </c>
      <c r="G41" s="14">
        <f>data!N59</f>
        <v>0</v>
      </c>
      <c r="H41" s="14">
        <f>data!O59</f>
        <v>78</v>
      </c>
      <c r="I41" s="14">
        <f>data!P59</f>
        <v>9757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29.94</v>
      </c>
      <c r="E42" s="26">
        <f>data!L60</f>
        <v>2.74</v>
      </c>
      <c r="F42" s="26">
        <f>data!M60</f>
        <v>0</v>
      </c>
      <c r="G42" s="26">
        <f>data!N60</f>
        <v>0</v>
      </c>
      <c r="H42" s="26">
        <f>data!O60</f>
        <v>0.84</v>
      </c>
      <c r="I42" s="26">
        <f>data!P60</f>
        <v>4.26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1920369.18</v>
      </c>
      <c r="E43" s="14">
        <f>data!L61</f>
        <v>277821.40000000002</v>
      </c>
      <c r="F43" s="14">
        <f>data!M61</f>
        <v>0</v>
      </c>
      <c r="G43" s="14">
        <f>data!N61</f>
        <v>0</v>
      </c>
      <c r="H43" s="14">
        <f>data!O61</f>
        <v>184373.11</v>
      </c>
      <c r="I43" s="14">
        <f>data!P61</f>
        <v>476739.25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592944</v>
      </c>
      <c r="E44" s="14">
        <f>data!L62</f>
        <v>85782</v>
      </c>
      <c r="F44" s="14">
        <f>data!M62</f>
        <v>0</v>
      </c>
      <c r="G44" s="14">
        <f>data!N62</f>
        <v>0</v>
      </c>
      <c r="H44" s="14">
        <f>data!O62</f>
        <v>56928</v>
      </c>
      <c r="I44" s="14">
        <f>data!P62</f>
        <v>147201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73318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243757</v>
      </c>
      <c r="I45" s="14">
        <f>data!P63</f>
        <v>361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2471</v>
      </c>
      <c r="D46" s="14">
        <f>data!K64</f>
        <v>88275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6979</v>
      </c>
      <c r="I46" s="14">
        <f>data!P64</f>
        <v>113119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598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11486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85</v>
      </c>
      <c r="D48" s="14">
        <f>data!K66</f>
        <v>12236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895</v>
      </c>
      <c r="I48" s="14">
        <f>data!P66</f>
        <v>28261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1057</v>
      </c>
      <c r="D49" s="14">
        <f>data!K67</f>
        <v>58081</v>
      </c>
      <c r="E49" s="14">
        <f>data!L67</f>
        <v>10859</v>
      </c>
      <c r="F49" s="14">
        <f>data!M67</f>
        <v>0</v>
      </c>
      <c r="G49" s="14">
        <f>data!N67</f>
        <v>0</v>
      </c>
      <c r="H49" s="14">
        <f>data!O67</f>
        <v>10345</v>
      </c>
      <c r="I49" s="14">
        <f>data!P67</f>
        <v>156851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2880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-3863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5247</v>
      </c>
      <c r="I51" s="14">
        <f>data!P69</f>
        <v>2245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3613</v>
      </c>
      <c r="D53" s="14">
        <f>data!K71</f>
        <v>2744838.1799999997</v>
      </c>
      <c r="E53" s="14">
        <f>data!L71</f>
        <v>374462.4</v>
      </c>
      <c r="F53" s="14">
        <f>data!M71</f>
        <v>0</v>
      </c>
      <c r="G53" s="14">
        <f>data!N71</f>
        <v>0</v>
      </c>
      <c r="H53" s="14">
        <f>data!O71</f>
        <v>508524.11</v>
      </c>
      <c r="I53" s="14">
        <f>data!P71</f>
        <v>936263.25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18589</v>
      </c>
      <c r="D55" s="48">
        <f>+data!M676</f>
        <v>1835823</v>
      </c>
      <c r="E55" s="48">
        <f>+data!M677</f>
        <v>221977</v>
      </c>
      <c r="F55" s="48">
        <f>+data!M678</f>
        <v>0</v>
      </c>
      <c r="G55" s="48">
        <f>+data!M679</f>
        <v>0</v>
      </c>
      <c r="H55" s="48">
        <f>+data!M680</f>
        <v>94536</v>
      </c>
      <c r="I55" s="48">
        <f>+data!M681</f>
        <v>417502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98957</v>
      </c>
      <c r="D56" s="14">
        <f>data!K73</f>
        <v>2007475</v>
      </c>
      <c r="E56" s="14">
        <f>data!L73</f>
        <v>1248516</v>
      </c>
      <c r="F56" s="14">
        <f>data!M73</f>
        <v>0</v>
      </c>
      <c r="G56" s="14">
        <f>data!N73</f>
        <v>0</v>
      </c>
      <c r="H56" s="14">
        <f>data!O73</f>
        <v>182356</v>
      </c>
      <c r="I56" s="14">
        <f>data!P73</f>
        <v>367784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1311</v>
      </c>
      <c r="D57" s="14">
        <f>data!K74</f>
        <v>3958</v>
      </c>
      <c r="E57" s="14">
        <f>data!L74</f>
        <v>99813</v>
      </c>
      <c r="F57" s="14">
        <f>data!M74</f>
        <v>0</v>
      </c>
      <c r="G57" s="14">
        <f>data!N74</f>
        <v>0</v>
      </c>
      <c r="H57" s="14">
        <f>data!O74</f>
        <v>36531</v>
      </c>
      <c r="I57" s="14">
        <f>data!P74</f>
        <v>1697078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100268</v>
      </c>
      <c r="D58" s="14">
        <f>data!K75</f>
        <v>2011433</v>
      </c>
      <c r="E58" s="14">
        <f>data!L75</f>
        <v>1348329</v>
      </c>
      <c r="F58" s="14">
        <f>data!M75</f>
        <v>0</v>
      </c>
      <c r="G58" s="14">
        <f>data!N75</f>
        <v>0</v>
      </c>
      <c r="H58" s="14">
        <f>data!O75</f>
        <v>218887</v>
      </c>
      <c r="I58" s="14">
        <f>data!P75</f>
        <v>2064862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167</v>
      </c>
      <c r="D60" s="14">
        <f>data!K76</f>
        <v>2417</v>
      </c>
      <c r="E60" s="14">
        <f>data!L76</f>
        <v>1736</v>
      </c>
      <c r="F60" s="14">
        <f>data!M76</f>
        <v>0</v>
      </c>
      <c r="G60" s="14">
        <f>data!N76</f>
        <v>0</v>
      </c>
      <c r="H60" s="14">
        <f>data!O76</f>
        <v>526</v>
      </c>
      <c r="I60" s="14">
        <f>data!P76</f>
        <v>6021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20257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169</v>
      </c>
      <c r="D62" s="14">
        <f>data!K78</f>
        <v>4992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116</v>
      </c>
      <c r="D63" s="14">
        <f>data!K79</f>
        <v>70076</v>
      </c>
      <c r="E63" s="14">
        <f>data!L79</f>
        <v>11362</v>
      </c>
      <c r="F63" s="14">
        <f>data!M79</f>
        <v>0</v>
      </c>
      <c r="G63" s="14">
        <f>data!N79</f>
        <v>0</v>
      </c>
      <c r="H63" s="14">
        <f>data!O79</f>
        <v>2652</v>
      </c>
      <c r="I63" s="14">
        <f>data!P79</f>
        <v>2988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8.3162644230769214</v>
      </c>
      <c r="E64" s="26">
        <f>data!L80</f>
        <v>2.7714086538461542</v>
      </c>
      <c r="F64" s="26">
        <f>data!M80</f>
        <v>0</v>
      </c>
      <c r="G64" s="26">
        <f>data!N80</f>
        <v>0</v>
      </c>
      <c r="H64" s="26">
        <f>data!O80</f>
        <v>0.81722115384615379</v>
      </c>
      <c r="I64" s="26">
        <f>data!P80</f>
        <v>1.5305528846153846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Forks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7664</v>
      </c>
      <c r="D73" s="48">
        <f>data!R59</f>
        <v>17473</v>
      </c>
      <c r="E73" s="212"/>
      <c r="F73" s="212"/>
      <c r="G73" s="14">
        <f>data!U59</f>
        <v>66530</v>
      </c>
      <c r="H73" s="14">
        <f>data!V59</f>
        <v>0</v>
      </c>
      <c r="I73" s="14">
        <f>data!W59</f>
        <v>3810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0.05</v>
      </c>
      <c r="D74" s="26">
        <f>data!R60</f>
        <v>1.07</v>
      </c>
      <c r="E74" s="26">
        <f>data!S60</f>
        <v>1.85</v>
      </c>
      <c r="F74" s="26">
        <f>data!T60</f>
        <v>0</v>
      </c>
      <c r="G74" s="26">
        <f>data!U60</f>
        <v>8.94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5848.73</v>
      </c>
      <c r="D75" s="14">
        <f>data!R61</f>
        <v>420177.72</v>
      </c>
      <c r="E75" s="14">
        <f>data!S61</f>
        <v>61907.05</v>
      </c>
      <c r="F75" s="14">
        <f>data!T61</f>
        <v>0</v>
      </c>
      <c r="G75" s="14">
        <f>data!U61</f>
        <v>590423.92000000004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1806</v>
      </c>
      <c r="D76" s="14">
        <f>data!R62</f>
        <v>129737</v>
      </c>
      <c r="E76" s="14">
        <f>data!S62</f>
        <v>19115</v>
      </c>
      <c r="F76" s="14">
        <f>data!T62</f>
        <v>0</v>
      </c>
      <c r="G76" s="14">
        <f>data!U62</f>
        <v>182303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322564</v>
      </c>
      <c r="H77" s="14">
        <f>data!V63</f>
        <v>0</v>
      </c>
      <c r="I77" s="14">
        <f>data!W63</f>
        <v>143054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14760</v>
      </c>
      <c r="E78" s="14">
        <f>data!S64</f>
        <v>86168</v>
      </c>
      <c r="F78" s="14">
        <f>data!T64</f>
        <v>0</v>
      </c>
      <c r="G78" s="14">
        <f>data!U64</f>
        <v>1158105</v>
      </c>
      <c r="H78" s="14">
        <f>data!V64</f>
        <v>0</v>
      </c>
      <c r="I78" s="14">
        <f>data!W64</f>
        <v>2903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835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4545</v>
      </c>
      <c r="E80" s="14">
        <f>data!S66</f>
        <v>874</v>
      </c>
      <c r="F80" s="14">
        <f>data!T66</f>
        <v>0</v>
      </c>
      <c r="G80" s="14">
        <f>data!U66</f>
        <v>60661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10124</v>
      </c>
      <c r="E81" s="14">
        <f>data!S67</f>
        <v>9445</v>
      </c>
      <c r="F81" s="14">
        <f>data!T67</f>
        <v>0</v>
      </c>
      <c r="G81" s="14">
        <f>data!U67</f>
        <v>70163</v>
      </c>
      <c r="H81" s="14">
        <f>data!V67</f>
        <v>1476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23135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11116</v>
      </c>
      <c r="E83" s="14">
        <f>data!S69</f>
        <v>795</v>
      </c>
      <c r="F83" s="14">
        <f>data!T69</f>
        <v>0</v>
      </c>
      <c r="G83" s="14">
        <f>data!U69</f>
        <v>8718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7654.73</v>
      </c>
      <c r="D85" s="14">
        <f>data!R71</f>
        <v>590459.72</v>
      </c>
      <c r="E85" s="14">
        <f>data!S71</f>
        <v>178304.05</v>
      </c>
      <c r="F85" s="14">
        <f>data!T71</f>
        <v>0</v>
      </c>
      <c r="G85" s="14">
        <f>data!U71</f>
        <v>2416907.92</v>
      </c>
      <c r="H85" s="14">
        <f>data!V71</f>
        <v>1476</v>
      </c>
      <c r="I85" s="14">
        <f>data!W71</f>
        <v>145957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14570</v>
      </c>
      <c r="D87" s="48">
        <f>+data!M683</f>
        <v>172493</v>
      </c>
      <c r="E87" s="48">
        <f>+data!M684</f>
        <v>96859</v>
      </c>
      <c r="F87" s="48">
        <f>+data!M685</f>
        <v>0</v>
      </c>
      <c r="G87" s="48">
        <f>+data!M686</f>
        <v>960072</v>
      </c>
      <c r="H87" s="48">
        <f>+data!M687</f>
        <v>6601</v>
      </c>
      <c r="I87" s="48">
        <f>+data!M688</f>
        <v>87614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11122</v>
      </c>
      <c r="D88" s="14">
        <f>data!R73</f>
        <v>273483</v>
      </c>
      <c r="E88" s="14">
        <f>data!S73</f>
        <v>88428</v>
      </c>
      <c r="F88" s="14">
        <f>data!T73</f>
        <v>0</v>
      </c>
      <c r="G88" s="14">
        <f>data!U73</f>
        <v>660111</v>
      </c>
      <c r="H88" s="14">
        <f>data!V73</f>
        <v>0</v>
      </c>
      <c r="I88" s="14">
        <f>data!W73</f>
        <v>18133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179015</v>
      </c>
      <c r="D89" s="14">
        <f>data!R74</f>
        <v>1429345</v>
      </c>
      <c r="E89" s="14">
        <f>data!S74</f>
        <v>284774</v>
      </c>
      <c r="F89" s="14">
        <f>data!T74</f>
        <v>0</v>
      </c>
      <c r="G89" s="14">
        <f>data!U74</f>
        <v>9001661</v>
      </c>
      <c r="H89" s="14">
        <f>data!V74</f>
        <v>0</v>
      </c>
      <c r="I89" s="14">
        <f>data!W74</f>
        <v>1220914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190137</v>
      </c>
      <c r="D90" s="14">
        <f>data!R75</f>
        <v>1702828</v>
      </c>
      <c r="E90" s="14">
        <f>data!S75</f>
        <v>373202</v>
      </c>
      <c r="F90" s="14">
        <f>data!T75</f>
        <v>0</v>
      </c>
      <c r="G90" s="14">
        <f>data!U75</f>
        <v>9661772</v>
      </c>
      <c r="H90" s="14">
        <f>data!V75</f>
        <v>0</v>
      </c>
      <c r="I90" s="14">
        <f>data!W75</f>
        <v>1239047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1510</v>
      </c>
      <c r="F92" s="14">
        <f>data!T76</f>
        <v>0</v>
      </c>
      <c r="G92" s="14">
        <f>data!U76</f>
        <v>1260</v>
      </c>
      <c r="H92" s="14">
        <f>data!V76</f>
        <v>236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140.4</v>
      </c>
      <c r="F94" s="14">
        <f>data!T78</f>
        <v>0</v>
      </c>
      <c r="G94" s="14">
        <f>data!U78</f>
        <v>452.4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1004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235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3.9543269230769229E-2</v>
      </c>
      <c r="D96" s="84">
        <f>data!R80</f>
        <v>1.07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Forks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10102</v>
      </c>
      <c r="D105" s="14">
        <f>data!Y59</f>
        <v>6677</v>
      </c>
      <c r="E105" s="14">
        <f>data!Z59</f>
        <v>0</v>
      </c>
      <c r="F105" s="14">
        <f>data!AA59</f>
        <v>406</v>
      </c>
      <c r="G105" s="212"/>
      <c r="H105" s="14">
        <f>data!AC59</f>
        <v>427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9.85</v>
      </c>
      <c r="E106" s="26">
        <f>data!Z60</f>
        <v>0</v>
      </c>
      <c r="F106" s="26">
        <f>data!AA60</f>
        <v>0</v>
      </c>
      <c r="G106" s="26">
        <f>data!AB60</f>
        <v>2.09</v>
      </c>
      <c r="H106" s="26">
        <f>data!AC60</f>
        <v>1.04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1093748.72</v>
      </c>
      <c r="E107" s="14">
        <f>data!Z61</f>
        <v>0</v>
      </c>
      <c r="F107" s="14">
        <f>data!AA61</f>
        <v>0</v>
      </c>
      <c r="G107" s="14">
        <f>data!AB61</f>
        <v>240256</v>
      </c>
      <c r="H107" s="14">
        <f>data!AC61</f>
        <v>89625.38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337712</v>
      </c>
      <c r="E108" s="14">
        <f>data!Z62</f>
        <v>0</v>
      </c>
      <c r="F108" s="14">
        <f>data!AA62</f>
        <v>0</v>
      </c>
      <c r="G108" s="14">
        <f>data!AB62</f>
        <v>74183</v>
      </c>
      <c r="H108" s="14">
        <f>data!AC62</f>
        <v>27673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61600</v>
      </c>
      <c r="G109" s="14">
        <f>data!AB63</f>
        <v>49052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13850</v>
      </c>
      <c r="D110" s="14">
        <f>data!Y64</f>
        <v>19689</v>
      </c>
      <c r="E110" s="14">
        <f>data!Z64</f>
        <v>0</v>
      </c>
      <c r="F110" s="14">
        <f>data!AA64</f>
        <v>13339</v>
      </c>
      <c r="G110" s="14">
        <f>data!AB64</f>
        <v>947889</v>
      </c>
      <c r="H110" s="14">
        <f>data!AC64</f>
        <v>8062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1688</v>
      </c>
      <c r="E111" s="14">
        <f>data!Z65</f>
        <v>0</v>
      </c>
      <c r="F111" s="14">
        <f>data!AA65</f>
        <v>0</v>
      </c>
      <c r="G111" s="14">
        <f>data!AB65</f>
        <v>2467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65168</v>
      </c>
      <c r="D112" s="14">
        <f>data!Y66</f>
        <v>208549</v>
      </c>
      <c r="E112" s="14">
        <f>data!Z66</f>
        <v>0</v>
      </c>
      <c r="F112" s="14">
        <f>data!AA66</f>
        <v>254</v>
      </c>
      <c r="G112" s="14">
        <f>data!AB66</f>
        <v>102808</v>
      </c>
      <c r="H112" s="14">
        <f>data!AC66</f>
        <v>1763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111437</v>
      </c>
      <c r="E113" s="14">
        <f>data!Z67</f>
        <v>0</v>
      </c>
      <c r="F113" s="14">
        <f>data!AA67</f>
        <v>0</v>
      </c>
      <c r="G113" s="14">
        <f>data!AB67</f>
        <v>10917</v>
      </c>
      <c r="H113" s="14">
        <f>data!AC67</f>
        <v>11091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40407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8918</v>
      </c>
      <c r="E115" s="14">
        <f>data!Z69</f>
        <v>0</v>
      </c>
      <c r="F115" s="14">
        <f>data!AA69</f>
        <v>0</v>
      </c>
      <c r="G115" s="14">
        <f>data!AB69</f>
        <v>12427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79018</v>
      </c>
      <c r="D117" s="14">
        <f>data!Y71</f>
        <v>1781741.72</v>
      </c>
      <c r="E117" s="14">
        <f>data!Z71</f>
        <v>0</v>
      </c>
      <c r="F117" s="14">
        <f>data!AA71</f>
        <v>75193</v>
      </c>
      <c r="G117" s="14">
        <f>data!AB71</f>
        <v>1480406</v>
      </c>
      <c r="H117" s="14">
        <f>data!AC71</f>
        <v>138214.38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323459</v>
      </c>
      <c r="D119" s="48">
        <f>+data!M690</f>
        <v>616385</v>
      </c>
      <c r="E119" s="48">
        <f>+data!M691</f>
        <v>0</v>
      </c>
      <c r="F119" s="48">
        <f>+data!M692</f>
        <v>25023</v>
      </c>
      <c r="G119" s="48">
        <f>+data!M693</f>
        <v>483704</v>
      </c>
      <c r="H119" s="48">
        <f>+data!M694</f>
        <v>50379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263923</v>
      </c>
      <c r="D120" s="14">
        <f>data!Y73</f>
        <v>179385</v>
      </c>
      <c r="E120" s="14">
        <f>data!Z73</f>
        <v>0</v>
      </c>
      <c r="F120" s="14">
        <f>data!AA73</f>
        <v>6082</v>
      </c>
      <c r="G120" s="14">
        <f>data!AB73</f>
        <v>809057</v>
      </c>
      <c r="H120" s="14">
        <f>data!AC73</f>
        <v>65660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4916082</v>
      </c>
      <c r="D121" s="14">
        <f>data!Y74</f>
        <v>4817798</v>
      </c>
      <c r="E121" s="14">
        <f>data!Z74</f>
        <v>0</v>
      </c>
      <c r="F121" s="14">
        <f>data!AA74</f>
        <v>276192</v>
      </c>
      <c r="G121" s="14">
        <f>data!AB74</f>
        <v>3429855</v>
      </c>
      <c r="H121" s="14">
        <f>data!AC74</f>
        <v>29438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5180005</v>
      </c>
      <c r="D122" s="14">
        <f>data!Y75</f>
        <v>4997183</v>
      </c>
      <c r="E122" s="14">
        <f>data!Z75</f>
        <v>0</v>
      </c>
      <c r="F122" s="14">
        <f>data!AA75</f>
        <v>282274</v>
      </c>
      <c r="G122" s="14">
        <f>data!AB75</f>
        <v>4238912</v>
      </c>
      <c r="H122" s="14">
        <f>data!AC75</f>
        <v>95098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2491</v>
      </c>
      <c r="E124" s="14">
        <f>data!Z76</f>
        <v>0</v>
      </c>
      <c r="F124" s="14">
        <f>data!AA76</f>
        <v>0</v>
      </c>
      <c r="G124" s="14">
        <f>data!AB76</f>
        <v>394</v>
      </c>
      <c r="H124" s="14">
        <f>data!AC76</f>
        <v>752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205.4</v>
      </c>
      <c r="D126" s="14">
        <f>data!Y78</f>
        <v>1281.8</v>
      </c>
      <c r="E126" s="14">
        <f>data!Z78</f>
        <v>0</v>
      </c>
      <c r="F126" s="14">
        <f>data!AA78</f>
        <v>0</v>
      </c>
      <c r="G126" s="14">
        <f>data!AB78</f>
        <v>130</v>
      </c>
      <c r="H126" s="14">
        <f>data!AC78</f>
        <v>169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1696</v>
      </c>
      <c r="D127" s="14">
        <f>data!Y79</f>
        <v>409</v>
      </c>
      <c r="E127" s="14">
        <f>data!Z79</f>
        <v>0</v>
      </c>
      <c r="F127" s="14">
        <f>data!AA79</f>
        <v>27</v>
      </c>
      <c r="G127" s="14">
        <f>data!AB79</f>
        <v>0</v>
      </c>
      <c r="H127" s="14">
        <f>data!AC79</f>
        <v>160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Forks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6277</v>
      </c>
      <c r="D137" s="14">
        <f>data!AF59</f>
        <v>0</v>
      </c>
      <c r="E137" s="14">
        <f>data!AG59</f>
        <v>4621</v>
      </c>
      <c r="F137" s="14">
        <f>data!AH59</f>
        <v>909</v>
      </c>
      <c r="G137" s="14">
        <f>data!AI59</f>
        <v>543</v>
      </c>
      <c r="H137" s="14">
        <f>data!AJ59</f>
        <v>16324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9.24</v>
      </c>
      <c r="D138" s="26">
        <f>data!AF60</f>
        <v>0</v>
      </c>
      <c r="E138" s="26">
        <f>data!AG60</f>
        <v>5.1099999999999994</v>
      </c>
      <c r="F138" s="26">
        <f>data!AH60</f>
        <v>4.4800000000000004</v>
      </c>
      <c r="G138" s="26">
        <f>data!AI60</f>
        <v>1.1299999999999999</v>
      </c>
      <c r="H138" s="26">
        <f>data!AJ60</f>
        <v>34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630090.51</v>
      </c>
      <c r="D139" s="14">
        <f>data!AF61</f>
        <v>0</v>
      </c>
      <c r="E139" s="14">
        <f>data!AG61</f>
        <v>538020</v>
      </c>
      <c r="F139" s="14">
        <f>data!AH61</f>
        <v>236555.19</v>
      </c>
      <c r="G139" s="14">
        <f>data!AI61</f>
        <v>114494</v>
      </c>
      <c r="H139" s="14">
        <f>data!AJ61</f>
        <v>3424155.3600000003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194550</v>
      </c>
      <c r="D140" s="14">
        <f>data!AF62</f>
        <v>0</v>
      </c>
      <c r="E140" s="14">
        <f>data!AG62</f>
        <v>166122</v>
      </c>
      <c r="F140" s="14">
        <f>data!AH62</f>
        <v>73040</v>
      </c>
      <c r="G140" s="14">
        <f>data!AI62</f>
        <v>35352</v>
      </c>
      <c r="H140" s="14">
        <f>data!AJ62</f>
        <v>1057262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76063</v>
      </c>
      <c r="D141" s="14">
        <f>data!AF63</f>
        <v>0</v>
      </c>
      <c r="E141" s="14">
        <f>data!AG63</f>
        <v>894169</v>
      </c>
      <c r="F141" s="14">
        <f>data!AH63</f>
        <v>0</v>
      </c>
      <c r="G141" s="14">
        <f>data!AI63</f>
        <v>0</v>
      </c>
      <c r="H141" s="14">
        <f>data!AJ63</f>
        <v>304668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17099</v>
      </c>
      <c r="D142" s="14">
        <f>data!AF64</f>
        <v>0</v>
      </c>
      <c r="E142" s="14">
        <f>data!AG64</f>
        <v>54066</v>
      </c>
      <c r="F142" s="14">
        <f>data!AH64</f>
        <v>43916</v>
      </c>
      <c r="G142" s="14">
        <f>data!AI64</f>
        <v>0</v>
      </c>
      <c r="H142" s="14">
        <f>data!AJ64</f>
        <v>199942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565</v>
      </c>
      <c r="D143" s="14">
        <f>data!AF65</f>
        <v>0</v>
      </c>
      <c r="E143" s="14">
        <f>data!AG65</f>
        <v>1299</v>
      </c>
      <c r="F143" s="14">
        <f>data!AH65</f>
        <v>16200</v>
      </c>
      <c r="G143" s="14">
        <f>data!AI65</f>
        <v>0</v>
      </c>
      <c r="H143" s="14">
        <f>data!AJ65</f>
        <v>73179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2408</v>
      </c>
      <c r="D144" s="14">
        <f>data!AF66</f>
        <v>0</v>
      </c>
      <c r="E144" s="14">
        <f>data!AG66</f>
        <v>11126</v>
      </c>
      <c r="F144" s="14">
        <f>data!AH66</f>
        <v>33793</v>
      </c>
      <c r="G144" s="14">
        <f>data!AI66</f>
        <v>0</v>
      </c>
      <c r="H144" s="14">
        <f>data!AJ66</f>
        <v>56368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25795</v>
      </c>
      <c r="D145" s="14">
        <f>data!AF67</f>
        <v>0</v>
      </c>
      <c r="E145" s="14">
        <f>data!AG67</f>
        <v>38861</v>
      </c>
      <c r="F145" s="14">
        <f>data!AH67</f>
        <v>151425</v>
      </c>
      <c r="G145" s="14">
        <f>data!AI67</f>
        <v>0</v>
      </c>
      <c r="H145" s="14">
        <f>data!AJ67</f>
        <v>101938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4146</v>
      </c>
      <c r="G146" s="14">
        <f>data!AI68</f>
        <v>0</v>
      </c>
      <c r="H146" s="14">
        <f>data!AJ68</f>
        <v>1301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8112</v>
      </c>
      <c r="D147" s="14">
        <f>data!AF69</f>
        <v>0</v>
      </c>
      <c r="E147" s="14">
        <f>data!AG69</f>
        <v>13660</v>
      </c>
      <c r="F147" s="14">
        <f>data!AH69</f>
        <v>21702</v>
      </c>
      <c r="G147" s="14">
        <f>data!AI69</f>
        <v>0</v>
      </c>
      <c r="H147" s="14">
        <f>data!AJ69</f>
        <v>48969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954682.51</v>
      </c>
      <c r="D149" s="14">
        <f>data!AF71</f>
        <v>0</v>
      </c>
      <c r="E149" s="14">
        <f>data!AG71</f>
        <v>1717323</v>
      </c>
      <c r="F149" s="14">
        <f>data!AH71</f>
        <v>580777.18999999994</v>
      </c>
      <c r="G149" s="14">
        <f>data!AI71</f>
        <v>149846</v>
      </c>
      <c r="H149" s="14">
        <f>data!AJ71</f>
        <v>5267782.3600000003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438438</v>
      </c>
      <c r="D151" s="48">
        <f>+data!M697</f>
        <v>0</v>
      </c>
      <c r="E151" s="48">
        <f>+data!M698</f>
        <v>838006</v>
      </c>
      <c r="F151" s="48">
        <f>+data!M699</f>
        <v>188665</v>
      </c>
      <c r="G151" s="48">
        <f>+data!M700</f>
        <v>114269</v>
      </c>
      <c r="H151" s="48">
        <f>+data!M701</f>
        <v>1513212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278609</v>
      </c>
      <c r="D152" s="14">
        <f>data!AF73</f>
        <v>0</v>
      </c>
      <c r="E152" s="14">
        <f>data!AG73</f>
        <v>0</v>
      </c>
      <c r="F152" s="14">
        <f>data!AH73</f>
        <v>52785</v>
      </c>
      <c r="G152" s="14">
        <f>data!AI73</f>
        <v>138137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3321487</v>
      </c>
      <c r="D153" s="14">
        <f>data!AF74</f>
        <v>0</v>
      </c>
      <c r="E153" s="14">
        <f>data!AG74</f>
        <v>8202775</v>
      </c>
      <c r="F153" s="14">
        <f>data!AH74</f>
        <v>833299</v>
      </c>
      <c r="G153" s="14">
        <f>data!AI74</f>
        <v>1017506</v>
      </c>
      <c r="H153" s="14">
        <f>data!AJ74</f>
        <v>5682431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3600096</v>
      </c>
      <c r="D154" s="14">
        <f>data!AF75</f>
        <v>0</v>
      </c>
      <c r="E154" s="14">
        <f>data!AG75</f>
        <v>8202775</v>
      </c>
      <c r="F154" s="14">
        <f>data!AH75</f>
        <v>886084</v>
      </c>
      <c r="G154" s="14">
        <f>data!AI75</f>
        <v>1155643</v>
      </c>
      <c r="H154" s="14">
        <f>data!AJ75</f>
        <v>5682431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2996</v>
      </c>
      <c r="D156" s="14">
        <f>data!AF76</f>
        <v>0</v>
      </c>
      <c r="E156" s="14">
        <f>data!AG76</f>
        <v>1577</v>
      </c>
      <c r="F156" s="14">
        <f>data!AH76</f>
        <v>1650</v>
      </c>
      <c r="G156" s="14">
        <f>data!AI76</f>
        <v>0</v>
      </c>
      <c r="H156" s="14">
        <f>data!AJ76</f>
        <v>12086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400.4</v>
      </c>
      <c r="D158" s="14">
        <f>data!AF78</f>
        <v>0</v>
      </c>
      <c r="E158" s="14">
        <f>data!AG78</f>
        <v>2158</v>
      </c>
      <c r="F158" s="14">
        <f>data!AH78</f>
        <v>182</v>
      </c>
      <c r="G158" s="14">
        <f>data!AI78</f>
        <v>0</v>
      </c>
      <c r="H158" s="14">
        <f>data!AJ78</f>
        <v>3900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6192</v>
      </c>
      <c r="D159" s="14">
        <f>data!AF79</f>
        <v>0</v>
      </c>
      <c r="E159" s="14">
        <f>data!AG79</f>
        <v>11341</v>
      </c>
      <c r="F159" s="14">
        <f>data!AH79</f>
        <v>6107</v>
      </c>
      <c r="G159" s="14">
        <f>data!AI79</f>
        <v>8291</v>
      </c>
      <c r="H159" s="14">
        <f>data!AJ79</f>
        <v>992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1.0710721153846154</v>
      </c>
      <c r="F160" s="26">
        <f>data!AH80</f>
        <v>0</v>
      </c>
      <c r="G160" s="26">
        <f>data!AI80</f>
        <v>1.1254903846153845</v>
      </c>
      <c r="H160" s="26">
        <f>data!AJ80</f>
        <v>6.7695913461538462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Forks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Forks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10061</v>
      </c>
      <c r="F201" s="212"/>
      <c r="G201" s="212"/>
      <c r="H201" s="212"/>
      <c r="I201" s="14">
        <f>data!AY59</f>
        <v>95955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18.54</v>
      </c>
      <c r="F202" s="26">
        <f>data!AV60</f>
        <v>2.54</v>
      </c>
      <c r="G202" s="26">
        <f>data!AW60</f>
        <v>0</v>
      </c>
      <c r="H202" s="26">
        <f>data!AX60</f>
        <v>0</v>
      </c>
      <c r="I202" s="26">
        <f>data!AY60</f>
        <v>11.36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1105068.6299999999</v>
      </c>
      <c r="F203" s="14">
        <f>data!AV61</f>
        <v>174918.15999999997</v>
      </c>
      <c r="G203" s="14">
        <f>data!AW61</f>
        <v>0</v>
      </c>
      <c r="H203" s="14">
        <f>data!AX61</f>
        <v>0</v>
      </c>
      <c r="I203" s="14">
        <f>data!AY61</f>
        <v>519199.18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341207</v>
      </c>
      <c r="F204" s="14">
        <f>data!AV62</f>
        <v>54009</v>
      </c>
      <c r="G204" s="14">
        <f>data!AW62</f>
        <v>0</v>
      </c>
      <c r="H204" s="14">
        <f>data!AX62</f>
        <v>0</v>
      </c>
      <c r="I204" s="14">
        <f>data!AY62</f>
        <v>160311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18500</v>
      </c>
      <c r="F205" s="14">
        <f>data!AV63</f>
        <v>78661</v>
      </c>
      <c r="G205" s="14">
        <f>data!AW63</f>
        <v>0</v>
      </c>
      <c r="H205" s="14">
        <f>data!AX63</f>
        <v>0</v>
      </c>
      <c r="I205" s="14">
        <f>data!AY63</f>
        <v>2457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13186</v>
      </c>
      <c r="F206" s="14">
        <f>data!AV64</f>
        <v>10429</v>
      </c>
      <c r="G206" s="14">
        <f>data!AW64</f>
        <v>0</v>
      </c>
      <c r="H206" s="14">
        <f>data!AX64</f>
        <v>0</v>
      </c>
      <c r="I206" s="14">
        <f>data!AY64</f>
        <v>238877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18836</v>
      </c>
      <c r="F207" s="14">
        <f>data!AV65</f>
        <v>1350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81556</v>
      </c>
      <c r="F208" s="14">
        <f>data!AV66</f>
        <v>6666</v>
      </c>
      <c r="G208" s="14">
        <f>data!AW66</f>
        <v>0</v>
      </c>
      <c r="H208" s="14">
        <f>data!AX66</f>
        <v>0</v>
      </c>
      <c r="I208" s="14">
        <f>data!AY66</f>
        <v>4048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12321</v>
      </c>
      <c r="F209" s="14">
        <f>data!AV67</f>
        <v>24457</v>
      </c>
      <c r="G209" s="14">
        <f>data!AW67</f>
        <v>0</v>
      </c>
      <c r="H209" s="14">
        <f>data!AX67</f>
        <v>0</v>
      </c>
      <c r="I209" s="14">
        <f>data!AY67</f>
        <v>17282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150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27477</v>
      </c>
      <c r="F211" s="14">
        <f>data!AV69</f>
        <v>2239</v>
      </c>
      <c r="G211" s="14">
        <f>data!AW69</f>
        <v>0</v>
      </c>
      <c r="H211" s="14">
        <f>data!AX69</f>
        <v>0</v>
      </c>
      <c r="I211" s="14">
        <f>data!AY69</f>
        <v>2454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1618151.63</v>
      </c>
      <c r="F213" s="14">
        <f>data!AV71</f>
        <v>352879.16</v>
      </c>
      <c r="G213" s="14">
        <f>data!AW71</f>
        <v>0</v>
      </c>
      <c r="H213" s="14">
        <f>data!AX71</f>
        <v>0</v>
      </c>
      <c r="I213" s="14">
        <f>data!AY71</f>
        <v>944628.17999999993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331658</v>
      </c>
      <c r="F215" s="48">
        <f>+data!M713</f>
        <v>217714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42310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1103482</v>
      </c>
      <c r="F217" s="14">
        <f>data!AV74</f>
        <v>2465390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1103482</v>
      </c>
      <c r="F218" s="14">
        <f>data!AV75</f>
        <v>2507700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1910</v>
      </c>
      <c r="F220" s="14">
        <f>data!AV76</f>
        <v>902</v>
      </c>
      <c r="G220" s="14">
        <f>data!AW76</f>
        <v>0</v>
      </c>
      <c r="H220" s="14">
        <f>data!AX76</f>
        <v>0</v>
      </c>
      <c r="I220" s="85">
        <f>data!AY76</f>
        <v>1054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338</v>
      </c>
      <c r="F222" s="14">
        <f>data!AV78</f>
        <v>130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Forks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56157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0.57999999999999996</v>
      </c>
      <c r="E234" s="26">
        <f>data!BB60</f>
        <v>1.4</v>
      </c>
      <c r="F234" s="26">
        <f>data!BC60</f>
        <v>0</v>
      </c>
      <c r="G234" s="26">
        <f>data!BD60</f>
        <v>2.87</v>
      </c>
      <c r="H234" s="26">
        <f>data!BE60</f>
        <v>6.31</v>
      </c>
      <c r="I234" s="26">
        <f>data!BF60</f>
        <v>13.47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21396.43</v>
      </c>
      <c r="E235" s="14">
        <f>data!BB61</f>
        <v>121828.43</v>
      </c>
      <c r="F235" s="14">
        <f>data!BC61</f>
        <v>0</v>
      </c>
      <c r="G235" s="14">
        <f>data!BD61</f>
        <v>165275.12</v>
      </c>
      <c r="H235" s="14">
        <f>data!BE61</f>
        <v>423070.15</v>
      </c>
      <c r="I235" s="14">
        <f>data!BF61</f>
        <v>539098.26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6606</v>
      </c>
      <c r="E236" s="14">
        <f>data!BB62</f>
        <v>37616</v>
      </c>
      <c r="F236" s="14">
        <f>data!BC62</f>
        <v>0</v>
      </c>
      <c r="G236" s="14">
        <f>data!BD62</f>
        <v>51031</v>
      </c>
      <c r="H236" s="14">
        <f>data!BE62</f>
        <v>130630</v>
      </c>
      <c r="I236" s="14">
        <f>data!BF62</f>
        <v>166455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199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14035</v>
      </c>
      <c r="E238" s="14">
        <f>data!BB64</f>
        <v>1298</v>
      </c>
      <c r="F238" s="14">
        <f>data!BC64</f>
        <v>0</v>
      </c>
      <c r="G238" s="14">
        <f>data!BD64</f>
        <v>2125</v>
      </c>
      <c r="H238" s="14">
        <f>data!BE64</f>
        <v>73293</v>
      </c>
      <c r="I238" s="14">
        <f>data!BF64</f>
        <v>73445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770</v>
      </c>
      <c r="F239" s="14">
        <f>data!BC65</f>
        <v>0</v>
      </c>
      <c r="G239" s="14">
        <f>data!BD65</f>
        <v>901</v>
      </c>
      <c r="H239" s="14">
        <f>data!BE65</f>
        <v>338021</v>
      </c>
      <c r="I239" s="14">
        <f>data!BF65</f>
        <v>45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97212</v>
      </c>
      <c r="E240" s="14">
        <f>data!BB66</f>
        <v>0</v>
      </c>
      <c r="F240" s="14">
        <f>data!BC66</f>
        <v>0</v>
      </c>
      <c r="G240" s="14">
        <f>data!BD66</f>
        <v>-14605</v>
      </c>
      <c r="H240" s="14">
        <f>data!BE66</f>
        <v>186738</v>
      </c>
      <c r="I240" s="14">
        <f>data!BF66</f>
        <v>15937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4604</v>
      </c>
      <c r="D241" s="14">
        <f>data!BA67</f>
        <v>12850</v>
      </c>
      <c r="E241" s="14">
        <f>data!BB67</f>
        <v>626</v>
      </c>
      <c r="F241" s="14">
        <f>data!BC67</f>
        <v>0</v>
      </c>
      <c r="G241" s="14">
        <f>data!BD67</f>
        <v>626</v>
      </c>
      <c r="H241" s="14">
        <f>data!BE67</f>
        <v>17798</v>
      </c>
      <c r="I241" s="14">
        <f>data!BF67</f>
        <v>2303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20270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43</v>
      </c>
      <c r="E243" s="14">
        <f>data!BB69</f>
        <v>520</v>
      </c>
      <c r="F243" s="14">
        <f>data!BC69</f>
        <v>0</v>
      </c>
      <c r="G243" s="14">
        <f>data!BD69</f>
        <v>3186</v>
      </c>
      <c r="H243" s="14">
        <f>data!BE69</f>
        <v>4664</v>
      </c>
      <c r="I243" s="14">
        <f>data!BF69</f>
        <v>2354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4604</v>
      </c>
      <c r="D245" s="14">
        <f>data!BA71</f>
        <v>152142.43</v>
      </c>
      <c r="E245" s="14">
        <f>data!BB71</f>
        <v>162857.43</v>
      </c>
      <c r="F245" s="14">
        <f>data!BC71</f>
        <v>0</v>
      </c>
      <c r="G245" s="14">
        <f>data!BD71</f>
        <v>208539.12</v>
      </c>
      <c r="H245" s="14">
        <f>data!BE71</f>
        <v>1194484.1499999999</v>
      </c>
      <c r="I245" s="14">
        <f>data!BF71</f>
        <v>799637.26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736</v>
      </c>
      <c r="D252" s="85">
        <f>data!BA76</f>
        <v>747</v>
      </c>
      <c r="E252" s="85">
        <f>data!BB76</f>
        <v>100</v>
      </c>
      <c r="F252" s="85">
        <f>data!BC76</f>
        <v>0</v>
      </c>
      <c r="G252" s="85">
        <f>data!BD76</f>
        <v>100</v>
      </c>
      <c r="H252" s="85">
        <f>data!BE76</f>
        <v>1764</v>
      </c>
      <c r="I252" s="85">
        <f>data!BF76</f>
        <v>115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2496</v>
      </c>
      <c r="E254" s="85">
        <f>data!BB78</f>
        <v>65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Forks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3.7</v>
      </c>
      <c r="E266" s="26">
        <f>data!BI60</f>
        <v>0</v>
      </c>
      <c r="F266" s="26">
        <f>data!BJ60</f>
        <v>4.18</v>
      </c>
      <c r="G266" s="26">
        <f>data!BK60</f>
        <v>15.24</v>
      </c>
      <c r="H266" s="26">
        <f>data!BL60</f>
        <v>5.87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299113.26</v>
      </c>
      <c r="E267" s="14">
        <f>data!BI61</f>
        <v>0</v>
      </c>
      <c r="F267" s="14">
        <f>data!BJ61</f>
        <v>238161.28</v>
      </c>
      <c r="G267" s="14">
        <f>data!BK61</f>
        <v>740789.13</v>
      </c>
      <c r="H267" s="14">
        <f>data!BL61</f>
        <v>273855.01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92356</v>
      </c>
      <c r="E268" s="14">
        <f>data!BI62</f>
        <v>0</v>
      </c>
      <c r="F268" s="14">
        <f>data!BJ62</f>
        <v>73536</v>
      </c>
      <c r="G268" s="14">
        <f>data!BK62</f>
        <v>228730</v>
      </c>
      <c r="H268" s="14">
        <f>data!BL62</f>
        <v>84557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191378</v>
      </c>
      <c r="G269" s="14">
        <f>data!BK63</f>
        <v>30</v>
      </c>
      <c r="H269" s="14">
        <f>data!BL63</f>
        <v>17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19881</v>
      </c>
      <c r="E270" s="14">
        <f>data!BI64</f>
        <v>0</v>
      </c>
      <c r="F270" s="14">
        <f>data!BJ64</f>
        <v>4459</v>
      </c>
      <c r="G270" s="14">
        <f>data!BK64</f>
        <v>18066</v>
      </c>
      <c r="H270" s="14">
        <f>data!BL64</f>
        <v>13759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3841</v>
      </c>
      <c r="E271" s="14">
        <f>data!BI65</f>
        <v>0</v>
      </c>
      <c r="F271" s="14">
        <f>data!BJ65</f>
        <v>494</v>
      </c>
      <c r="G271" s="14">
        <f>data!BK65</f>
        <v>1026</v>
      </c>
      <c r="H271" s="14">
        <f>data!BL65</f>
        <v>1495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381922</v>
      </c>
      <c r="E272" s="14">
        <f>data!BI66</f>
        <v>0</v>
      </c>
      <c r="F272" s="14">
        <f>data!BJ66</f>
        <v>47210</v>
      </c>
      <c r="G272" s="14">
        <f>data!BK66</f>
        <v>145084</v>
      </c>
      <c r="H272" s="14">
        <f>data!BL66</f>
        <v>1397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87735</v>
      </c>
      <c r="E273" s="14">
        <f>data!BI67</f>
        <v>0</v>
      </c>
      <c r="F273" s="14">
        <f>data!BJ67</f>
        <v>0</v>
      </c>
      <c r="G273" s="14">
        <f>data!BK67</f>
        <v>11535</v>
      </c>
      <c r="H273" s="14">
        <f>data!BL67</f>
        <v>950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3833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61975</v>
      </c>
      <c r="E275" s="14">
        <f>data!BI69</f>
        <v>0</v>
      </c>
      <c r="F275" s="14">
        <f>data!BJ69</f>
        <v>21438</v>
      </c>
      <c r="G275" s="14">
        <f>data!BK69</f>
        <v>27027</v>
      </c>
      <c r="H275" s="14">
        <f>data!BL69</f>
        <v>614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946823.26</v>
      </c>
      <c r="E277" s="14">
        <f>data!BI71</f>
        <v>0</v>
      </c>
      <c r="F277" s="14">
        <f>data!BJ71</f>
        <v>576676.28</v>
      </c>
      <c r="G277" s="14">
        <f>data!BK71</f>
        <v>1172287.1299999999</v>
      </c>
      <c r="H277" s="14">
        <f>data!BL71</f>
        <v>380477.01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356</v>
      </c>
      <c r="E284" s="85">
        <f>data!BI76</f>
        <v>0</v>
      </c>
      <c r="F284" s="85">
        <f>data!BJ76</f>
        <v>0</v>
      </c>
      <c r="G284" s="85">
        <f>data!BK76</f>
        <v>1844</v>
      </c>
      <c r="H284" s="85">
        <f>data!BL76</f>
        <v>148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371.8</v>
      </c>
      <c r="H286" s="85">
        <f>data!BL78</f>
        <v>273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Forks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5.0999999999999996</v>
      </c>
      <c r="D298" s="26">
        <f>data!BO60</f>
        <v>0.5</v>
      </c>
      <c r="E298" s="26">
        <f>data!BP60</f>
        <v>0</v>
      </c>
      <c r="F298" s="26">
        <f>data!BQ60</f>
        <v>0</v>
      </c>
      <c r="G298" s="26">
        <f>data!BR60</f>
        <v>2.2999999999999998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602555.89</v>
      </c>
      <c r="D299" s="14">
        <f>data!BO61</f>
        <v>28524.400000000001</v>
      </c>
      <c r="E299" s="14">
        <f>data!BP61</f>
        <v>0</v>
      </c>
      <c r="F299" s="14">
        <f>data!BQ61</f>
        <v>0</v>
      </c>
      <c r="G299" s="14">
        <f>data!BR61</f>
        <v>98192.5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186049</v>
      </c>
      <c r="D300" s="14">
        <f>data!BO62</f>
        <v>8807</v>
      </c>
      <c r="E300" s="14">
        <f>data!BP62</f>
        <v>0</v>
      </c>
      <c r="F300" s="14">
        <f>data!BQ62</f>
        <v>0</v>
      </c>
      <c r="G300" s="14">
        <f>data!BR62</f>
        <v>30318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62623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96773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35922</v>
      </c>
      <c r="D302" s="14">
        <f>data!BO64</f>
        <v>743</v>
      </c>
      <c r="E302" s="14">
        <f>data!BP64</f>
        <v>0</v>
      </c>
      <c r="F302" s="14">
        <f>data!BQ64</f>
        <v>0</v>
      </c>
      <c r="G302" s="14">
        <f>data!BR64</f>
        <v>5735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9657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812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138306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40475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59683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2540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59368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170202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16716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1324365.8900000001</v>
      </c>
      <c r="D309" s="14">
        <f>data!BO71</f>
        <v>38074.400000000001</v>
      </c>
      <c r="E309" s="14">
        <f>data!BP71</f>
        <v>0</v>
      </c>
      <c r="F309" s="14">
        <f>data!BQ71</f>
        <v>0</v>
      </c>
      <c r="G309" s="14">
        <f>data!BR71</f>
        <v>291561.5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6685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406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Forks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4.2699999999999996</v>
      </c>
      <c r="E330" s="26">
        <f>data!BW60</f>
        <v>0</v>
      </c>
      <c r="F330" s="26">
        <f>data!BX60</f>
        <v>0</v>
      </c>
      <c r="G330" s="26">
        <f>data!BY60</f>
        <v>1.98</v>
      </c>
      <c r="H330" s="26">
        <f>data!BZ60</f>
        <v>0</v>
      </c>
      <c r="I330" s="26">
        <f>data!CA60</f>
        <v>0.2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201607.87</v>
      </c>
      <c r="E331" s="86">
        <f>data!BW61</f>
        <v>0</v>
      </c>
      <c r="F331" s="86">
        <f>data!BX61</f>
        <v>0</v>
      </c>
      <c r="G331" s="86">
        <f>data!BY61</f>
        <v>185896.85</v>
      </c>
      <c r="H331" s="86">
        <f>data!BZ61</f>
        <v>0</v>
      </c>
      <c r="I331" s="86">
        <f>data!CA61</f>
        <v>17424.509999999998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62250</v>
      </c>
      <c r="E332" s="86">
        <f>data!BW62</f>
        <v>0</v>
      </c>
      <c r="F332" s="86">
        <f>data!BX62</f>
        <v>0</v>
      </c>
      <c r="G332" s="86">
        <f>data!BY62</f>
        <v>57399</v>
      </c>
      <c r="H332" s="86">
        <f>data!BZ62</f>
        <v>0</v>
      </c>
      <c r="I332" s="86">
        <f>data!CA62</f>
        <v>5380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32774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8274</v>
      </c>
      <c r="E334" s="86">
        <f>data!BW64</f>
        <v>0</v>
      </c>
      <c r="F334" s="86">
        <f>data!BX64</f>
        <v>0</v>
      </c>
      <c r="G334" s="86">
        <f>data!BY64</f>
        <v>1176</v>
      </c>
      <c r="H334" s="86">
        <f>data!BZ64</f>
        <v>0</v>
      </c>
      <c r="I334" s="86">
        <f>data!CA64</f>
        <v>1450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597</v>
      </c>
      <c r="E335" s="86">
        <f>data!BW65</f>
        <v>0</v>
      </c>
      <c r="F335" s="86">
        <f>data!BX65</f>
        <v>0</v>
      </c>
      <c r="G335" s="86">
        <f>data!BY65</f>
        <v>133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18042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3844</v>
      </c>
      <c r="E337" s="86">
        <f>data!BW67</f>
        <v>0</v>
      </c>
      <c r="F337" s="86">
        <f>data!BX67</f>
        <v>0</v>
      </c>
      <c r="G337" s="86">
        <f>data!BY67</f>
        <v>1314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24147</v>
      </c>
      <c r="E339" s="86">
        <f>data!BW69</f>
        <v>0</v>
      </c>
      <c r="F339" s="86">
        <f>data!BX69</f>
        <v>0</v>
      </c>
      <c r="G339" s="86">
        <f>data!BY69</f>
        <v>3480</v>
      </c>
      <c r="H339" s="86">
        <f>data!BZ69</f>
        <v>0</v>
      </c>
      <c r="I339" s="86">
        <f>data!CA69</f>
        <v>591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351535.87</v>
      </c>
      <c r="E341" s="14">
        <f>data!BW71</f>
        <v>0</v>
      </c>
      <c r="F341" s="14">
        <f>data!BX71</f>
        <v>0</v>
      </c>
      <c r="G341" s="14">
        <f>data!BY71</f>
        <v>249398.85</v>
      </c>
      <c r="H341" s="14">
        <f>data!BZ71</f>
        <v>0</v>
      </c>
      <c r="I341" s="14">
        <f>data!CA71</f>
        <v>24845.51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612</v>
      </c>
      <c r="E348" s="85">
        <f>data!BW76</f>
        <v>0</v>
      </c>
      <c r="F348" s="85">
        <f>data!BX76</f>
        <v>0</v>
      </c>
      <c r="G348" s="85">
        <f>data!BY76</f>
        <v>210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65</v>
      </c>
      <c r="E350" s="85">
        <f>data!BW78</f>
        <v>0</v>
      </c>
      <c r="F350" s="85">
        <f>data!BX78</f>
        <v>0</v>
      </c>
      <c r="G350" s="85">
        <f>data!BY78</f>
        <v>109.2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Forks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3.16</v>
      </c>
      <c r="D362" s="26">
        <f>data!CC60</f>
        <v>3.1100000000000003</v>
      </c>
      <c r="E362" s="217"/>
      <c r="F362" s="211"/>
      <c r="G362" s="211"/>
      <c r="H362" s="211"/>
      <c r="I362" s="87">
        <f>data!CE60</f>
        <v>242.12000000000003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307051.26</v>
      </c>
      <c r="D363" s="86">
        <f>data!CC61</f>
        <v>186952.01</v>
      </c>
      <c r="E363" s="218"/>
      <c r="F363" s="219"/>
      <c r="G363" s="219"/>
      <c r="H363" s="219"/>
      <c r="I363" s="86">
        <f>data!CE61</f>
        <v>18214125.650000002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94807</v>
      </c>
      <c r="D364" s="86">
        <f>data!CC62</f>
        <v>57724</v>
      </c>
      <c r="E364" s="218"/>
      <c r="F364" s="219"/>
      <c r="G364" s="219"/>
      <c r="H364" s="219"/>
      <c r="I364" s="86">
        <f>data!CE62</f>
        <v>5623898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3521</v>
      </c>
      <c r="D365" s="86">
        <f>data!CC63</f>
        <v>24232</v>
      </c>
      <c r="E365" s="218"/>
      <c r="F365" s="219"/>
      <c r="G365" s="219"/>
      <c r="H365" s="219"/>
      <c r="I365" s="86">
        <f>data!CE63</f>
        <v>3108900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318</v>
      </c>
      <c r="D366" s="86">
        <f>data!CC64</f>
        <v>328616</v>
      </c>
      <c r="E366" s="218"/>
      <c r="F366" s="219"/>
      <c r="G366" s="219"/>
      <c r="H366" s="219"/>
      <c r="I366" s="86">
        <f>data!CE64</f>
        <v>3727359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1119</v>
      </c>
      <c r="E367" s="218"/>
      <c r="F367" s="219"/>
      <c r="G367" s="219"/>
      <c r="H367" s="219"/>
      <c r="I367" s="86">
        <f>data!CE65</f>
        <v>488954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25181</v>
      </c>
      <c r="D368" s="86">
        <f>data!CC66</f>
        <v>75885</v>
      </c>
      <c r="E368" s="218"/>
      <c r="F368" s="219"/>
      <c r="G368" s="219"/>
      <c r="H368" s="219"/>
      <c r="I368" s="86">
        <f>data!CE66</f>
        <v>1895533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3400</v>
      </c>
      <c r="E369" s="218"/>
      <c r="F369" s="219"/>
      <c r="G369" s="219"/>
      <c r="H369" s="219"/>
      <c r="I369" s="86">
        <f>data!CE67</f>
        <v>1181084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994</v>
      </c>
      <c r="E370" s="218"/>
      <c r="F370" s="219"/>
      <c r="G370" s="219"/>
      <c r="H370" s="219"/>
      <c r="I370" s="86">
        <f>data!CE68</f>
        <v>157990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13081</v>
      </c>
      <c r="D371" s="86">
        <f>data!CC69</f>
        <v>22161</v>
      </c>
      <c r="E371" s="86">
        <f>data!CD69</f>
        <v>1296887</v>
      </c>
      <c r="F371" s="219"/>
      <c r="G371" s="219"/>
      <c r="H371" s="219"/>
      <c r="I371" s="86">
        <f>data!CE69</f>
        <v>1844072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1140235</v>
      </c>
      <c r="F372" s="220"/>
      <c r="G372" s="220"/>
      <c r="H372" s="220"/>
      <c r="I372" s="14">
        <f>-data!CE70</f>
        <v>-1140235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443959.26</v>
      </c>
      <c r="D373" s="86">
        <f>data!CC71</f>
        <v>701083.01</v>
      </c>
      <c r="E373" s="86">
        <f>data!CD71</f>
        <v>156652</v>
      </c>
      <c r="F373" s="219"/>
      <c r="G373" s="219"/>
      <c r="H373" s="219"/>
      <c r="I373" s="14">
        <f>data!CE71</f>
        <v>35101680.650000006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-869061.06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9564085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50502175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60066260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56157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25738</v>
      </c>
    </row>
    <row r="382" spans="1:9" ht="20.149999999999999" customHeight="1" x14ac:dyDescent="0.35">
      <c r="A382" s="23">
        <v>24</v>
      </c>
      <c r="B382" s="14" t="s">
        <v>1188</v>
      </c>
      <c r="C382" s="14">
        <f>IF(data!CB78&gt;0,data!CB78,"")</f>
        <v>65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21005.399999999998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134703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31.786860576923079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2022-07-05T19:02:35Z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2022-07-05T18:58:56Z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87b89523-7429-4292-a859-55e1c8284212</vt:lpwstr>
  </property>
  <property fmtid="{D5CDD505-2E9C-101B-9397-08002B2CF9AE}" pid="8" name="MSIP_Label_1520fa42-cf58-4c22-8b93-58cf1d3bd1cb_ContentBits">
    <vt:lpwstr>0</vt:lpwstr>
  </property>
</Properties>
</file>