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410675A3-DD5D-4994-A6C4-0D0A4A89E603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N47" i="1"/>
  <c r="C324" i="1" l="1"/>
  <c r="C323" i="1"/>
  <c r="C272" i="1"/>
  <c r="BE51" i="1"/>
  <c r="C213" i="1" l="1"/>
  <c r="B213" i="1"/>
  <c r="D200" i="1"/>
  <c r="C200" i="1"/>
  <c r="B200" i="1"/>
  <c r="E60" i="1"/>
  <c r="AG60" i="1"/>
  <c r="AE60" i="1"/>
  <c r="AC60" i="1"/>
  <c r="AC51" i="1" l="1"/>
  <c r="AC74" i="1"/>
  <c r="AC73" i="1"/>
  <c r="AP80" i="1"/>
  <c r="E76" i="1"/>
  <c r="BY76" i="1"/>
  <c r="AY76" i="1"/>
  <c r="Q76" i="1"/>
  <c r="CA76" i="1"/>
  <c r="BK76" i="1"/>
  <c r="BJ76" i="1"/>
  <c r="BH76" i="1"/>
  <c r="BF76" i="1"/>
  <c r="AP76" i="1"/>
  <c r="E59" i="1" l="1"/>
  <c r="E63" i="1" l="1"/>
  <c r="E69" i="1"/>
  <c r="E47" i="1"/>
  <c r="E61" i="1"/>
  <c r="AJ74" i="1"/>
  <c r="AE74" i="1"/>
  <c r="E73" i="1"/>
  <c r="CD70" i="1"/>
  <c r="E74" i="1" l="1"/>
  <c r="AP74" i="1"/>
  <c r="Q73" i="1"/>
  <c r="AP73" i="1"/>
  <c r="AG73" i="1"/>
  <c r="AE73" i="1"/>
  <c r="AB73" i="1"/>
  <c r="Y73" i="1"/>
  <c r="U73" i="1"/>
  <c r="S73" i="1"/>
  <c r="R73" i="1"/>
  <c r="C138" i="1" l="1"/>
  <c r="B138" i="1"/>
  <c r="C139" i="1"/>
  <c r="B139" i="1"/>
  <c r="AG78" i="1"/>
  <c r="E78" i="1"/>
  <c r="AE80" i="1" l="1"/>
  <c r="BE66" i="1"/>
  <c r="BE65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E545" i="10"/>
  <c r="D545" i="10"/>
  <c r="B545" i="10"/>
  <c r="F545" i="10" s="1"/>
  <c r="E544" i="10"/>
  <c r="D544" i="10"/>
  <c r="B544" i="10"/>
  <c r="F544" i="10" s="1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H537" i="10" s="1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E533" i="10"/>
  <c r="D533" i="10"/>
  <c r="B533" i="10"/>
  <c r="H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F529" i="10"/>
  <c r="E529" i="10"/>
  <c r="D529" i="10"/>
  <c r="B529" i="10"/>
  <c r="H529" i="10" s="1"/>
  <c r="E528" i="10"/>
  <c r="D528" i="10"/>
  <c r="B528" i="10"/>
  <c r="F528" i="10" s="1"/>
  <c r="E527" i="10"/>
  <c r="D527" i="10"/>
  <c r="B527" i="10"/>
  <c r="F527" i="10" s="1"/>
  <c r="E526" i="10"/>
  <c r="D526" i="10"/>
  <c r="B526" i="10"/>
  <c r="E525" i="10"/>
  <c r="D525" i="10"/>
  <c r="B525" i="10"/>
  <c r="F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F522" i="10" s="1"/>
  <c r="B521" i="10"/>
  <c r="E520" i="10"/>
  <c r="D520" i="10"/>
  <c r="B520" i="10"/>
  <c r="H520" i="10" s="1"/>
  <c r="H519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H516" i="10" s="1"/>
  <c r="E515" i="10"/>
  <c r="D515" i="10"/>
  <c r="B515" i="10"/>
  <c r="F515" i="10" s="1"/>
  <c r="E514" i="10"/>
  <c r="D514" i="10"/>
  <c r="B514" i="10"/>
  <c r="F514" i="10" s="1"/>
  <c r="B513" i="10"/>
  <c r="H513" i="10" s="1"/>
  <c r="B512" i="10"/>
  <c r="F512" i="10" s="1"/>
  <c r="E511" i="10"/>
  <c r="D511" i="10"/>
  <c r="B511" i="10"/>
  <c r="F511" i="10" s="1"/>
  <c r="E510" i="10"/>
  <c r="D510" i="10"/>
  <c r="B510" i="10"/>
  <c r="F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F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E497" i="10"/>
  <c r="D497" i="10"/>
  <c r="B497" i="10"/>
  <c r="F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C459" i="10"/>
  <c r="B459" i="10"/>
  <c r="B458" i="10"/>
  <c r="B455" i="10"/>
  <c r="B454" i="10"/>
  <c r="B453" i="10"/>
  <c r="C447" i="10"/>
  <c r="C446" i="10"/>
  <c r="C444" i="10"/>
  <c r="C439" i="10"/>
  <c r="C438" i="10"/>
  <c r="B437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389" i="10"/>
  <c r="B439" i="10" s="1"/>
  <c r="C387" i="10"/>
  <c r="B436" i="10" s="1"/>
  <c r="D372" i="10"/>
  <c r="C364" i="10"/>
  <c r="D367" i="10" s="1"/>
  <c r="C448" i="10" s="1"/>
  <c r="C360" i="10"/>
  <c r="C359" i="10"/>
  <c r="B463" i="10" s="1"/>
  <c r="D329" i="10"/>
  <c r="C324" i="10"/>
  <c r="C323" i="10"/>
  <c r="D328" i="10" s="1"/>
  <c r="D330" i="10" s="1"/>
  <c r="D319" i="10"/>
  <c r="D314" i="10"/>
  <c r="D290" i="10"/>
  <c r="D283" i="10"/>
  <c r="D275" i="10"/>
  <c r="B476" i="10" s="1"/>
  <c r="D265" i="10"/>
  <c r="D260" i="10"/>
  <c r="C239" i="10"/>
  <c r="C238" i="10"/>
  <c r="D236" i="10"/>
  <c r="B446" i="10" s="1"/>
  <c r="C227" i="10"/>
  <c r="C225" i="10"/>
  <c r="C224" i="10"/>
  <c r="C223" i="10"/>
  <c r="D229" i="10" s="1"/>
  <c r="B445" i="10" s="1"/>
  <c r="D221" i="10"/>
  <c r="B444" i="10" s="1"/>
  <c r="C221" i="10"/>
  <c r="D217" i="10"/>
  <c r="B217" i="10"/>
  <c r="E216" i="10"/>
  <c r="E215" i="10"/>
  <c r="E214" i="10"/>
  <c r="C213" i="10"/>
  <c r="E212" i="10"/>
  <c r="E211" i="10"/>
  <c r="E210" i="10"/>
  <c r="E209" i="10"/>
  <c r="C209" i="10"/>
  <c r="D204" i="10"/>
  <c r="B204" i="10"/>
  <c r="E203" i="10"/>
  <c r="C475" i="10" s="1"/>
  <c r="E202" i="10"/>
  <c r="C474" i="10" s="1"/>
  <c r="E201" i="10"/>
  <c r="C200" i="10"/>
  <c r="E200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B142" i="10"/>
  <c r="D141" i="10"/>
  <c r="E141" i="10" s="1"/>
  <c r="D463" i="10" s="1"/>
  <c r="C141" i="10"/>
  <c r="B141" i="10"/>
  <c r="D140" i="10"/>
  <c r="C140" i="10"/>
  <c r="B140" i="10"/>
  <c r="E140" i="10" s="1"/>
  <c r="C139" i="10"/>
  <c r="E139" i="10" s="1"/>
  <c r="C415" i="10" s="1"/>
  <c r="B139" i="10"/>
  <c r="C138" i="10"/>
  <c r="E138" i="10" s="1"/>
  <c r="C414" i="10" s="1"/>
  <c r="B138" i="10"/>
  <c r="E127" i="10"/>
  <c r="CE80" i="10"/>
  <c r="L612" i="10" s="1"/>
  <c r="CF79" i="10"/>
  <c r="CE79" i="10"/>
  <c r="J612" i="10" s="1"/>
  <c r="CE78" i="10"/>
  <c r="I612" i="10" s="1"/>
  <c r="CE77" i="10"/>
  <c r="CA76" i="10"/>
  <c r="BY76" i="10"/>
  <c r="BK76" i="10"/>
  <c r="BJ76" i="10"/>
  <c r="BH76" i="10"/>
  <c r="BF76" i="10"/>
  <c r="BE76" i="10"/>
  <c r="AY76" i="10"/>
  <c r="AP76" i="10"/>
  <c r="P76" i="10"/>
  <c r="E76" i="10"/>
  <c r="AV75" i="10"/>
  <c r="AU75" i="10"/>
  <c r="AT75" i="10"/>
  <c r="AS75" i="10"/>
  <c r="AR75" i="10"/>
  <c r="AQ75" i="10"/>
  <c r="AO75" i="10"/>
  <c r="AN75" i="10"/>
  <c r="AM75" i="10"/>
  <c r="AL75" i="10"/>
  <c r="AK75" i="10"/>
  <c r="AJ75" i="10"/>
  <c r="AI75" i="10"/>
  <c r="AH75" i="10"/>
  <c r="AG75" i="10"/>
  <c r="AF75" i="10"/>
  <c r="AD75" i="10"/>
  <c r="AC75" i="10"/>
  <c r="AA75" i="10"/>
  <c r="Z75" i="10"/>
  <c r="X75" i="10"/>
  <c r="W75" i="10"/>
  <c r="V75" i="10"/>
  <c r="T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D75" i="10"/>
  <c r="C75" i="10"/>
  <c r="U74" i="10"/>
  <c r="U75" i="10" s="1"/>
  <c r="E74" i="10"/>
  <c r="AP73" i="10"/>
  <c r="AP75" i="10" s="1"/>
  <c r="AE73" i="10"/>
  <c r="AE75" i="10" s="1"/>
  <c r="AB73" i="10"/>
  <c r="AB75" i="10" s="1"/>
  <c r="Y73" i="10"/>
  <c r="Y75" i="10" s="1"/>
  <c r="U73" i="10"/>
  <c r="S73" i="10"/>
  <c r="S75" i="10" s="1"/>
  <c r="F73" i="10"/>
  <c r="F75" i="10" s="1"/>
  <c r="E73" i="10"/>
  <c r="CD71" i="10"/>
  <c r="C575" i="10" s="1"/>
  <c r="CE70" i="10"/>
  <c r="CE69" i="10"/>
  <c r="C440" i="10" s="1"/>
  <c r="BO69" i="10"/>
  <c r="CE68" i="10"/>
  <c r="C434" i="10" s="1"/>
  <c r="CE66" i="10"/>
  <c r="C432" i="10" s="1"/>
  <c r="BE65" i="10"/>
  <c r="CE65" i="10" s="1"/>
  <c r="C431" i="10" s="1"/>
  <c r="CE64" i="10"/>
  <c r="F612" i="10" s="1"/>
  <c r="CE63" i="10"/>
  <c r="C429" i="10" s="1"/>
  <c r="CE61" i="10"/>
  <c r="P48" i="10" s="1"/>
  <c r="P62" i="10" s="1"/>
  <c r="CE60" i="10"/>
  <c r="H612" i="10" s="1"/>
  <c r="B53" i="10"/>
  <c r="BE51" i="10"/>
  <c r="B49" i="10"/>
  <c r="BL48" i="10"/>
  <c r="BL62" i="10" s="1"/>
  <c r="CE47" i="10"/>
  <c r="AF48" i="10" l="1"/>
  <c r="AF62" i="10" s="1"/>
  <c r="D339" i="10"/>
  <c r="C482" i="10" s="1"/>
  <c r="D361" i="10"/>
  <c r="D368" i="10" s="1"/>
  <c r="D373" i="10" s="1"/>
  <c r="H527" i="10"/>
  <c r="AV48" i="10"/>
  <c r="AV62" i="10" s="1"/>
  <c r="E142" i="10"/>
  <c r="D464" i="10" s="1"/>
  <c r="D465" i="10" s="1"/>
  <c r="D240" i="10"/>
  <c r="B447" i="10" s="1"/>
  <c r="B438" i="10"/>
  <c r="E75" i="10"/>
  <c r="C204" i="10"/>
  <c r="D277" i="10"/>
  <c r="H506" i="10"/>
  <c r="F533" i="10"/>
  <c r="D292" i="10"/>
  <c r="D341" i="10" s="1"/>
  <c r="C481" i="10" s="1"/>
  <c r="CE76" i="10"/>
  <c r="H531" i="10"/>
  <c r="H499" i="10"/>
  <c r="F504" i="10"/>
  <c r="H525" i="10"/>
  <c r="H536" i="10"/>
  <c r="H502" i="10"/>
  <c r="H515" i="10"/>
  <c r="H545" i="10"/>
  <c r="F500" i="10"/>
  <c r="F513" i="10"/>
  <c r="F520" i="10"/>
  <c r="H532" i="10"/>
  <c r="H507" i="10"/>
  <c r="H528" i="10"/>
  <c r="H539" i="10"/>
  <c r="F496" i="10"/>
  <c r="F537" i="10"/>
  <c r="CA48" i="10"/>
  <c r="CA62" i="10" s="1"/>
  <c r="BW48" i="10"/>
  <c r="BW62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AU48" i="10"/>
  <c r="AU62" i="10" s="1"/>
  <c r="AQ48" i="10"/>
  <c r="AQ62" i="10" s="1"/>
  <c r="AM48" i="10"/>
  <c r="AM62" i="10" s="1"/>
  <c r="AI48" i="10"/>
  <c r="AI62" i="10" s="1"/>
  <c r="AE48" i="10"/>
  <c r="AE62" i="10" s="1"/>
  <c r="AA48" i="10"/>
  <c r="AA62" i="10" s="1"/>
  <c r="W48" i="10"/>
  <c r="W62" i="10" s="1"/>
  <c r="S48" i="10"/>
  <c r="S62" i="10" s="1"/>
  <c r="O48" i="10"/>
  <c r="O62" i="10" s="1"/>
  <c r="K48" i="10"/>
  <c r="K62" i="10" s="1"/>
  <c r="G48" i="10"/>
  <c r="G62" i="10" s="1"/>
  <c r="C48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Z48" i="10"/>
  <c r="Z62" i="10" s="1"/>
  <c r="R48" i="10"/>
  <c r="R62" i="10" s="1"/>
  <c r="J48" i="10"/>
  <c r="J62" i="10" s="1"/>
  <c r="CC48" i="10"/>
  <c r="CC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C427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V48" i="10"/>
  <c r="V62" i="10" s="1"/>
  <c r="N48" i="10"/>
  <c r="N62" i="10" s="1"/>
  <c r="F48" i="10"/>
  <c r="F62" i="10" s="1"/>
  <c r="BY48" i="10"/>
  <c r="BY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E48" i="10"/>
  <c r="E62" i="10" s="1"/>
  <c r="D48" i="10"/>
  <c r="D62" i="10" s="1"/>
  <c r="T48" i="10"/>
  <c r="T62" i="10" s="1"/>
  <c r="AZ48" i="10"/>
  <c r="AZ62" i="10" s="1"/>
  <c r="BP48" i="10"/>
  <c r="BP62" i="10" s="1"/>
  <c r="D612" i="10"/>
  <c r="CF76" i="10"/>
  <c r="CA52" i="10"/>
  <c r="CA67" i="10" s="1"/>
  <c r="BO52" i="10"/>
  <c r="BO67" i="10" s="1"/>
  <c r="CB52" i="10"/>
  <c r="CB67" i="10" s="1"/>
  <c r="BL52" i="10"/>
  <c r="BL67" i="10" s="1"/>
  <c r="BL71" i="10" s="1"/>
  <c r="BH52" i="10"/>
  <c r="BH67" i="10" s="1"/>
  <c r="AV52" i="10"/>
  <c r="AV67" i="10" s="1"/>
  <c r="AR52" i="10"/>
  <c r="AR67" i="10" s="1"/>
  <c r="AF52" i="10"/>
  <c r="AF67" i="10" s="1"/>
  <c r="AB52" i="10"/>
  <c r="AB67" i="10" s="1"/>
  <c r="P52" i="10"/>
  <c r="P67" i="10" s="1"/>
  <c r="P71" i="10" s="1"/>
  <c r="L52" i="10"/>
  <c r="L67" i="10" s="1"/>
  <c r="BU52" i="10"/>
  <c r="BU67" i="10" s="1"/>
  <c r="BK52" i="10"/>
  <c r="BK67" i="10" s="1"/>
  <c r="AM52" i="10"/>
  <c r="AM67" i="10" s="1"/>
  <c r="AE52" i="10"/>
  <c r="AE67" i="10" s="1"/>
  <c r="K52" i="10"/>
  <c r="K67" i="10" s="1"/>
  <c r="C52" i="10"/>
  <c r="BP52" i="10"/>
  <c r="BP67" i="10" s="1"/>
  <c r="BG52" i="10"/>
  <c r="BG67" i="10" s="1"/>
  <c r="AI52" i="10"/>
  <c r="AI67" i="10" s="1"/>
  <c r="AA52" i="10"/>
  <c r="AA67" i="10" s="1"/>
  <c r="BY52" i="10"/>
  <c r="BY67" i="10" s="1"/>
  <c r="BT52" i="10"/>
  <c r="BT67" i="10" s="1"/>
  <c r="BF52" i="10"/>
  <c r="BF67" i="10" s="1"/>
  <c r="AX52" i="10"/>
  <c r="AX67" i="10" s="1"/>
  <c r="AL52" i="10"/>
  <c r="AL67" i="10" s="1"/>
  <c r="AH52" i="10"/>
  <c r="AH67" i="10" s="1"/>
  <c r="V52" i="10"/>
  <c r="V67" i="10" s="1"/>
  <c r="R52" i="10"/>
  <c r="R67" i="10" s="1"/>
  <c r="F52" i="10"/>
  <c r="F67" i="10" s="1"/>
  <c r="H48" i="10"/>
  <c r="H62" i="10" s="1"/>
  <c r="X48" i="10"/>
  <c r="X62" i="10" s="1"/>
  <c r="AN48" i="10"/>
  <c r="AN62" i="10" s="1"/>
  <c r="BD48" i="10"/>
  <c r="BD62" i="10" s="1"/>
  <c r="BT48" i="10"/>
  <c r="BT62" i="10" s="1"/>
  <c r="BT71" i="10" s="1"/>
  <c r="CE51" i="10"/>
  <c r="Q52" i="10"/>
  <c r="Q67" i="10" s="1"/>
  <c r="AG52" i="10"/>
  <c r="AG67" i="10" s="1"/>
  <c r="L48" i="10"/>
  <c r="L62" i="10" s="1"/>
  <c r="AB48" i="10"/>
  <c r="AB62" i="10" s="1"/>
  <c r="AR48" i="10"/>
  <c r="AR62" i="10" s="1"/>
  <c r="BH48" i="10"/>
  <c r="BH62" i="10" s="1"/>
  <c r="BX48" i="10"/>
  <c r="BX62" i="10" s="1"/>
  <c r="AK52" i="10"/>
  <c r="AK67" i="10" s="1"/>
  <c r="BA52" i="10"/>
  <c r="BA67" i="10" s="1"/>
  <c r="CE75" i="10"/>
  <c r="AF71" i="10"/>
  <c r="CB48" i="10"/>
  <c r="CB62" i="10" s="1"/>
  <c r="AJ48" i="10"/>
  <c r="AJ62" i="10" s="1"/>
  <c r="C458" i="10"/>
  <c r="CE73" i="10"/>
  <c r="C463" i="10" s="1"/>
  <c r="G612" i="10"/>
  <c r="CF77" i="10"/>
  <c r="B440" i="10"/>
  <c r="B465" i="10"/>
  <c r="F498" i="10"/>
  <c r="CE74" i="10"/>
  <c r="C464" i="10" s="1"/>
  <c r="C473" i="10"/>
  <c r="C217" i="10"/>
  <c r="D433" i="10" s="1"/>
  <c r="E213" i="10"/>
  <c r="E217" i="10" s="1"/>
  <c r="C478" i="10" s="1"/>
  <c r="D242" i="10"/>
  <c r="B448" i="10" s="1"/>
  <c r="C445" i="10"/>
  <c r="F516" i="10"/>
  <c r="F526" i="10"/>
  <c r="F530" i="10"/>
  <c r="F534" i="10"/>
  <c r="F538" i="10"/>
  <c r="B464" i="10"/>
  <c r="H497" i="10"/>
  <c r="H501" i="10"/>
  <c r="H505" i="10"/>
  <c r="H517" i="10"/>
  <c r="F521" i="10"/>
  <c r="H523" i="10"/>
  <c r="E204" i="10"/>
  <c r="C476" i="10" s="1"/>
  <c r="D438" i="10"/>
  <c r="D390" i="10"/>
  <c r="C430" i="10"/>
  <c r="V71" i="10" l="1"/>
  <c r="BU71" i="10"/>
  <c r="BF71" i="10"/>
  <c r="AM71" i="10"/>
  <c r="L71" i="10"/>
  <c r="C677" i="10" s="1"/>
  <c r="AV71" i="10"/>
  <c r="C713" i="10" s="1"/>
  <c r="C557" i="10"/>
  <c r="C637" i="10"/>
  <c r="C551" i="10"/>
  <c r="C629" i="10"/>
  <c r="C704" i="10"/>
  <c r="C532" i="10"/>
  <c r="G532" i="10" s="1"/>
  <c r="B441" i="10"/>
  <c r="D391" i="10"/>
  <c r="D393" i="10" s="1"/>
  <c r="D396" i="10" s="1"/>
  <c r="Q71" i="10"/>
  <c r="BY71" i="10"/>
  <c r="BA71" i="10"/>
  <c r="AL71" i="10"/>
  <c r="K71" i="10"/>
  <c r="AA71" i="10"/>
  <c r="BG71" i="10"/>
  <c r="C681" i="10"/>
  <c r="C509" i="10"/>
  <c r="C641" i="10"/>
  <c r="C566" i="10"/>
  <c r="G71" i="10"/>
  <c r="C697" i="10"/>
  <c r="C525" i="10"/>
  <c r="G525" i="10" s="1"/>
  <c r="BE52" i="10"/>
  <c r="BE67" i="10" s="1"/>
  <c r="Y52" i="10"/>
  <c r="Y67" i="10" s="1"/>
  <c r="BX52" i="10"/>
  <c r="BX67" i="10" s="1"/>
  <c r="AO52" i="10"/>
  <c r="AO67" i="10" s="1"/>
  <c r="AO71" i="10" s="1"/>
  <c r="I52" i="10"/>
  <c r="I67" i="10" s="1"/>
  <c r="I71" i="10" s="1"/>
  <c r="CC52" i="10"/>
  <c r="CC67" i="10" s="1"/>
  <c r="CC71" i="10" s="1"/>
  <c r="BI52" i="10"/>
  <c r="BI67" i="10" s="1"/>
  <c r="AS52" i="10"/>
  <c r="AS67" i="10" s="1"/>
  <c r="AS71" i="10" s="1"/>
  <c r="AC52" i="10"/>
  <c r="AC67" i="10" s="1"/>
  <c r="M52" i="10"/>
  <c r="M67" i="10" s="1"/>
  <c r="M71" i="10" s="1"/>
  <c r="AH71" i="10"/>
  <c r="CB71" i="10"/>
  <c r="K612" i="10"/>
  <c r="C465" i="10"/>
  <c r="U52" i="10"/>
  <c r="U67" i="10" s="1"/>
  <c r="U71" i="10" s="1"/>
  <c r="AR71" i="10"/>
  <c r="BM52" i="10"/>
  <c r="BM67" i="10" s="1"/>
  <c r="J52" i="10"/>
  <c r="J67" i="10" s="1"/>
  <c r="J71" i="10" s="1"/>
  <c r="Z52" i="10"/>
  <c r="Z67" i="10" s="1"/>
  <c r="AP52" i="10"/>
  <c r="AP67" i="10" s="1"/>
  <c r="AP71" i="10" s="1"/>
  <c r="BJ52" i="10"/>
  <c r="BJ67" i="10" s="1"/>
  <c r="BJ71" i="10" s="1"/>
  <c r="G52" i="10"/>
  <c r="G67" i="10" s="1"/>
  <c r="AQ52" i="10"/>
  <c r="AQ67" i="10" s="1"/>
  <c r="AQ71" i="10" s="1"/>
  <c r="BZ52" i="10"/>
  <c r="BZ67" i="10" s="1"/>
  <c r="O52" i="10"/>
  <c r="O67" i="10" s="1"/>
  <c r="AU52" i="10"/>
  <c r="AU67" i="10" s="1"/>
  <c r="D52" i="10"/>
  <c r="D67" i="10" s="1"/>
  <c r="D71" i="10" s="1"/>
  <c r="T52" i="10"/>
  <c r="T67" i="10" s="1"/>
  <c r="T71" i="10" s="1"/>
  <c r="AJ52" i="10"/>
  <c r="AJ67" i="10" s="1"/>
  <c r="AJ71" i="10" s="1"/>
  <c r="AZ52" i="10"/>
  <c r="AZ67" i="10" s="1"/>
  <c r="AZ71" i="10" s="1"/>
  <c r="BQ52" i="10"/>
  <c r="BQ67" i="10" s="1"/>
  <c r="BQ71" i="10" s="1"/>
  <c r="BS52" i="10"/>
  <c r="BS67" i="10" s="1"/>
  <c r="BS71" i="10" s="1"/>
  <c r="Y71" i="10"/>
  <c r="BE71" i="10"/>
  <c r="F71" i="10"/>
  <c r="AC71" i="10"/>
  <c r="BI71" i="10"/>
  <c r="R71" i="10"/>
  <c r="BZ71" i="10"/>
  <c r="O71" i="10"/>
  <c r="AE71" i="10"/>
  <c r="AU71" i="10"/>
  <c r="BK71" i="10"/>
  <c r="CA71" i="10"/>
  <c r="BX71" i="10"/>
  <c r="C565" i="10"/>
  <c r="C640" i="10"/>
  <c r="C67" i="10"/>
  <c r="C687" i="10"/>
  <c r="C515" i="10"/>
  <c r="G515" i="10" s="1"/>
  <c r="BH71" i="10"/>
  <c r="BR52" i="10"/>
  <c r="BR67" i="10" s="1"/>
  <c r="BR71" i="10" s="1"/>
  <c r="E52" i="10"/>
  <c r="E67" i="10" s="1"/>
  <c r="E71" i="10" s="1"/>
  <c r="AB71" i="10"/>
  <c r="AW52" i="10"/>
  <c r="AW67" i="10" s="1"/>
  <c r="AW71" i="10" s="1"/>
  <c r="N52" i="10"/>
  <c r="N67" i="10" s="1"/>
  <c r="AD52" i="10"/>
  <c r="AD67" i="10" s="1"/>
  <c r="AD71" i="10" s="1"/>
  <c r="AT52" i="10"/>
  <c r="AT67" i="10" s="1"/>
  <c r="AT71" i="10" s="1"/>
  <c r="BN52" i="10"/>
  <c r="BN67" i="10" s="1"/>
  <c r="BN71" i="10" s="1"/>
  <c r="S52" i="10"/>
  <c r="S67" i="10" s="1"/>
  <c r="BC52" i="10"/>
  <c r="BC67" i="10" s="1"/>
  <c r="BC71" i="10" s="1"/>
  <c r="BB52" i="10"/>
  <c r="BB67" i="10" s="1"/>
  <c r="BB71" i="10" s="1"/>
  <c r="W52" i="10"/>
  <c r="W67" i="10" s="1"/>
  <c r="W71" i="10" s="1"/>
  <c r="AY52" i="10"/>
  <c r="AY67" i="10" s="1"/>
  <c r="H52" i="10"/>
  <c r="H67" i="10" s="1"/>
  <c r="H71" i="10" s="1"/>
  <c r="X52" i="10"/>
  <c r="X67" i="10" s="1"/>
  <c r="X71" i="10" s="1"/>
  <c r="AN52" i="10"/>
  <c r="AN67" i="10" s="1"/>
  <c r="AN71" i="10" s="1"/>
  <c r="BD52" i="10"/>
  <c r="BD67" i="10" s="1"/>
  <c r="BD71" i="10" s="1"/>
  <c r="BV52" i="10"/>
  <c r="BV67" i="10" s="1"/>
  <c r="BV71" i="10" s="1"/>
  <c r="BW52" i="10"/>
  <c r="BW67" i="10" s="1"/>
  <c r="BW71" i="10" s="1"/>
  <c r="BP71" i="10"/>
  <c r="AG71" i="10"/>
  <c r="BM71" i="10"/>
  <c r="N71" i="10"/>
  <c r="AX71" i="10"/>
  <c r="AK71" i="10"/>
  <c r="Z71" i="10"/>
  <c r="CE48" i="10"/>
  <c r="C62" i="10"/>
  <c r="S71" i="10"/>
  <c r="AI71" i="10"/>
  <c r="AY71" i="10"/>
  <c r="BO71" i="10"/>
  <c r="C541" i="10" l="1"/>
  <c r="C505" i="10"/>
  <c r="G505" i="10" s="1"/>
  <c r="C705" i="10"/>
  <c r="C533" i="10"/>
  <c r="G533" i="10" s="1"/>
  <c r="C559" i="10"/>
  <c r="C619" i="10"/>
  <c r="C701" i="10"/>
  <c r="C529" i="10"/>
  <c r="G529" i="10" s="1"/>
  <c r="C678" i="10"/>
  <c r="C506" i="10"/>
  <c r="G506" i="10" s="1"/>
  <c r="C689" i="10"/>
  <c r="C517" i="10"/>
  <c r="G517" i="10" s="1"/>
  <c r="C711" i="10"/>
  <c r="C539" i="10"/>
  <c r="G539" i="10" s="1"/>
  <c r="C639" i="10"/>
  <c r="C564" i="10"/>
  <c r="C685" i="10"/>
  <c r="C513" i="10"/>
  <c r="G513" i="10" s="1"/>
  <c r="C567" i="10"/>
  <c r="C642" i="10"/>
  <c r="C673" i="10"/>
  <c r="C501" i="10"/>
  <c r="G501" i="10" s="1"/>
  <c r="C633" i="10"/>
  <c r="C548" i="10"/>
  <c r="C695" i="10"/>
  <c r="C523" i="10"/>
  <c r="G523" i="10" s="1"/>
  <c r="C623" i="10"/>
  <c r="C562" i="10"/>
  <c r="C669" i="10"/>
  <c r="C497" i="10"/>
  <c r="G497" i="10" s="1"/>
  <c r="C708" i="10"/>
  <c r="C536" i="10"/>
  <c r="G536" i="10" s="1"/>
  <c r="C686" i="10"/>
  <c r="C514" i="10"/>
  <c r="C710" i="10"/>
  <c r="C538" i="10"/>
  <c r="G538" i="10" s="1"/>
  <c r="C706" i="10"/>
  <c r="C534" i="10"/>
  <c r="G534" i="10" s="1"/>
  <c r="C688" i="10"/>
  <c r="C516" i="10"/>
  <c r="G516" i="10" s="1"/>
  <c r="C555" i="10"/>
  <c r="C617" i="10"/>
  <c r="C643" i="10"/>
  <c r="C568" i="10"/>
  <c r="C632" i="10"/>
  <c r="C547" i="10"/>
  <c r="C707" i="10"/>
  <c r="C535" i="10"/>
  <c r="C624" i="10"/>
  <c r="C549" i="10"/>
  <c r="C563" i="10"/>
  <c r="C626" i="10"/>
  <c r="C628" i="10"/>
  <c r="C545" i="10"/>
  <c r="G545" i="10" s="1"/>
  <c r="C675" i="10"/>
  <c r="C503" i="10"/>
  <c r="C702" i="10"/>
  <c r="C530" i="10"/>
  <c r="G530" i="10" s="1"/>
  <c r="C698" i="10"/>
  <c r="C526" i="10"/>
  <c r="C635" i="10"/>
  <c r="C556" i="10"/>
  <c r="C694" i="10"/>
  <c r="C522" i="10"/>
  <c r="C709" i="10"/>
  <c r="C537" i="10"/>
  <c r="G537" i="10" s="1"/>
  <c r="C631" i="10"/>
  <c r="C542" i="10"/>
  <c r="C672" i="10"/>
  <c r="C500" i="10"/>
  <c r="G500" i="10" s="1"/>
  <c r="C618" i="10"/>
  <c r="C552" i="10"/>
  <c r="C703" i="10"/>
  <c r="C531" i="10"/>
  <c r="G531" i="10" s="1"/>
  <c r="C645" i="10"/>
  <c r="C570" i="10"/>
  <c r="C528" i="10"/>
  <c r="G528" i="10" s="1"/>
  <c r="C700" i="10"/>
  <c r="C543" i="10"/>
  <c r="C616" i="10"/>
  <c r="C670" i="10"/>
  <c r="C498" i="10"/>
  <c r="C674" i="10"/>
  <c r="C502" i="10"/>
  <c r="G502" i="10" s="1"/>
  <c r="C712" i="10"/>
  <c r="C540" i="10"/>
  <c r="G540" i="10" s="1"/>
  <c r="C690" i="10"/>
  <c r="C518" i="10"/>
  <c r="G509" i="10"/>
  <c r="H509" i="10"/>
  <c r="C682" i="10"/>
  <c r="C510" i="10"/>
  <c r="C691" i="10"/>
  <c r="C519" i="10"/>
  <c r="G519" i="10" s="1"/>
  <c r="C679" i="10"/>
  <c r="C507" i="10"/>
  <c r="G507" i="10" s="1"/>
  <c r="C561" i="10"/>
  <c r="C621" i="10"/>
  <c r="C620" i="10"/>
  <c r="C574" i="10"/>
  <c r="CE52" i="10"/>
  <c r="C569" i="10"/>
  <c r="C644" i="10"/>
  <c r="C696" i="10"/>
  <c r="C524" i="10"/>
  <c r="C683" i="10"/>
  <c r="C511" i="10"/>
  <c r="C692" i="10"/>
  <c r="C520" i="10"/>
  <c r="G520" i="10" s="1"/>
  <c r="C546" i="10"/>
  <c r="C630" i="10"/>
  <c r="C544" i="10"/>
  <c r="C625" i="10"/>
  <c r="C693" i="10"/>
  <c r="C521" i="10"/>
  <c r="C571" i="10"/>
  <c r="C646" i="10"/>
  <c r="C614" i="10"/>
  <c r="C550" i="10"/>
  <c r="C573" i="10"/>
  <c r="C622" i="10"/>
  <c r="C684" i="10"/>
  <c r="C512" i="10"/>
  <c r="C627" i="10"/>
  <c r="C560" i="10"/>
  <c r="C71" i="10"/>
  <c r="CE62" i="10"/>
  <c r="C638" i="10"/>
  <c r="C558" i="10"/>
  <c r="C553" i="10"/>
  <c r="C636" i="10"/>
  <c r="CE67" i="10"/>
  <c r="C433" i="10" s="1"/>
  <c r="C647" i="10"/>
  <c r="C572" i="10"/>
  <c r="C508" i="10"/>
  <c r="C680" i="10"/>
  <c r="C634" i="10"/>
  <c r="C554" i="10"/>
  <c r="C671" i="10"/>
  <c r="C499" i="10"/>
  <c r="G499" i="10" s="1"/>
  <c r="C699" i="10"/>
  <c r="C527" i="10"/>
  <c r="G527" i="10" s="1"/>
  <c r="C676" i="10"/>
  <c r="C504" i="10"/>
  <c r="G504" i="10" s="1"/>
  <c r="G524" i="10" l="1"/>
  <c r="H524" i="10"/>
  <c r="G544" i="10"/>
  <c r="H544" i="10"/>
  <c r="G508" i="10"/>
  <c r="H508" i="10"/>
  <c r="C428" i="10"/>
  <c r="C441" i="10" s="1"/>
  <c r="CE71" i="10"/>
  <c r="C716" i="10" s="1"/>
  <c r="G512" i="10"/>
  <c r="H512" i="10"/>
  <c r="G550" i="10"/>
  <c r="H550" i="10"/>
  <c r="G521" i="10"/>
  <c r="H521" i="10"/>
  <c r="H511" i="10"/>
  <c r="G511" i="10"/>
  <c r="G510" i="10"/>
  <c r="H510" i="10"/>
  <c r="G518" i="10"/>
  <c r="H518" i="10" s="1"/>
  <c r="G522" i="10"/>
  <c r="H522" i="10"/>
  <c r="G526" i="10"/>
  <c r="H526" i="10"/>
  <c r="G503" i="10"/>
  <c r="H503" i="10" s="1"/>
  <c r="G535" i="10"/>
  <c r="H535" i="10"/>
  <c r="G498" i="10"/>
  <c r="H498" i="10"/>
  <c r="G514" i="10"/>
  <c r="H514" i="10"/>
  <c r="C668" i="10"/>
  <c r="C496" i="10"/>
  <c r="G496" i="10" s="1"/>
  <c r="C715" i="10"/>
  <c r="C648" i="10"/>
  <c r="M716" i="10" s="1"/>
  <c r="D615" i="10"/>
  <c r="G546" i="10"/>
  <c r="H546" i="10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2" i="10"/>
  <c r="D678" i="10"/>
  <c r="D674" i="10"/>
  <c r="D670" i="10"/>
  <c r="D647" i="10"/>
  <c r="D646" i="10"/>
  <c r="D645" i="10"/>
  <c r="D629" i="10"/>
  <c r="D626" i="10"/>
  <c r="D623" i="10"/>
  <c r="D621" i="10"/>
  <c r="D619" i="10"/>
  <c r="D617" i="10"/>
  <c r="D705" i="10"/>
  <c r="D689" i="10"/>
  <c r="D683" i="10"/>
  <c r="D679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9" i="10"/>
  <c r="D693" i="10"/>
  <c r="D684" i="10"/>
  <c r="D680" i="10"/>
  <c r="D676" i="10"/>
  <c r="D672" i="10"/>
  <c r="D668" i="10"/>
  <c r="D697" i="10"/>
  <c r="D681" i="10"/>
  <c r="D713" i="10"/>
  <c r="D685" i="10"/>
  <c r="D669" i="10"/>
  <c r="D620" i="10"/>
  <c r="D616" i="10"/>
  <c r="D673" i="10"/>
  <c r="D627" i="10"/>
  <c r="D628" i="10"/>
  <c r="D618" i="10"/>
  <c r="D622" i="10"/>
  <c r="D677" i="10"/>
  <c r="D715" i="10" l="1"/>
  <c r="E623" i="10"/>
  <c r="E612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02" i="10"/>
  <c r="E686" i="10"/>
  <c r="E684" i="10"/>
  <c r="E680" i="10"/>
  <c r="E676" i="10"/>
  <c r="E672" i="10"/>
  <c r="E668" i="10"/>
  <c r="E628" i="10"/>
  <c r="E706" i="10"/>
  <c r="E690" i="10"/>
  <c r="E685" i="10"/>
  <c r="E681" i="10"/>
  <c r="E677" i="10"/>
  <c r="E673" i="10"/>
  <c r="E669" i="10"/>
  <c r="E678" i="10"/>
  <c r="E646" i="10"/>
  <c r="E629" i="10"/>
  <c r="E626" i="10"/>
  <c r="E682" i="10"/>
  <c r="E627" i="10"/>
  <c r="E694" i="10"/>
  <c r="E670" i="10"/>
  <c r="E647" i="10"/>
  <c r="E645" i="10"/>
  <c r="E710" i="10"/>
  <c r="E674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4" i="10"/>
  <c r="F680" i="10"/>
  <c r="F676" i="10"/>
  <c r="F672" i="10"/>
  <c r="F668" i="10"/>
  <c r="F628" i="10"/>
  <c r="F716" i="10"/>
  <c r="F699" i="10"/>
  <c r="F681" i="10"/>
  <c r="F677" i="10"/>
  <c r="F673" i="10"/>
  <c r="F669" i="10"/>
  <c r="F627" i="10"/>
  <c r="F703" i="10"/>
  <c r="F687" i="10"/>
  <c r="F682" i="10"/>
  <c r="F678" i="10"/>
  <c r="F674" i="10"/>
  <c r="F670" i="10"/>
  <c r="F647" i="10"/>
  <c r="F646" i="10"/>
  <c r="F645" i="10"/>
  <c r="F691" i="10"/>
  <c r="F675" i="10"/>
  <c r="F644" i="10"/>
  <c r="F642" i="10"/>
  <c r="F640" i="10"/>
  <c r="F639" i="10"/>
  <c r="F638" i="10"/>
  <c r="F637" i="10"/>
  <c r="F636" i="10"/>
  <c r="F635" i="10"/>
  <c r="F634" i="10"/>
  <c r="F633" i="10"/>
  <c r="F632" i="10"/>
  <c r="F631" i="10"/>
  <c r="F630" i="10"/>
  <c r="F707" i="10"/>
  <c r="F679" i="10"/>
  <c r="F683" i="10"/>
  <c r="F643" i="10"/>
  <c r="F641" i="10"/>
  <c r="F625" i="10"/>
  <c r="F629" i="10"/>
  <c r="F626" i="10"/>
  <c r="F671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1" i="10"/>
  <c r="G677" i="10"/>
  <c r="G673" i="10"/>
  <c r="G669" i="10"/>
  <c r="G627" i="10"/>
  <c r="G712" i="10"/>
  <c r="G696" i="10"/>
  <c r="G682" i="10"/>
  <c r="G678" i="10"/>
  <c r="G674" i="10"/>
  <c r="G670" i="10"/>
  <c r="G647" i="10"/>
  <c r="G646" i="10"/>
  <c r="G645" i="10"/>
  <c r="G629" i="10"/>
  <c r="G626" i="10"/>
  <c r="G700" i="10"/>
  <c r="G683" i="10"/>
  <c r="G679" i="10"/>
  <c r="G675" i="10"/>
  <c r="G671" i="10"/>
  <c r="G644" i="10"/>
  <c r="G643" i="10"/>
  <c r="G642" i="10"/>
  <c r="G641" i="10"/>
  <c r="G640" i="10"/>
  <c r="G672" i="10"/>
  <c r="G676" i="10"/>
  <c r="G688" i="10"/>
  <c r="G680" i="10"/>
  <c r="G628" i="10"/>
  <c r="H628" i="10" s="1"/>
  <c r="G668" i="10"/>
  <c r="G636" i="10"/>
  <c r="G632" i="10"/>
  <c r="G637" i="10"/>
  <c r="G633" i="10"/>
  <c r="G704" i="10"/>
  <c r="G684" i="10"/>
  <c r="G639" i="10"/>
  <c r="G635" i="10"/>
  <c r="G631" i="10"/>
  <c r="G638" i="10"/>
  <c r="G634" i="10"/>
  <c r="G630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2" i="10"/>
  <c r="H678" i="10"/>
  <c r="H674" i="10"/>
  <c r="H670" i="10"/>
  <c r="H647" i="10"/>
  <c r="H646" i="10"/>
  <c r="H645" i="10"/>
  <c r="H629" i="10"/>
  <c r="H709" i="10"/>
  <c r="H693" i="10"/>
  <c r="H685" i="10"/>
  <c r="H683" i="10"/>
  <c r="H679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3" i="10"/>
  <c r="H697" i="10"/>
  <c r="H684" i="10"/>
  <c r="H680" i="10"/>
  <c r="H676" i="10"/>
  <c r="H672" i="10"/>
  <c r="H668" i="10"/>
  <c r="H669" i="10"/>
  <c r="H701" i="10"/>
  <c r="H673" i="10"/>
  <c r="H677" i="10"/>
  <c r="H681" i="10"/>
  <c r="G715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5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6" i="10"/>
  <c r="I690" i="10"/>
  <c r="I684" i="10"/>
  <c r="I680" i="10"/>
  <c r="I676" i="10"/>
  <c r="I672" i="10"/>
  <c r="I668" i="10"/>
  <c r="I710" i="10"/>
  <c r="I694" i="10"/>
  <c r="I681" i="10"/>
  <c r="I677" i="10"/>
  <c r="I673" i="10"/>
  <c r="I669" i="10"/>
  <c r="I682" i="10"/>
  <c r="I670" i="10"/>
  <c r="I647" i="10"/>
  <c r="I645" i="10"/>
  <c r="I674" i="10"/>
  <c r="I678" i="10"/>
  <c r="I646" i="10"/>
  <c r="I69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4" i="10"/>
  <c r="J680" i="10"/>
  <c r="J676" i="10"/>
  <c r="J672" i="10"/>
  <c r="J668" i="10"/>
  <c r="J703" i="10"/>
  <c r="J687" i="10"/>
  <c r="J681" i="10"/>
  <c r="J677" i="10"/>
  <c r="J673" i="10"/>
  <c r="J669" i="10"/>
  <c r="J707" i="10"/>
  <c r="J691" i="10"/>
  <c r="J682" i="10"/>
  <c r="J678" i="10"/>
  <c r="J674" i="10"/>
  <c r="J670" i="10"/>
  <c r="J647" i="10"/>
  <c r="L647" i="10" s="1"/>
  <c r="J646" i="10"/>
  <c r="J645" i="10"/>
  <c r="J679" i="10"/>
  <c r="J695" i="10"/>
  <c r="J683" i="10"/>
  <c r="J643" i="10"/>
  <c r="J641" i="10"/>
  <c r="J711" i="10"/>
  <c r="J671" i="10"/>
  <c r="J639" i="10"/>
  <c r="J638" i="10"/>
  <c r="J637" i="10"/>
  <c r="J636" i="10"/>
  <c r="J635" i="10"/>
  <c r="J634" i="10"/>
  <c r="J633" i="10"/>
  <c r="J632" i="10"/>
  <c r="J631" i="10"/>
  <c r="J640" i="10"/>
  <c r="J675" i="10"/>
  <c r="J642" i="10"/>
  <c r="J644" i="10"/>
  <c r="L710" i="10" l="1"/>
  <c r="L706" i="10"/>
  <c r="L702" i="10"/>
  <c r="L698" i="10"/>
  <c r="L694" i="10"/>
  <c r="L690" i="10"/>
  <c r="L686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2" i="10"/>
  <c r="L678" i="10"/>
  <c r="L674" i="10"/>
  <c r="L670" i="10"/>
  <c r="L713" i="10"/>
  <c r="L697" i="10"/>
  <c r="L683" i="10"/>
  <c r="L679" i="10"/>
  <c r="L675" i="10"/>
  <c r="L671" i="10"/>
  <c r="L701" i="10"/>
  <c r="L684" i="10"/>
  <c r="L680" i="10"/>
  <c r="L676" i="10"/>
  <c r="L672" i="10"/>
  <c r="L668" i="10"/>
  <c r="L685" i="10"/>
  <c r="L673" i="10"/>
  <c r="L689" i="10"/>
  <c r="L677" i="10"/>
  <c r="L705" i="10"/>
  <c r="L681" i="10"/>
  <c r="L669" i="10"/>
  <c r="K644" i="10"/>
  <c r="J715" i="10"/>
  <c r="M675" i="10" l="1"/>
  <c r="M682" i="10"/>
  <c r="M708" i="10"/>
  <c r="M710" i="10"/>
  <c r="K713" i="10"/>
  <c r="M713" i="10" s="1"/>
  <c r="K709" i="10"/>
  <c r="M709" i="10" s="1"/>
  <c r="K705" i="10"/>
  <c r="M705" i="10" s="1"/>
  <c r="K701" i="10"/>
  <c r="K697" i="10"/>
  <c r="M697" i="10" s="1"/>
  <c r="K693" i="10"/>
  <c r="M693" i="10" s="1"/>
  <c r="K689" i="10"/>
  <c r="K685" i="10"/>
  <c r="M685" i="10" s="1"/>
  <c r="K710" i="10"/>
  <c r="K706" i="10"/>
  <c r="M706" i="10" s="1"/>
  <c r="K702" i="10"/>
  <c r="K698" i="10"/>
  <c r="K694" i="10"/>
  <c r="M694" i="10" s="1"/>
  <c r="K690" i="10"/>
  <c r="M690" i="10" s="1"/>
  <c r="K686" i="10"/>
  <c r="K716" i="10"/>
  <c r="K711" i="10"/>
  <c r="M711" i="10" s="1"/>
  <c r="K707" i="10"/>
  <c r="M707" i="10" s="1"/>
  <c r="K703" i="10"/>
  <c r="K699" i="10"/>
  <c r="M699" i="10" s="1"/>
  <c r="K695" i="10"/>
  <c r="M695" i="10" s="1"/>
  <c r="K691" i="10"/>
  <c r="M691" i="10" s="1"/>
  <c r="K687" i="10"/>
  <c r="K712" i="10"/>
  <c r="K696" i="10"/>
  <c r="K681" i="10"/>
  <c r="M681" i="10" s="1"/>
  <c r="K677" i="10"/>
  <c r="K673" i="10"/>
  <c r="M673" i="10" s="1"/>
  <c r="K669" i="10"/>
  <c r="M669" i="10" s="1"/>
  <c r="K700" i="10"/>
  <c r="M700" i="10" s="1"/>
  <c r="K682" i="10"/>
  <c r="K678" i="10"/>
  <c r="M678" i="10" s="1"/>
  <c r="K674" i="10"/>
  <c r="K670" i="10"/>
  <c r="M670" i="10" s="1"/>
  <c r="K704" i="10"/>
  <c r="M704" i="10" s="1"/>
  <c r="K688" i="10"/>
  <c r="M688" i="10" s="1"/>
  <c r="K683" i="10"/>
  <c r="M683" i="10" s="1"/>
  <c r="K679" i="10"/>
  <c r="M679" i="10" s="1"/>
  <c r="K675" i="10"/>
  <c r="K671" i="10"/>
  <c r="M671" i="10" s="1"/>
  <c r="K708" i="10"/>
  <c r="K676" i="10"/>
  <c r="M676" i="10" s="1"/>
  <c r="K680" i="10"/>
  <c r="M680" i="10" s="1"/>
  <c r="K684" i="10"/>
  <c r="M684" i="10" s="1"/>
  <c r="K668" i="10"/>
  <c r="M668" i="10" s="1"/>
  <c r="K692" i="10"/>
  <c r="M692" i="10" s="1"/>
  <c r="K672" i="10"/>
  <c r="M677" i="10"/>
  <c r="L715" i="10"/>
  <c r="M696" i="10"/>
  <c r="M712" i="10"/>
  <c r="M698" i="10"/>
  <c r="M689" i="10"/>
  <c r="M672" i="10"/>
  <c r="M701" i="10"/>
  <c r="M674" i="10"/>
  <c r="M687" i="10"/>
  <c r="M703" i="10"/>
  <c r="M686" i="10"/>
  <c r="M702" i="10"/>
  <c r="M715" i="10" l="1"/>
  <c r="K715" i="10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I48" i="1" s="1"/>
  <c r="BI62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816" i="1"/>
  <c r="N766" i="1"/>
  <c r="N760" i="1"/>
  <c r="N743" i="1"/>
  <c r="N769" i="1"/>
  <c r="N758" i="1"/>
  <c r="N753" i="1"/>
  <c r="C16" i="8"/>
  <c r="F12" i="6"/>
  <c r="C469" i="1"/>
  <c r="F8" i="6"/>
  <c r="G122" i="9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AW48" i="1"/>
  <c r="AW62" i="1" s="1"/>
  <c r="E780" i="1" s="1"/>
  <c r="Q48" i="1"/>
  <c r="Q62" i="1" s="1"/>
  <c r="N765" i="1"/>
  <c r="N757" i="1"/>
  <c r="C615" i="1"/>
  <c r="E372" i="9"/>
  <c r="BR48" i="1"/>
  <c r="BR62" i="1" s="1"/>
  <c r="N48" i="1"/>
  <c r="N62" i="1" s="1"/>
  <c r="K814" i="10" l="1"/>
  <c r="T814" i="10"/>
  <c r="H814" i="10"/>
  <c r="R814" i="10"/>
  <c r="G10" i="4"/>
  <c r="N747" i="1"/>
  <c r="D186" i="9"/>
  <c r="B440" i="1"/>
  <c r="C141" i="8"/>
  <c r="N817" i="1"/>
  <c r="C112" i="8"/>
  <c r="D330" i="1"/>
  <c r="C86" i="8" s="1"/>
  <c r="C473" i="1"/>
  <c r="P816" i="1"/>
  <c r="G90" i="9"/>
  <c r="D368" i="1"/>
  <c r="C120" i="8" s="1"/>
  <c r="C119" i="8"/>
  <c r="B10" i="4"/>
  <c r="Q816" i="1"/>
  <c r="CF77" i="1"/>
  <c r="I381" i="9"/>
  <c r="I372" i="9"/>
  <c r="M816" i="1"/>
  <c r="C90" i="9"/>
  <c r="H58" i="9"/>
  <c r="K816" i="1"/>
  <c r="C434" i="1"/>
  <c r="F815" i="1"/>
  <c r="N737" i="1"/>
  <c r="C464" i="1"/>
  <c r="C430" i="1"/>
  <c r="I366" i="9"/>
  <c r="G816" i="1"/>
  <c r="D48" i="1"/>
  <c r="D62" i="1" s="1"/>
  <c r="O48" i="1"/>
  <c r="O62" i="1" s="1"/>
  <c r="H44" i="9" s="1"/>
  <c r="L48" i="1"/>
  <c r="L62" i="1" s="1"/>
  <c r="E743" i="1" s="1"/>
  <c r="BS48" i="1"/>
  <c r="BS62" i="1" s="1"/>
  <c r="E802" i="1" s="1"/>
  <c r="AD48" i="1"/>
  <c r="AD62" i="1" s="1"/>
  <c r="E761" i="1" s="1"/>
  <c r="BQ48" i="1"/>
  <c r="BQ62" i="1" s="1"/>
  <c r="F300" i="9" s="1"/>
  <c r="AT48" i="1"/>
  <c r="AT62" i="1" s="1"/>
  <c r="D204" i="9" s="1"/>
  <c r="BP48" i="1"/>
  <c r="BP62" i="1" s="1"/>
  <c r="E799" i="1" s="1"/>
  <c r="AJ48" i="1"/>
  <c r="AJ62" i="1" s="1"/>
  <c r="E767" i="1" s="1"/>
  <c r="BY48" i="1"/>
  <c r="BY62" i="1" s="1"/>
  <c r="E808" i="1" s="1"/>
  <c r="BE48" i="1"/>
  <c r="BE62" i="1" s="1"/>
  <c r="H236" i="9" s="1"/>
  <c r="AU48" i="1"/>
  <c r="AU62" i="1" s="1"/>
  <c r="AL48" i="1"/>
  <c r="AL62" i="1" s="1"/>
  <c r="C172" i="9" s="1"/>
  <c r="U48" i="1"/>
  <c r="U62" i="1" s="1"/>
  <c r="G76" i="9" s="1"/>
  <c r="AZ48" i="1"/>
  <c r="AZ62" i="1" s="1"/>
  <c r="C236" i="9" s="1"/>
  <c r="AA48" i="1"/>
  <c r="AA62" i="1" s="1"/>
  <c r="F108" i="9" s="1"/>
  <c r="BB48" i="1"/>
  <c r="BB62" i="1" s="1"/>
  <c r="E236" i="9" s="1"/>
  <c r="BG48" i="1"/>
  <c r="BG62" i="1" s="1"/>
  <c r="C268" i="9" s="1"/>
  <c r="J48" i="1"/>
  <c r="J62" i="1" s="1"/>
  <c r="BJ48" i="1"/>
  <c r="BJ62" i="1" s="1"/>
  <c r="F268" i="9" s="1"/>
  <c r="BO48" i="1"/>
  <c r="BO62" i="1" s="1"/>
  <c r="D815" i="1"/>
  <c r="E268" i="9"/>
  <c r="E792" i="1"/>
  <c r="AF48" i="1"/>
  <c r="AF62" i="1" s="1"/>
  <c r="E763" i="1" s="1"/>
  <c r="AV48" i="1"/>
  <c r="AV62" i="1" s="1"/>
  <c r="F204" i="9" s="1"/>
  <c r="BL48" i="1"/>
  <c r="BL62" i="1" s="1"/>
  <c r="CA48" i="1"/>
  <c r="CA62" i="1" s="1"/>
  <c r="I332" i="9" s="1"/>
  <c r="C48" i="1"/>
  <c r="C62" i="1" s="1"/>
  <c r="E734" i="1" s="1"/>
  <c r="AI48" i="1"/>
  <c r="AI62" i="1" s="1"/>
  <c r="E766" i="1" s="1"/>
  <c r="AG48" i="1"/>
  <c r="AG62" i="1" s="1"/>
  <c r="E140" i="9" s="1"/>
  <c r="AK48" i="1"/>
  <c r="AK62" i="1" s="1"/>
  <c r="E768" i="1" s="1"/>
  <c r="D816" i="1"/>
  <c r="AS48" i="1"/>
  <c r="AS62" i="1" s="1"/>
  <c r="F48" i="1"/>
  <c r="F62" i="1" s="1"/>
  <c r="AH48" i="1"/>
  <c r="AH62" i="1" s="1"/>
  <c r="E765" i="1" s="1"/>
  <c r="AX48" i="1"/>
  <c r="AX62" i="1" s="1"/>
  <c r="E781" i="1" s="1"/>
  <c r="BN48" i="1"/>
  <c r="BN62" i="1" s="1"/>
  <c r="C300" i="9" s="1"/>
  <c r="AY48" i="1"/>
  <c r="AY62" i="1" s="1"/>
  <c r="E782" i="1" s="1"/>
  <c r="AO48" i="1"/>
  <c r="AO62" i="1" s="1"/>
  <c r="BA48" i="1"/>
  <c r="BA62" i="1" s="1"/>
  <c r="AE48" i="1"/>
  <c r="AE62" i="1" s="1"/>
  <c r="W48" i="1"/>
  <c r="W62" i="1" s="1"/>
  <c r="E754" i="1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BW48" i="1"/>
  <c r="BW62" i="1" s="1"/>
  <c r="E806" i="1" s="1"/>
  <c r="BM48" i="1"/>
  <c r="BM62" i="1" s="1"/>
  <c r="G48" i="1"/>
  <c r="G62" i="1" s="1"/>
  <c r="G12" i="9" s="1"/>
  <c r="X48" i="1"/>
  <c r="X62" i="1" s="1"/>
  <c r="V48" i="1"/>
  <c r="V62" i="1" s="1"/>
  <c r="E753" i="1" s="1"/>
  <c r="AP48" i="1"/>
  <c r="AP62" i="1" s="1"/>
  <c r="G172" i="9" s="1"/>
  <c r="BF48" i="1"/>
  <c r="BF62" i="1" s="1"/>
  <c r="E789" i="1" s="1"/>
  <c r="BV48" i="1"/>
  <c r="BV62" i="1" s="1"/>
  <c r="CC48" i="1"/>
  <c r="CC62" i="1" s="1"/>
  <c r="E812" i="1" s="1"/>
  <c r="BU48" i="1"/>
  <c r="BU62" i="1" s="1"/>
  <c r="AB48" i="1"/>
  <c r="AB62" i="1" s="1"/>
  <c r="G108" i="9" s="1"/>
  <c r="Z48" i="1"/>
  <c r="Z62" i="1" s="1"/>
  <c r="E757" i="1" s="1"/>
  <c r="AR48" i="1"/>
  <c r="AR62" i="1" s="1"/>
  <c r="I172" i="9" s="1"/>
  <c r="BH48" i="1"/>
  <c r="BH62" i="1" s="1"/>
  <c r="E791" i="1" s="1"/>
  <c r="BX48" i="1"/>
  <c r="BX62" i="1" s="1"/>
  <c r="E807" i="1" s="1"/>
  <c r="K48" i="1"/>
  <c r="K62" i="1" s="1"/>
  <c r="I48" i="1"/>
  <c r="I62" i="1" s="1"/>
  <c r="E48" i="1"/>
  <c r="E62" i="1" s="1"/>
  <c r="E736" i="1" s="1"/>
  <c r="P814" i="10"/>
  <c r="F814" i="10"/>
  <c r="E373" i="9"/>
  <c r="C575" i="1"/>
  <c r="E752" i="10"/>
  <c r="C14" i="5"/>
  <c r="D428" i="1"/>
  <c r="D612" i="1"/>
  <c r="CF76" i="1"/>
  <c r="BT52" i="1" s="1"/>
  <c r="BT67" i="1" s="1"/>
  <c r="E748" i="1"/>
  <c r="C76" i="9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D12" i="9"/>
  <c r="E735" i="1"/>
  <c r="G332" i="9"/>
  <c r="G44" i="9"/>
  <c r="E745" i="1"/>
  <c r="E801" i="1"/>
  <c r="G300" i="9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G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E746" i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800" i="1" l="1"/>
  <c r="AA52" i="1"/>
  <c r="AA67" i="1" s="1"/>
  <c r="D52" i="1"/>
  <c r="D67" i="1" s="1"/>
  <c r="D71" i="1" s="1"/>
  <c r="C497" i="1" s="1"/>
  <c r="G497" i="1" s="1"/>
  <c r="CB52" i="1"/>
  <c r="CB67" i="1" s="1"/>
  <c r="BD52" i="1"/>
  <c r="BD67" i="1" s="1"/>
  <c r="BD71" i="1" s="1"/>
  <c r="C624" i="1" s="1"/>
  <c r="BM52" i="1"/>
  <c r="BM67" i="1" s="1"/>
  <c r="I273" i="9" s="1"/>
  <c r="J803" i="1"/>
  <c r="I305" i="9"/>
  <c r="AB52" i="1"/>
  <c r="AB67" i="1" s="1"/>
  <c r="G113" i="9" s="1"/>
  <c r="H52" i="1"/>
  <c r="H67" i="1" s="1"/>
  <c r="J739" i="1" s="1"/>
  <c r="J52" i="1"/>
  <c r="J67" i="1" s="1"/>
  <c r="AH52" i="1"/>
  <c r="AH67" i="1" s="1"/>
  <c r="F145" i="9" s="1"/>
  <c r="AY52" i="1"/>
  <c r="AY67" i="1" s="1"/>
  <c r="AY71" i="1" s="1"/>
  <c r="I213" i="9" s="1"/>
  <c r="AK52" i="1"/>
  <c r="AK67" i="1" s="1"/>
  <c r="AK71" i="1" s="1"/>
  <c r="C530" i="1" s="1"/>
  <c r="G530" i="1" s="1"/>
  <c r="BY52" i="1"/>
  <c r="BY67" i="1" s="1"/>
  <c r="BY71" i="1" s="1"/>
  <c r="G341" i="9" s="1"/>
  <c r="AF52" i="1"/>
  <c r="AF67" i="1" s="1"/>
  <c r="J763" i="1" s="1"/>
  <c r="P52" i="1"/>
  <c r="P67" i="1" s="1"/>
  <c r="P71" i="1" s="1"/>
  <c r="BR52" i="1"/>
  <c r="BR67" i="1" s="1"/>
  <c r="BR71" i="1" s="1"/>
  <c r="M52" i="1"/>
  <c r="M67" i="1" s="1"/>
  <c r="M71" i="1" s="1"/>
  <c r="F52" i="1"/>
  <c r="F67" i="1" s="1"/>
  <c r="F71" i="1" s="1"/>
  <c r="AJ52" i="1"/>
  <c r="AJ67" i="1" s="1"/>
  <c r="J767" i="1" s="1"/>
  <c r="V52" i="1"/>
  <c r="V67" i="1" s="1"/>
  <c r="J753" i="1" s="1"/>
  <c r="BQ52" i="1"/>
  <c r="BQ67" i="1" s="1"/>
  <c r="F305" i="9" s="1"/>
  <c r="BP52" i="1"/>
  <c r="BP67" i="1" s="1"/>
  <c r="BP71" i="1" s="1"/>
  <c r="E309" i="9" s="1"/>
  <c r="AN52" i="1"/>
  <c r="AN67" i="1" s="1"/>
  <c r="J771" i="1" s="1"/>
  <c r="BV52" i="1"/>
  <c r="BV67" i="1" s="1"/>
  <c r="BV71" i="1" s="1"/>
  <c r="G52" i="1"/>
  <c r="G67" i="1" s="1"/>
  <c r="J738" i="1" s="1"/>
  <c r="AX52" i="1"/>
  <c r="AX67" i="1" s="1"/>
  <c r="J781" i="1" s="1"/>
  <c r="T52" i="1"/>
  <c r="T67" i="1" s="1"/>
  <c r="F81" i="9" s="1"/>
  <c r="BF52" i="1"/>
  <c r="BF67" i="1" s="1"/>
  <c r="I241" i="9" s="1"/>
  <c r="AG52" i="1"/>
  <c r="AG67" i="1" s="1"/>
  <c r="AG71" i="1" s="1"/>
  <c r="C526" i="1" s="1"/>
  <c r="G526" i="1" s="1"/>
  <c r="BO52" i="1"/>
  <c r="BO67" i="1" s="1"/>
  <c r="BO71" i="1" s="1"/>
  <c r="BN52" i="1"/>
  <c r="BN67" i="1" s="1"/>
  <c r="C305" i="9" s="1"/>
  <c r="BE52" i="1"/>
  <c r="BE67" i="1" s="1"/>
  <c r="BE71" i="1" s="1"/>
  <c r="C614" i="1" s="1"/>
  <c r="D615" i="1" s="1"/>
  <c r="D687" i="1" s="1"/>
  <c r="AW52" i="1"/>
  <c r="AW67" i="1" s="1"/>
  <c r="AW71" i="1" s="1"/>
  <c r="G213" i="9" s="1"/>
  <c r="AM52" i="1"/>
  <c r="AM67" i="1" s="1"/>
  <c r="D177" i="9" s="1"/>
  <c r="BX52" i="1"/>
  <c r="BX67" i="1" s="1"/>
  <c r="J807" i="1" s="1"/>
  <c r="D373" i="1"/>
  <c r="C126" i="8" s="1"/>
  <c r="I108" i="9"/>
  <c r="H300" i="9"/>
  <c r="E793" i="1"/>
  <c r="E44" i="9"/>
  <c r="E777" i="1"/>
  <c r="E785" i="1"/>
  <c r="H140" i="9"/>
  <c r="E300" i="9"/>
  <c r="E788" i="1"/>
  <c r="E204" i="9"/>
  <c r="E778" i="1"/>
  <c r="E741" i="1"/>
  <c r="C44" i="9"/>
  <c r="E798" i="1"/>
  <c r="D300" i="9"/>
  <c r="H76" i="9"/>
  <c r="E752" i="1"/>
  <c r="E755" i="1"/>
  <c r="C108" i="9"/>
  <c r="I12" i="9"/>
  <c r="I236" i="9"/>
  <c r="I76" i="9"/>
  <c r="E790" i="1"/>
  <c r="C332" i="9"/>
  <c r="E776" i="1"/>
  <c r="E779" i="1"/>
  <c r="D44" i="9"/>
  <c r="E742" i="1"/>
  <c r="E769" i="1"/>
  <c r="E783" i="1"/>
  <c r="E737" i="1"/>
  <c r="E810" i="1"/>
  <c r="AA71" i="1"/>
  <c r="C520" i="1" s="1"/>
  <c r="G520" i="1" s="1"/>
  <c r="E758" i="1"/>
  <c r="F12" i="9"/>
  <c r="D332" i="9"/>
  <c r="E797" i="1"/>
  <c r="E805" i="1"/>
  <c r="E787" i="1"/>
  <c r="I204" i="9"/>
  <c r="E764" i="1"/>
  <c r="E12" i="9"/>
  <c r="D364" i="9"/>
  <c r="H204" i="9"/>
  <c r="F140" i="9"/>
  <c r="E740" i="1"/>
  <c r="G140" i="9"/>
  <c r="C12" i="9"/>
  <c r="E749" i="1"/>
  <c r="E332" i="9"/>
  <c r="F172" i="9"/>
  <c r="D140" i="9"/>
  <c r="E771" i="1"/>
  <c r="E108" i="9"/>
  <c r="I140" i="9"/>
  <c r="E773" i="1"/>
  <c r="E772" i="1"/>
  <c r="E744" i="1"/>
  <c r="E775" i="1"/>
  <c r="E804" i="1"/>
  <c r="I268" i="9"/>
  <c r="F332" i="9"/>
  <c r="E738" i="1"/>
  <c r="C140" i="9"/>
  <c r="D236" i="9"/>
  <c r="E795" i="1"/>
  <c r="E762" i="1"/>
  <c r="C204" i="9"/>
  <c r="E784" i="1"/>
  <c r="E796" i="1"/>
  <c r="E803" i="1"/>
  <c r="I300" i="9"/>
  <c r="BT71" i="1"/>
  <c r="D268" i="9"/>
  <c r="H268" i="9"/>
  <c r="E759" i="1"/>
  <c r="F44" i="9"/>
  <c r="H172" i="9"/>
  <c r="E811" i="1"/>
  <c r="CE48" i="1"/>
  <c r="CE62" i="1"/>
  <c r="E756" i="1"/>
  <c r="D108" i="9"/>
  <c r="F76" i="9"/>
  <c r="E751" i="1"/>
  <c r="H17" i="9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C620" i="1" s="1"/>
  <c r="AC52" i="1"/>
  <c r="AC67" i="1" s="1"/>
  <c r="AC71" i="1" s="1"/>
  <c r="H117" i="9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688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679" i="1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E760" i="1"/>
  <c r="F236" i="9"/>
  <c r="E786" i="1"/>
  <c r="I44" i="9"/>
  <c r="E747" i="1"/>
  <c r="G268" i="9"/>
  <c r="E794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C554" i="1" s="1"/>
  <c r="K52" i="1"/>
  <c r="K67" i="1" s="1"/>
  <c r="K71" i="1" s="1"/>
  <c r="D465" i="1"/>
  <c r="CB71" i="1"/>
  <c r="C373" i="9" s="1"/>
  <c r="F505" i="1"/>
  <c r="H505" i="1"/>
  <c r="F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D337" i="9"/>
  <c r="J805" i="1"/>
  <c r="J751" i="1"/>
  <c r="J782" i="1"/>
  <c r="I209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J768" i="1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63" i="1"/>
  <c r="G309" i="9"/>
  <c r="C626" i="1"/>
  <c r="E782" i="10"/>
  <c r="E806" i="10"/>
  <c r="F516" i="1"/>
  <c r="H516" i="1"/>
  <c r="D17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C369" i="9"/>
  <c r="J81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I145" i="9" l="1"/>
  <c r="E814" i="10"/>
  <c r="J796" i="1"/>
  <c r="H145" i="9"/>
  <c r="AJ71" i="1"/>
  <c r="C701" i="1" s="1"/>
  <c r="F49" i="9"/>
  <c r="J800" i="1"/>
  <c r="G337" i="9"/>
  <c r="J808" i="1"/>
  <c r="J765" i="1"/>
  <c r="AH71" i="1"/>
  <c r="C699" i="1" s="1"/>
  <c r="AM71" i="1"/>
  <c r="C704" i="1" s="1"/>
  <c r="AX71" i="1"/>
  <c r="C543" i="1" s="1"/>
  <c r="J780" i="1"/>
  <c r="G209" i="9"/>
  <c r="D21" i="9"/>
  <c r="C542" i="1"/>
  <c r="C669" i="1"/>
  <c r="G71" i="1"/>
  <c r="G21" i="9" s="1"/>
  <c r="G17" i="9"/>
  <c r="J744" i="1"/>
  <c r="C631" i="1"/>
  <c r="J735" i="1"/>
  <c r="C507" i="1"/>
  <c r="G507" i="1" s="1"/>
  <c r="AF71" i="1"/>
  <c r="C697" i="1" s="1"/>
  <c r="D145" i="9"/>
  <c r="D305" i="9"/>
  <c r="G53" i="9"/>
  <c r="BQ71" i="1"/>
  <c r="F309" i="9" s="1"/>
  <c r="E177" i="9"/>
  <c r="C642" i="1"/>
  <c r="C567" i="1"/>
  <c r="H71" i="1"/>
  <c r="J797" i="1"/>
  <c r="AB71" i="1"/>
  <c r="C521" i="1" s="1"/>
  <c r="G521" i="1" s="1"/>
  <c r="J759" i="1"/>
  <c r="J747" i="1"/>
  <c r="I49" i="9"/>
  <c r="BF71" i="1"/>
  <c r="I245" i="9" s="1"/>
  <c r="BX71" i="1"/>
  <c r="C644" i="1" s="1"/>
  <c r="T71" i="1"/>
  <c r="C513" i="1" s="1"/>
  <c r="G513" i="1" s="1"/>
  <c r="BM71" i="1"/>
  <c r="D341" i="9"/>
  <c r="J789" i="1"/>
  <c r="H209" i="9"/>
  <c r="H81" i="9"/>
  <c r="BN71" i="1"/>
  <c r="C619" i="1" s="1"/>
  <c r="AN71" i="1"/>
  <c r="C705" i="1" s="1"/>
  <c r="J798" i="1"/>
  <c r="V71" i="1"/>
  <c r="C687" i="1" s="1"/>
  <c r="I21" i="9"/>
  <c r="C502" i="1"/>
  <c r="G502" i="1" s="1"/>
  <c r="C674" i="1"/>
  <c r="C181" i="9"/>
  <c r="C703" i="1"/>
  <c r="C531" i="1"/>
  <c r="G531" i="1" s="1"/>
  <c r="F21" i="9"/>
  <c r="C671" i="1"/>
  <c r="C499" i="1"/>
  <c r="G499" i="1" s="1"/>
  <c r="C539" i="1"/>
  <c r="G539" i="1" s="1"/>
  <c r="C711" i="1"/>
  <c r="C710" i="1"/>
  <c r="C213" i="9"/>
  <c r="C538" i="1"/>
  <c r="G538" i="1" s="1"/>
  <c r="C678" i="1"/>
  <c r="C506" i="1"/>
  <c r="G506" i="1" s="1"/>
  <c r="F53" i="9"/>
  <c r="C517" i="1"/>
  <c r="G517" i="1" s="1"/>
  <c r="C689" i="1"/>
  <c r="C117" i="9"/>
  <c r="C546" i="1"/>
  <c r="G546" i="1" s="1"/>
  <c r="D245" i="9"/>
  <c r="C630" i="1"/>
  <c r="C540" i="1"/>
  <c r="G540" i="1" s="1"/>
  <c r="E213" i="9"/>
  <c r="C712" i="1"/>
  <c r="C641" i="1"/>
  <c r="C341" i="9"/>
  <c r="C566" i="1"/>
  <c r="C677" i="1"/>
  <c r="C505" i="1"/>
  <c r="G505" i="1" s="1"/>
  <c r="H277" i="9"/>
  <c r="C557" i="1"/>
  <c r="C637" i="1"/>
  <c r="F181" i="9"/>
  <c r="C706" i="1"/>
  <c r="C534" i="1"/>
  <c r="G534" i="1" s="1"/>
  <c r="D309" i="9"/>
  <c r="C627" i="1"/>
  <c r="C560" i="1"/>
  <c r="C676" i="1"/>
  <c r="C504" i="1"/>
  <c r="G504" i="1" s="1"/>
  <c r="D53" i="9"/>
  <c r="J799" i="1"/>
  <c r="E305" i="9"/>
  <c r="J764" i="1"/>
  <c r="E145" i="9"/>
  <c r="E277" i="9"/>
  <c r="C634" i="1"/>
  <c r="C49" i="9"/>
  <c r="J741" i="1"/>
  <c r="J71" i="1"/>
  <c r="C564" i="1"/>
  <c r="H309" i="9"/>
  <c r="F277" i="9"/>
  <c r="C617" i="1"/>
  <c r="E53" i="9"/>
  <c r="C621" i="1"/>
  <c r="D213" i="9"/>
  <c r="C524" i="1"/>
  <c r="C696" i="1"/>
  <c r="C149" i="9"/>
  <c r="C518" i="1"/>
  <c r="G518" i="1" s="1"/>
  <c r="D117" i="9"/>
  <c r="C690" i="1"/>
  <c r="C85" i="9"/>
  <c r="C510" i="1"/>
  <c r="G510" i="1" s="1"/>
  <c r="C682" i="1"/>
  <c r="C508" i="1"/>
  <c r="G508" i="1" s="1"/>
  <c r="C680" i="1"/>
  <c r="C695" i="1"/>
  <c r="I117" i="9"/>
  <c r="C561" i="1"/>
  <c r="C547" i="1"/>
  <c r="C632" i="1"/>
  <c r="C552" i="1"/>
  <c r="C618" i="1"/>
  <c r="C570" i="1"/>
  <c r="D633" i="1"/>
  <c r="C514" i="1"/>
  <c r="G514" i="1" s="1"/>
  <c r="C645" i="1"/>
  <c r="C672" i="1"/>
  <c r="C686" i="1"/>
  <c r="C549" i="1"/>
  <c r="C529" i="1"/>
  <c r="G529" i="1" s="1"/>
  <c r="H149" i="9"/>
  <c r="D701" i="1"/>
  <c r="C545" i="1"/>
  <c r="G545" i="1" s="1"/>
  <c r="C628" i="1"/>
  <c r="D698" i="1"/>
  <c r="D679" i="1"/>
  <c r="D645" i="1"/>
  <c r="D705" i="1"/>
  <c r="D629" i="1"/>
  <c r="D697" i="1"/>
  <c r="D637" i="1"/>
  <c r="D668" i="1"/>
  <c r="D695" i="1"/>
  <c r="D684" i="1"/>
  <c r="D676" i="1"/>
  <c r="D673" i="1"/>
  <c r="D681" i="1"/>
  <c r="D709" i="1"/>
  <c r="D618" i="1"/>
  <c r="D631" i="1"/>
  <c r="D640" i="1"/>
  <c r="D708" i="1"/>
  <c r="D639" i="1"/>
  <c r="D669" i="1"/>
  <c r="D626" i="1"/>
  <c r="I85" i="9"/>
  <c r="D647" i="1"/>
  <c r="D624" i="1"/>
  <c r="D702" i="1"/>
  <c r="D690" i="1"/>
  <c r="D643" i="1"/>
  <c r="D674" i="1"/>
  <c r="D632" i="1"/>
  <c r="C516" i="1"/>
  <c r="G516" i="1" s="1"/>
  <c r="D706" i="1"/>
  <c r="D689" i="1"/>
  <c r="D688" i="1"/>
  <c r="D628" i="1"/>
  <c r="D691" i="1"/>
  <c r="D641" i="1"/>
  <c r="D644" i="1"/>
  <c r="D635" i="1"/>
  <c r="D625" i="1"/>
  <c r="D713" i="1"/>
  <c r="D707" i="1"/>
  <c r="D619" i="1"/>
  <c r="D716" i="1"/>
  <c r="D617" i="1"/>
  <c r="D710" i="1"/>
  <c r="D696" i="1"/>
  <c r="D693" i="1"/>
  <c r="D711" i="1"/>
  <c r="D677" i="1"/>
  <c r="D646" i="1"/>
  <c r="D704" i="1"/>
  <c r="D620" i="1"/>
  <c r="D672" i="1"/>
  <c r="C683" i="1"/>
  <c r="D616" i="1"/>
  <c r="D694" i="1"/>
  <c r="D683" i="1"/>
  <c r="D636" i="1"/>
  <c r="D685" i="1"/>
  <c r="D680" i="1"/>
  <c r="D642" i="1"/>
  <c r="H245" i="9"/>
  <c r="D678" i="1"/>
  <c r="D712" i="1"/>
  <c r="D621" i="1"/>
  <c r="D627" i="1"/>
  <c r="D670" i="1"/>
  <c r="D703" i="1"/>
  <c r="D638" i="1"/>
  <c r="D634" i="1"/>
  <c r="D671" i="1"/>
  <c r="C550" i="1"/>
  <c r="D682" i="1"/>
  <c r="D630" i="1"/>
  <c r="D675" i="1"/>
  <c r="D699" i="1"/>
  <c r="D686" i="1"/>
  <c r="D623" i="1"/>
  <c r="D700" i="1"/>
  <c r="D622" i="1"/>
  <c r="D692" i="1"/>
  <c r="F117" i="9"/>
  <c r="C692" i="1"/>
  <c r="C573" i="1"/>
  <c r="C572" i="1"/>
  <c r="C709" i="1"/>
  <c r="C525" i="1"/>
  <c r="G525" i="1" s="1"/>
  <c r="E149" i="9"/>
  <c r="C537" i="1"/>
  <c r="G537" i="1" s="1"/>
  <c r="C647" i="1"/>
  <c r="G245" i="9"/>
  <c r="C700" i="1"/>
  <c r="C528" i="1"/>
  <c r="G528" i="1" s="1"/>
  <c r="H511" i="1"/>
  <c r="E341" i="9"/>
  <c r="D85" i="9"/>
  <c r="C643" i="1"/>
  <c r="H213" i="9"/>
  <c r="C544" i="1"/>
  <c r="G544" i="1" s="1"/>
  <c r="C698" i="1"/>
  <c r="C625" i="1"/>
  <c r="F213" i="9"/>
  <c r="C713" i="1"/>
  <c r="G181" i="9"/>
  <c r="C707" i="1"/>
  <c r="C536" i="1"/>
  <c r="G536" i="1" s="1"/>
  <c r="D373" i="9"/>
  <c r="C574" i="1"/>
  <c r="E117" i="9"/>
  <c r="C519" i="1"/>
  <c r="G519" i="1" s="1"/>
  <c r="C670" i="1"/>
  <c r="E21" i="9"/>
  <c r="C622" i="1"/>
  <c r="C708" i="1"/>
  <c r="I149" i="9"/>
  <c r="C702" i="1"/>
  <c r="C636" i="1"/>
  <c r="C553" i="1"/>
  <c r="I309" i="9"/>
  <c r="C640" i="1"/>
  <c r="C565" i="1"/>
  <c r="D277" i="9"/>
  <c r="E815" i="1"/>
  <c r="I364" i="9"/>
  <c r="C428" i="1"/>
  <c r="E816" i="1"/>
  <c r="C694" i="1"/>
  <c r="C522" i="1"/>
  <c r="G522" i="1" s="1"/>
  <c r="H498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668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H526" i="1" s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18" i="1" l="1"/>
  <c r="H85" i="9"/>
  <c r="C515" i="1"/>
  <c r="G515" i="1" s="1"/>
  <c r="C532" i="1"/>
  <c r="G532" i="1" s="1"/>
  <c r="C629" i="1"/>
  <c r="H499" i="1"/>
  <c r="C500" i="1"/>
  <c r="G500" i="1" s="1"/>
  <c r="G117" i="9"/>
  <c r="C623" i="1"/>
  <c r="H546" i="1"/>
  <c r="C616" i="1"/>
  <c r="C562" i="1"/>
  <c r="D149" i="9"/>
  <c r="C693" i="1"/>
  <c r="D181" i="9"/>
  <c r="C527" i="1"/>
  <c r="G527" i="1" s="1"/>
  <c r="F149" i="9"/>
  <c r="C551" i="1"/>
  <c r="H21" i="9"/>
  <c r="C501" i="1"/>
  <c r="G501" i="1" s="1"/>
  <c r="C673" i="1"/>
  <c r="F341" i="9"/>
  <c r="C569" i="1"/>
  <c r="C685" i="1"/>
  <c r="F85" i="9"/>
  <c r="E181" i="9"/>
  <c r="C559" i="1"/>
  <c r="C309" i="9"/>
  <c r="C533" i="1"/>
  <c r="G533" i="1" s="1"/>
  <c r="C638" i="1"/>
  <c r="C558" i="1"/>
  <c r="I277" i="9"/>
  <c r="C675" i="1"/>
  <c r="C53" i="9"/>
  <c r="C503" i="1"/>
  <c r="C21" i="9"/>
  <c r="C496" i="1"/>
  <c r="G496" i="1" s="1"/>
  <c r="G524" i="1"/>
  <c r="H524" i="1" s="1"/>
  <c r="H510" i="1"/>
  <c r="H508" i="1"/>
  <c r="H514" i="1"/>
  <c r="D715" i="1"/>
  <c r="G550" i="1"/>
  <c r="H550" i="1" s="1"/>
  <c r="H544" i="1"/>
  <c r="H522" i="1"/>
  <c r="H512" i="1"/>
  <c r="H509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E612" i="1"/>
  <c r="C648" i="1"/>
  <c r="M716" i="1" s="1"/>
  <c r="Y816" i="1" s="1"/>
  <c r="C715" i="1"/>
  <c r="G503" i="1"/>
  <c r="H503" i="1" s="1"/>
  <c r="I373" i="9"/>
  <c r="C433" i="1"/>
  <c r="C441" i="1" s="1"/>
  <c r="J816" i="1"/>
  <c r="I369" i="9"/>
  <c r="J815" i="10"/>
  <c r="E680" i="1" l="1"/>
  <c r="E694" i="1"/>
  <c r="E691" i="1"/>
  <c r="E696" i="1"/>
  <c r="E695" i="1"/>
  <c r="E642" i="1"/>
  <c r="E711" i="1"/>
  <c r="E678" i="1"/>
  <c r="E686" i="1"/>
  <c r="E645" i="1"/>
  <c r="E671" i="1"/>
  <c r="E708" i="1"/>
  <c r="E631" i="1"/>
  <c r="E641" i="1"/>
  <c r="E689" i="1"/>
  <c r="E704" i="1"/>
  <c r="E713" i="1"/>
  <c r="E699" i="1"/>
  <c r="E687" i="1"/>
  <c r="E700" i="1"/>
  <c r="E646" i="1"/>
  <c r="E693" i="1"/>
  <c r="E634" i="1"/>
  <c r="E677" i="1"/>
  <c r="E628" i="1"/>
  <c r="E624" i="1"/>
  <c r="F624" i="1" s="1"/>
  <c r="F625" i="1" s="1"/>
  <c r="E669" i="1"/>
  <c r="E633" i="1"/>
  <c r="E630" i="1"/>
  <c r="E681" i="1"/>
  <c r="E638" i="1"/>
  <c r="E644" i="1"/>
  <c r="E673" i="1"/>
  <c r="E698" i="1"/>
  <c r="E632" i="1"/>
  <c r="E626" i="1"/>
  <c r="E703" i="1"/>
  <c r="E702" i="1"/>
  <c r="E679" i="1"/>
  <c r="E675" i="1"/>
  <c r="E706" i="1"/>
  <c r="E637" i="1"/>
  <c r="E670" i="1"/>
  <c r="E685" i="1"/>
  <c r="E690" i="1"/>
  <c r="E639" i="1"/>
  <c r="E635" i="1"/>
  <c r="E636" i="1"/>
  <c r="E640" i="1"/>
  <c r="E712" i="1"/>
  <c r="E683" i="1"/>
  <c r="E710" i="1"/>
  <c r="E629" i="1"/>
  <c r="E627" i="1"/>
  <c r="E674" i="1"/>
  <c r="E701" i="1"/>
  <c r="E684" i="1"/>
  <c r="E688" i="1"/>
  <c r="E668" i="1"/>
  <c r="E672" i="1"/>
  <c r="E647" i="1"/>
  <c r="E697" i="1"/>
  <c r="E692" i="1"/>
  <c r="E707" i="1"/>
  <c r="E709" i="1"/>
  <c r="E682" i="1"/>
  <c r="E676" i="1"/>
  <c r="E625" i="1"/>
  <c r="E705" i="1"/>
  <c r="E643" i="1"/>
  <c r="F700" i="1" l="1"/>
  <c r="F678" i="1"/>
  <c r="G625" i="1"/>
  <c r="G678" i="1" s="1"/>
  <c r="F630" i="1"/>
  <c r="F691" i="1"/>
  <c r="F627" i="1"/>
  <c r="F632" i="1"/>
  <c r="F701" i="1"/>
  <c r="F685" i="1"/>
  <c r="F645" i="1"/>
  <c r="F696" i="1"/>
  <c r="F673" i="1"/>
  <c r="F669" i="1"/>
  <c r="F640" i="1"/>
  <c r="F704" i="1"/>
  <c r="F637" i="1"/>
  <c r="F682" i="1"/>
  <c r="F698" i="1"/>
  <c r="F711" i="1"/>
  <c r="F703" i="1"/>
  <c r="F687" i="1"/>
  <c r="F626" i="1"/>
  <c r="F628" i="1"/>
  <c r="F639" i="1"/>
  <c r="F679" i="1"/>
  <c r="F634" i="1"/>
  <c r="F708" i="1"/>
  <c r="F681" i="1"/>
  <c r="F694" i="1"/>
  <c r="F668" i="1"/>
  <c r="F712" i="1"/>
  <c r="F675" i="1"/>
  <c r="F629" i="1"/>
  <c r="F671" i="1"/>
  <c r="F697" i="1"/>
  <c r="F644" i="1"/>
  <c r="F680" i="1"/>
  <c r="F690" i="1"/>
  <c r="F702" i="1"/>
  <c r="F674" i="1"/>
  <c r="F672" i="1"/>
  <c r="F710" i="1"/>
  <c r="F643" i="1"/>
  <c r="F705" i="1"/>
  <c r="F647" i="1"/>
  <c r="F707" i="1"/>
  <c r="F695" i="1"/>
  <c r="F633" i="1"/>
  <c r="F716" i="1"/>
  <c r="F638" i="1"/>
  <c r="F692" i="1"/>
  <c r="F676" i="1"/>
  <c r="F642" i="1"/>
  <c r="F636" i="1"/>
  <c r="F683" i="1"/>
  <c r="F635" i="1"/>
  <c r="F688" i="1"/>
  <c r="F686" i="1"/>
  <c r="F631" i="1"/>
  <c r="F709" i="1"/>
  <c r="F684" i="1"/>
  <c r="F641" i="1"/>
  <c r="E715" i="1"/>
  <c r="F670" i="1"/>
  <c r="F689" i="1"/>
  <c r="F693" i="1"/>
  <c r="F706" i="1"/>
  <c r="F713" i="1"/>
  <c r="F677" i="1"/>
  <c r="F699" i="1"/>
  <c r="F646" i="1"/>
  <c r="G668" i="1"/>
  <c r="G627" i="1"/>
  <c r="G633" i="1"/>
  <c r="G672" i="1"/>
  <c r="G693" i="1"/>
  <c r="G632" i="1"/>
  <c r="G669" i="1"/>
  <c r="G637" i="1"/>
  <c r="G696" i="1"/>
  <c r="G688" i="1"/>
  <c r="G631" i="1"/>
  <c r="G695" i="1"/>
  <c r="G685" i="1"/>
  <c r="G634" i="1"/>
  <c r="G712" i="1"/>
  <c r="G674" i="1"/>
  <c r="G638" i="1"/>
  <c r="G709" i="1"/>
  <c r="G703" i="1"/>
  <c r="G700" i="1"/>
  <c r="G636" i="1"/>
  <c r="G677" i="1"/>
  <c r="G628" i="1"/>
  <c r="G686" i="1"/>
  <c r="G687" i="1"/>
  <c r="G646" i="1"/>
  <c r="G692" i="1"/>
  <c r="G689" i="1"/>
  <c r="G640" i="1"/>
  <c r="G684" i="1"/>
  <c r="G639" i="1"/>
  <c r="G710" i="1"/>
  <c r="G671" i="1"/>
  <c r="G641" i="1"/>
  <c r="G679" i="1"/>
  <c r="G697" i="1"/>
  <c r="G676" i="1"/>
  <c r="G630" i="1"/>
  <c r="G645" i="1"/>
  <c r="G711" i="1"/>
  <c r="G699" i="1"/>
  <c r="G694" i="1"/>
  <c r="G702" i="1"/>
  <c r="G642" i="1" l="1"/>
  <c r="G690" i="1"/>
  <c r="G673" i="1"/>
  <c r="G629" i="1"/>
  <c r="G681" i="1"/>
  <c r="G675" i="1"/>
  <c r="G680" i="1"/>
  <c r="G635" i="1"/>
  <c r="G698" i="1"/>
  <c r="G713" i="1"/>
  <c r="G691" i="1"/>
  <c r="G701" i="1"/>
  <c r="G716" i="1"/>
  <c r="G647" i="1"/>
  <c r="G683" i="1"/>
  <c r="G704" i="1"/>
  <c r="G707" i="1"/>
  <c r="G643" i="1"/>
  <c r="G705" i="1"/>
  <c r="G626" i="1"/>
  <c r="H628" i="1" s="1"/>
  <c r="G708" i="1"/>
  <c r="G644" i="1"/>
  <c r="G670" i="1"/>
  <c r="G682" i="1"/>
  <c r="G706" i="1"/>
  <c r="F715" i="1"/>
  <c r="G715" i="1" l="1"/>
  <c r="H687" i="1"/>
  <c r="H689" i="1"/>
  <c r="H674" i="1"/>
  <c r="H699" i="1"/>
  <c r="H701" i="1"/>
  <c r="H670" i="1"/>
  <c r="H629" i="1"/>
  <c r="H646" i="1"/>
  <c r="H630" i="1"/>
  <c r="H690" i="1"/>
  <c r="H697" i="1"/>
  <c r="H647" i="1"/>
  <c r="H645" i="1"/>
  <c r="H684" i="1"/>
  <c r="H716" i="1"/>
  <c r="H679" i="1"/>
  <c r="H686" i="1"/>
  <c r="H676" i="1"/>
  <c r="H668" i="1"/>
  <c r="H685" i="1"/>
  <c r="H695" i="1"/>
  <c r="H680" i="1"/>
  <c r="H703" i="1"/>
  <c r="H683" i="1"/>
  <c r="H678" i="1"/>
  <c r="H706" i="1"/>
  <c r="H691" i="1"/>
  <c r="H692" i="1"/>
  <c r="H700" i="1"/>
  <c r="H632" i="1"/>
  <c r="H677" i="1"/>
  <c r="H693" i="1"/>
  <c r="H681" i="1"/>
  <c r="H682" i="1"/>
  <c r="H713" i="1"/>
  <c r="H639" i="1"/>
  <c r="H698" i="1"/>
  <c r="H705" i="1"/>
  <c r="H712" i="1"/>
  <c r="H636" i="1"/>
  <c r="H707" i="1"/>
  <c r="H644" i="1"/>
  <c r="H709" i="1"/>
  <c r="H688" i="1"/>
  <c r="H672" i="1"/>
  <c r="H704" i="1"/>
  <c r="H635" i="1"/>
  <c r="H671" i="1"/>
  <c r="H633" i="1"/>
  <c r="H640" i="1"/>
  <c r="H694" i="1"/>
  <c r="H710" i="1"/>
  <c r="H696" i="1"/>
  <c r="H638" i="1"/>
  <c r="H673" i="1"/>
  <c r="H637" i="1"/>
  <c r="H634" i="1"/>
  <c r="H642" i="1"/>
  <c r="H643" i="1"/>
  <c r="H702" i="1"/>
  <c r="H631" i="1"/>
  <c r="H641" i="1"/>
  <c r="H708" i="1"/>
  <c r="H669" i="1"/>
  <c r="H711" i="1"/>
  <c r="H675" i="1"/>
  <c r="H715" i="1" l="1"/>
  <c r="I629" i="1"/>
  <c r="I632" i="1" l="1"/>
  <c r="I693" i="1"/>
  <c r="I716" i="1"/>
  <c r="I636" i="1"/>
  <c r="I690" i="1"/>
  <c r="I641" i="1"/>
  <c r="I691" i="1"/>
  <c r="I642" i="1"/>
  <c r="I713" i="1"/>
  <c r="I676" i="1"/>
  <c r="I670" i="1"/>
  <c r="I707" i="1"/>
  <c r="I712" i="1"/>
  <c r="I675" i="1"/>
  <c r="I709" i="1"/>
  <c r="I694" i="1"/>
  <c r="I639" i="1"/>
  <c r="I702" i="1"/>
  <c r="I689" i="1"/>
  <c r="I643" i="1"/>
  <c r="I685" i="1"/>
  <c r="I692" i="1"/>
  <c r="I711" i="1"/>
  <c r="I668" i="1"/>
  <c r="I638" i="1"/>
  <c r="I700" i="1"/>
  <c r="I633" i="1"/>
  <c r="I630" i="1"/>
  <c r="I698" i="1"/>
  <c r="I678" i="1"/>
  <c r="I637" i="1"/>
  <c r="I673" i="1"/>
  <c r="I706" i="1"/>
  <c r="I701" i="1"/>
  <c r="I679" i="1"/>
  <c r="I631" i="1"/>
  <c r="I635" i="1"/>
  <c r="I708" i="1"/>
  <c r="I688" i="1"/>
  <c r="I699" i="1"/>
  <c r="I683" i="1"/>
  <c r="I640" i="1"/>
  <c r="I682" i="1"/>
  <c r="I634" i="1"/>
  <c r="I703" i="1"/>
  <c r="I684" i="1"/>
  <c r="I705" i="1"/>
  <c r="I646" i="1"/>
  <c r="I697" i="1"/>
  <c r="I644" i="1"/>
  <c r="I669" i="1"/>
  <c r="I687" i="1"/>
  <c r="I674" i="1"/>
  <c r="I647" i="1"/>
  <c r="I680" i="1"/>
  <c r="I704" i="1"/>
  <c r="I645" i="1"/>
  <c r="I681" i="1"/>
  <c r="I672" i="1"/>
  <c r="I696" i="1"/>
  <c r="I695" i="1"/>
  <c r="I677" i="1"/>
  <c r="I671" i="1"/>
  <c r="I710" i="1"/>
  <c r="I686" i="1"/>
  <c r="I715" i="1" l="1"/>
  <c r="J630" i="1"/>
  <c r="J693" i="1" l="1"/>
  <c r="J692" i="1"/>
  <c r="J688" i="1"/>
  <c r="J707" i="1"/>
  <c r="J694" i="1"/>
  <c r="J675" i="1"/>
  <c r="J708" i="1"/>
  <c r="J668" i="1"/>
  <c r="J705" i="1"/>
  <c r="J711" i="1"/>
  <c r="J640" i="1"/>
  <c r="J703" i="1"/>
  <c r="J647" i="1"/>
  <c r="J670" i="1"/>
  <c r="J712" i="1"/>
  <c r="J684" i="1"/>
  <c r="J671" i="1"/>
  <c r="J646" i="1"/>
  <c r="J642" i="1"/>
  <c r="J689" i="1"/>
  <c r="J679" i="1"/>
  <c r="J673" i="1"/>
  <c r="J641" i="1"/>
  <c r="J637" i="1"/>
  <c r="J678" i="1"/>
  <c r="J702" i="1"/>
  <c r="J644" i="1"/>
  <c r="J669" i="1"/>
  <c r="J686" i="1"/>
  <c r="J635" i="1"/>
  <c r="J634" i="1"/>
  <c r="J674" i="1"/>
  <c r="J685" i="1"/>
  <c r="J699" i="1"/>
  <c r="J645" i="1"/>
  <c r="J681" i="1"/>
  <c r="J698" i="1"/>
  <c r="J636" i="1"/>
  <c r="J680" i="1"/>
  <c r="J682" i="1"/>
  <c r="J643" i="1"/>
  <c r="J700" i="1"/>
  <c r="J672" i="1"/>
  <c r="J696" i="1"/>
  <c r="J638" i="1"/>
  <c r="J701" i="1"/>
  <c r="J697" i="1"/>
  <c r="J687" i="1"/>
  <c r="J716" i="1"/>
  <c r="J633" i="1"/>
  <c r="J690" i="1"/>
  <c r="J683" i="1"/>
  <c r="J704" i="1"/>
  <c r="J695" i="1"/>
  <c r="J632" i="1"/>
  <c r="J631" i="1"/>
  <c r="J676" i="1"/>
  <c r="J709" i="1"/>
  <c r="J691" i="1"/>
  <c r="J706" i="1"/>
  <c r="J639" i="1"/>
  <c r="J677" i="1"/>
  <c r="J710" i="1"/>
  <c r="J713" i="1"/>
  <c r="L647" i="1" l="1"/>
  <c r="L668" i="1" s="1"/>
  <c r="J715" i="1"/>
  <c r="K644" i="1"/>
  <c r="L672" i="1" l="1"/>
  <c r="L694" i="1"/>
  <c r="L702" i="1"/>
  <c r="L695" i="1"/>
  <c r="L675" i="1"/>
  <c r="L669" i="1"/>
  <c r="L683" i="1"/>
  <c r="L678" i="1"/>
  <c r="L705" i="1"/>
  <c r="L679" i="1"/>
  <c r="L713" i="1"/>
  <c r="L692" i="1"/>
  <c r="L676" i="1"/>
  <c r="L688" i="1"/>
  <c r="L698" i="1"/>
  <c r="L716" i="1"/>
  <c r="L687" i="1"/>
  <c r="L697" i="1"/>
  <c r="L708" i="1"/>
  <c r="L680" i="1"/>
  <c r="L701" i="1"/>
  <c r="L684" i="1"/>
  <c r="L677" i="1"/>
  <c r="L689" i="1"/>
  <c r="L673" i="1"/>
  <c r="L691" i="1"/>
  <c r="L710" i="1"/>
  <c r="L682" i="1"/>
  <c r="L670" i="1"/>
  <c r="L686" i="1"/>
  <c r="L709" i="1"/>
  <c r="L674" i="1"/>
  <c r="L704" i="1"/>
  <c r="L671" i="1"/>
  <c r="L681" i="1"/>
  <c r="L693" i="1"/>
  <c r="L712" i="1"/>
  <c r="L696" i="1"/>
  <c r="L706" i="1"/>
  <c r="L700" i="1"/>
  <c r="L707" i="1"/>
  <c r="L711" i="1"/>
  <c r="L690" i="1"/>
  <c r="L703" i="1"/>
  <c r="L685" i="1"/>
  <c r="L699" i="1"/>
  <c r="K668" i="1"/>
  <c r="K698" i="1"/>
  <c r="K688" i="1"/>
  <c r="K669" i="1"/>
  <c r="K696" i="1"/>
  <c r="K687" i="1"/>
  <c r="K691" i="1"/>
  <c r="K686" i="1"/>
  <c r="K702" i="1"/>
  <c r="M702" i="1" s="1"/>
  <c r="K703" i="1"/>
  <c r="K709" i="1"/>
  <c r="K678" i="1"/>
  <c r="K705" i="1"/>
  <c r="K699" i="1"/>
  <c r="K672" i="1"/>
  <c r="K711" i="1"/>
  <c r="K674" i="1"/>
  <c r="K690" i="1"/>
  <c r="K675" i="1"/>
  <c r="K716" i="1"/>
  <c r="K704" i="1"/>
  <c r="K708" i="1"/>
  <c r="K700" i="1"/>
  <c r="K693" i="1"/>
  <c r="K673" i="1"/>
  <c r="K682" i="1"/>
  <c r="K677" i="1"/>
  <c r="K692" i="1"/>
  <c r="K712" i="1"/>
  <c r="K685" i="1"/>
  <c r="K670" i="1"/>
  <c r="M670" i="1" s="1"/>
  <c r="K707" i="1"/>
  <c r="K713" i="1"/>
  <c r="K680" i="1"/>
  <c r="M680" i="1" s="1"/>
  <c r="K706" i="1"/>
  <c r="K676" i="1"/>
  <c r="K679" i="1"/>
  <c r="M679" i="1" s="1"/>
  <c r="K684" i="1"/>
  <c r="K710" i="1"/>
  <c r="K681" i="1"/>
  <c r="K683" i="1"/>
  <c r="M683" i="1" s="1"/>
  <c r="K671" i="1"/>
  <c r="K701" i="1"/>
  <c r="K695" i="1"/>
  <c r="K694" i="1"/>
  <c r="M694" i="1" s="1"/>
  <c r="K697" i="1"/>
  <c r="K689" i="1"/>
  <c r="M686" i="1"/>
  <c r="M673" i="1" l="1"/>
  <c r="M672" i="1"/>
  <c r="M707" i="1"/>
  <c r="M695" i="1"/>
  <c r="M692" i="1"/>
  <c r="Y758" i="1" s="1"/>
  <c r="M676" i="1"/>
  <c r="D55" i="9" s="1"/>
  <c r="M685" i="1"/>
  <c r="F87" i="9" s="1"/>
  <c r="M687" i="1"/>
  <c r="Y753" i="1" s="1"/>
  <c r="M712" i="1"/>
  <c r="E215" i="9" s="1"/>
  <c r="M704" i="1"/>
  <c r="Y770" i="1" s="1"/>
  <c r="M705" i="1"/>
  <c r="Y771" i="1" s="1"/>
  <c r="M684" i="1"/>
  <c r="Y750" i="1" s="1"/>
  <c r="M698" i="1"/>
  <c r="E151" i="9" s="1"/>
  <c r="M674" i="1"/>
  <c r="Y740" i="1" s="1"/>
  <c r="M699" i="1"/>
  <c r="Y765" i="1" s="1"/>
  <c r="M696" i="1"/>
  <c r="C151" i="9" s="1"/>
  <c r="M678" i="1"/>
  <c r="Y744" i="1" s="1"/>
  <c r="M669" i="1"/>
  <c r="Y735" i="1" s="1"/>
  <c r="M701" i="1"/>
  <c r="Y767" i="1" s="1"/>
  <c r="M675" i="1"/>
  <c r="Y741" i="1" s="1"/>
  <c r="M682" i="1"/>
  <c r="C87" i="9" s="1"/>
  <c r="M693" i="1"/>
  <c r="G119" i="9" s="1"/>
  <c r="L715" i="1"/>
  <c r="M706" i="1"/>
  <c r="F183" i="9" s="1"/>
  <c r="M677" i="1"/>
  <c r="E55" i="9" s="1"/>
  <c r="M709" i="1"/>
  <c r="Y775" i="1" s="1"/>
  <c r="M688" i="1"/>
  <c r="Y754" i="1" s="1"/>
  <c r="M681" i="1"/>
  <c r="Y747" i="1" s="1"/>
  <c r="M711" i="1"/>
  <c r="D215" i="9" s="1"/>
  <c r="M713" i="1"/>
  <c r="F215" i="9" s="1"/>
  <c r="M710" i="1"/>
  <c r="C215" i="9" s="1"/>
  <c r="M700" i="1"/>
  <c r="G151" i="9" s="1"/>
  <c r="M691" i="1"/>
  <c r="Y757" i="1" s="1"/>
  <c r="M689" i="1"/>
  <c r="C119" i="9" s="1"/>
  <c r="M697" i="1"/>
  <c r="Y763" i="1" s="1"/>
  <c r="M708" i="1"/>
  <c r="H183" i="9" s="1"/>
  <c r="M671" i="1"/>
  <c r="F23" i="9" s="1"/>
  <c r="M690" i="1"/>
  <c r="Y756" i="1" s="1"/>
  <c r="M703" i="1"/>
  <c r="C183" i="9" s="1"/>
  <c r="Y746" i="1"/>
  <c r="H55" i="9"/>
  <c r="I119" i="9"/>
  <c r="Y761" i="1"/>
  <c r="Y742" i="1"/>
  <c r="G23" i="9"/>
  <c r="Y738" i="1"/>
  <c r="E23" i="9"/>
  <c r="Y736" i="1"/>
  <c r="K715" i="1"/>
  <c r="M668" i="1"/>
  <c r="Y745" i="1"/>
  <c r="G55" i="9"/>
  <c r="Y739" i="1"/>
  <c r="H23" i="9"/>
  <c r="G87" i="9"/>
  <c r="Y752" i="1"/>
  <c r="Y749" i="1"/>
  <c r="D87" i="9"/>
  <c r="Y768" i="1"/>
  <c r="I151" i="9"/>
  <c r="G183" i="9"/>
  <c r="Y773" i="1"/>
  <c r="H119" i="9"/>
  <c r="Y760" i="1"/>
  <c r="F151" i="9" l="1"/>
  <c r="Y772" i="1"/>
  <c r="Y762" i="1"/>
  <c r="H87" i="9"/>
  <c r="Y766" i="1"/>
  <c r="F119" i="9"/>
  <c r="D23" i="9"/>
  <c r="E183" i="9"/>
  <c r="E119" i="9"/>
  <c r="F55" i="9"/>
  <c r="Y778" i="1"/>
  <c r="D183" i="9"/>
  <c r="E87" i="9"/>
  <c r="Y776" i="1"/>
  <c r="Y751" i="1"/>
  <c r="I23" i="9"/>
  <c r="D119" i="9"/>
  <c r="Y759" i="1"/>
  <c r="Y779" i="1"/>
  <c r="Y764" i="1"/>
  <c r="Y743" i="1"/>
  <c r="I183" i="9"/>
  <c r="H151" i="9"/>
  <c r="C55" i="9"/>
  <c r="Y755" i="1"/>
  <c r="Y737" i="1"/>
  <c r="Y777" i="1"/>
  <c r="Y748" i="1"/>
  <c r="I87" i="9"/>
  <c r="D151" i="9"/>
  <c r="I55" i="9"/>
  <c r="Y774" i="1"/>
  <c r="Y769" i="1"/>
  <c r="C23" i="9"/>
  <c r="M715" i="1"/>
  <c r="Y734" i="1"/>
  <c r="Y815" i="1" l="1"/>
</calcChain>
</file>

<file path=xl/sharedStrings.xml><?xml version="1.0" encoding="utf-8"?>
<sst xmlns="http://schemas.openxmlformats.org/spreadsheetml/2006/main" count="4940" uniqueCount="1283">
  <si>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</si>
  <si>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</si>
  <si>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</si>
  <si>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</si>
  <si>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</si>
  <si>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</si>
  <si>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</si>
  <si>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</si>
  <si>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</si>
  <si>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</si>
  <si>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</si>
  <si>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</si>
  <si>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</si>
  <si>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</si>
  <si>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</si>
  <si>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</si>
  <si>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</si>
  <si>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</si>
  <si>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</si>
  <si>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</si>
  <si>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</si>
  <si>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</si>
  <si>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</si>
  <si>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</si>
  <si>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</si>
  <si>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</si>
  <si>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</si>
  <si>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</si>
  <si>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</si>
  <si>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</si>
  <si>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</si>
  <si>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</si>
  <si>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</si>
  <si>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</si>
  <si>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</si>
  <si>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</si>
  <si>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</si>
  <si>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</si>
  <si>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</si>
  <si>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</si>
  <si>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</si>
  <si>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</si>
  <si>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</si>
  <si>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</si>
  <si>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</si>
  <si>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</si>
  <si>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</si>
  <si>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</si>
  <si>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</si>
  <si>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</si>
  <si>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</si>
  <si>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</si>
  <si>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</si>
  <si>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</si>
  <si>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</si>
  <si>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</si>
  <si>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</si>
  <si>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</si>
  <si>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</si>
  <si>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</si>
  <si>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</si>
  <si>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</si>
  <si>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</si>
  <si>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</si>
  <si>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</si>
  <si>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</si>
  <si>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</si>
  <si>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</si>
  <si>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</si>
  <si>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</si>
  <si>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</si>
  <si>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</si>
  <si>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</si>
  <si>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</si>
  <si>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</si>
  <si>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</si>
  <si>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</si>
  <si>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</si>
  <si>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</si>
  <si>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</si>
  <si>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</si>
  <si>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</si>
  <si>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</si>
  <si>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</si>
  <si>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</si>
  <si>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</si>
  <si>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</si>
  <si>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</si>
  <si>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</si>
  <si>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</si>
  <si>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</si>
  <si>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</si>
  <si>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</si>
  <si>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</si>
  <si>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</si>
  <si>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</si>
  <si>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</si>
  <si>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</si>
  <si>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</si>
  <si>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</si>
  <si>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</si>
  <si>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</si>
  <si>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</si>
  <si>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</si>
  <si>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</si>
  <si>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</si>
  <si>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</si>
  <si>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</si>
  <si>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</si>
  <si>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</si>
  <si>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</si>
  <si>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</si>
  <si>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</si>
  <si>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</si>
  <si>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</si>
  <si>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</si>
  <si>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</si>
  <si>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</si>
  <si>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</si>
  <si>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</si>
  <si>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</si>
  <si>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</si>
  <si>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</si>
  <si>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</si>
  <si>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</si>
  <si>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</si>
  <si>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</si>
  <si>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</si>
  <si>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</si>
  <si>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</si>
  <si>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</si>
  <si>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</si>
  <si>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</si>
  <si>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</si>
  <si>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</si>
  <si>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</si>
  <si>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</si>
  <si>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</si>
  <si>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</si>
  <si>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</si>
  <si>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</si>
  <si>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</si>
  <si>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</si>
  <si>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</si>
  <si>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</si>
  <si>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</si>
  <si>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</si>
  <si>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</si>
  <si>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</si>
  <si>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</si>
  <si>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</si>
  <si>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</si>
  <si>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</si>
  <si>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</si>
  <si>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</si>
  <si>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</si>
  <si>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</si>
  <si>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</si>
  <si>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</si>
  <si>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</si>
  <si>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</si>
  <si>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</si>
  <si>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</si>
  <si>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</si>
  <si>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</si>
  <si>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</si>
  <si>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</si>
  <si>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</si>
  <si>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</si>
  <si>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</si>
  <si>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</si>
  <si>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</si>
  <si>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</si>
  <si>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</si>
  <si>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</si>
  <si>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</si>
  <si>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</si>
  <si>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</si>
  <si>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</si>
  <si>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</si>
  <si>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</si>
  <si>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</si>
  <si>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</si>
  <si>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</si>
  <si>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</si>
  <si>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</si>
  <si>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</si>
  <si>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</si>
  <si>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</si>
  <si>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</si>
  <si>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</si>
  <si>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</si>
  <si>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</si>
  <si>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</si>
  <si>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</si>
  <si>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</si>
  <si>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</si>
  <si>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</si>
  <si>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</si>
  <si>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</si>
  <si>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</si>
  <si>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</si>
  <si>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</si>
  <si>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</si>
  <si>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</si>
  <si>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</si>
  <si>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</si>
  <si>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</si>
  <si>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</si>
  <si>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</si>
  <si>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</si>
  <si>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</si>
  <si>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</si>
  <si>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</si>
  <si>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</si>
  <si>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</si>
  <si>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</si>
  <si>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</si>
  <si>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</si>
  <si>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</si>
  <si>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</si>
  <si>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</si>
  <si>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</si>
  <si>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</si>
  <si>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</si>
  <si>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</si>
  <si>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</si>
  <si>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</si>
  <si>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</si>
  <si>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</si>
  <si>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</si>
  <si>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</si>
  <si>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</si>
  <si>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</si>
  <si>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</si>
  <si>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</si>
  <si>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</si>
  <si>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</si>
  <si>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</si>
  <si>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</si>
  <si>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</si>
  <si>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</si>
  <si>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</si>
  <si>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</si>
  <si>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</si>
  <si>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</si>
  <si>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</si>
  <si>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</si>
  <si>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</si>
  <si>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</si>
  <si>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</si>
  <si>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</si>
  <si>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</si>
  <si>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</si>
  <si>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</si>
  <si>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</si>
  <si>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</si>
  <si>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</si>
  <si>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</si>
  <si>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</si>
  <si>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</si>
  <si>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</si>
  <si>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</si>
  <si>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</si>
  <si>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</si>
  <si>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</si>
  <si>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</si>
  <si>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</si>
  <si>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</si>
  <si>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</si>
  <si>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</si>
  <si>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</si>
  <si>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</si>
  <si>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</si>
  <si>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</si>
  <si>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</si>
  <si>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</si>
  <si>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</si>
  <si>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</si>
  <si>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</si>
  <si>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</si>
  <si>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</si>
  <si>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</si>
  <si>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</si>
  <si>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</si>
  <si>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</si>
  <si>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</si>
  <si>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</si>
  <si>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</si>
  <si>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</si>
  <si>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</si>
  <si>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</si>
  <si>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</si>
  <si>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</si>
  <si>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</si>
  <si>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</si>
  <si>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</si>
  <si>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</si>
  <si>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</si>
  <si>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</si>
  <si>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</si>
  <si>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</si>
  <si>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</si>
  <si>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</si>
  <si>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</si>
  <si>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</si>
  <si>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</si>
  <si>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</si>
  <si>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</si>
  <si>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</si>
  <si>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</si>
  <si>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</si>
  <si>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</si>
  <si>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</si>
  <si>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</si>
  <si>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</si>
  <si>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</si>
  <si>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</si>
  <si>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</si>
  <si>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</si>
  <si>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</si>
  <si>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</si>
  <si>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</si>
  <si>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</si>
  <si>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</si>
  <si>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</si>
  <si>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</si>
  <si>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</si>
  <si>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</si>
  <si>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</si>
  <si>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</si>
  <si>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</si>
  <si>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</si>
  <si>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</si>
  <si>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</si>
  <si>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</si>
  <si>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</si>
  <si>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</si>
  <si>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</si>
  <si>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</si>
  <si>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</si>
  <si>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</si>
  <si>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</si>
  <si>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</si>
  <si>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</si>
  <si>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</si>
  <si>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</si>
  <si>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</si>
  <si>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</si>
  <si>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</si>
  <si>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</si>
  <si>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</si>
  <si>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</si>
  <si>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</si>
  <si>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</si>
  <si>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</si>
  <si>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</si>
  <si>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</si>
  <si>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</si>
  <si>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</si>
  <si>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</si>
  <si>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</si>
  <si>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</si>
  <si>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</si>
  <si>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</si>
  <si>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</si>
  <si>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</si>
  <si>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</si>
  <si>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</si>
  <si>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</si>
  <si>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</si>
  <si>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</si>
  <si>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</si>
  <si>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</si>
  <si>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</si>
  <si>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</si>
  <si>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</si>
  <si>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</si>
  <si>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</si>
  <si>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</si>
  <si>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</si>
  <si>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</si>
  <si>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</si>
  <si>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</si>
  <si>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</si>
  <si>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</si>
  <si>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</si>
  <si>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</si>
  <si>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</si>
  <si>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</si>
  <si>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</si>
  <si>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</si>
  <si>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</si>
  <si>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</si>
  <si>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</si>
  <si>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</si>
  <si>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</si>
  <si>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</si>
  <si>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</si>
  <si>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</si>
  <si>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</si>
  <si>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</si>
  <si>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</si>
  <si>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</si>
  <si>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</si>
  <si>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</si>
  <si>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</si>
  <si>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</si>
  <si>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</si>
  <si>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</si>
  <si>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</si>
  <si>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</si>
  <si>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</si>
  <si>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</si>
  <si>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</si>
  <si>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</si>
  <si>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</si>
  <si>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</si>
  <si>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</si>
  <si>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</si>
  <si>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</si>
  <si>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</si>
  <si>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</si>
  <si>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</si>
  <si>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</si>
  <si>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</si>
  <si>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</si>
  <si>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</si>
  <si>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</si>
  <si>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</si>
  <si>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</si>
  <si>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</si>
  <si>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</si>
  <si>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</si>
  <si>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</si>
  <si>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</si>
  <si>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</si>
  <si>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</si>
  <si>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</si>
  <si>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</si>
  <si>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</si>
  <si>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</si>
  <si>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</si>
  <si>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</si>
  <si>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</si>
  <si>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</si>
  <si>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</si>
  <si>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</si>
  <si>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</si>
  <si>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</si>
  <si>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</si>
  <si>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</si>
  <si>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</si>
  <si>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</si>
  <si>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</si>
  <si>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</si>
  <si>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</si>
  <si>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</si>
  <si>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</si>
  <si>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</si>
  <si>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</si>
  <si>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</si>
  <si>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</si>
  <si>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</si>
  <si>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</si>
  <si>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</si>
  <si>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</si>
  <si>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</si>
  <si>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</si>
  <si>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</si>
  <si>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</si>
  <si>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</si>
  <si>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</si>
  <si>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</si>
  <si>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</si>
  <si>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</si>
  <si>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</si>
  <si>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</si>
  <si>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</si>
  <si>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</si>
  <si>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</si>
  <si>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</si>
  <si>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</si>
  <si>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</si>
  <si>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</si>
  <si>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</si>
  <si>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</si>
  <si>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</si>
  <si>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</si>
  <si>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</si>
  <si>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</si>
  <si>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</si>
  <si>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</si>
  <si>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</si>
  <si>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</si>
  <si>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</si>
  <si>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</si>
  <si>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</si>
  <si>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</si>
  <si>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</si>
  <si>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</si>
  <si>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</si>
  <si>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</si>
  <si>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</si>
  <si>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</si>
  <si>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</si>
  <si>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</si>
  <si>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</si>
  <si>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</si>
  <si>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</si>
  <si>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</si>
  <si>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</si>
  <si>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</si>
  <si>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</si>
  <si>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</si>
  <si>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</si>
  <si>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</si>
  <si>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</si>
  <si>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</si>
  <si>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</si>
  <si>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</si>
  <si>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</si>
  <si>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</si>
  <si>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</si>
  <si>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</si>
  <si>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</si>
  <si>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</si>
  <si>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</si>
  <si>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</si>
  <si>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</si>
  <si>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</si>
  <si>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</si>
  <si>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</si>
  <si>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</si>
  <si>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</si>
  <si>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</si>
  <si>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</si>
  <si>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</si>
  <si>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</si>
  <si>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</si>
  <si>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</si>
  <si>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</si>
  <si>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</si>
  <si>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</si>
  <si>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</si>
  <si>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</si>
  <si>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</si>
  <si>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</si>
  <si>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</si>
  <si>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</si>
  <si>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</si>
  <si>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</si>
  <si>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</si>
  <si>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</si>
  <si>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</si>
  <si>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</si>
  <si>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</si>
  <si>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</si>
  <si>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</si>
  <si>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</si>
  <si>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</si>
  <si>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</si>
  <si>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</si>
  <si>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</si>
  <si>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</si>
  <si>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</si>
  <si>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</si>
  <si>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</si>
  <si>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</si>
  <si>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</si>
  <si>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</si>
  <si>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</si>
  <si>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</si>
  <si>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</si>
  <si>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</si>
  <si>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</si>
  <si>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</si>
  <si>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</si>
  <si>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</si>
  <si>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</si>
  <si>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</si>
  <si>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</si>
  <si>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</si>
  <si>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</si>
  <si>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</si>
  <si>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</si>
  <si>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</si>
  <si>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</si>
  <si>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</si>
  <si>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</si>
  <si>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</si>
  <si>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</si>
  <si>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</si>
  <si>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</si>
  <si>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</si>
  <si>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</si>
  <si>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</si>
  <si>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</si>
  <si>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</si>
  <si>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</si>
  <si>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</si>
  <si>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</si>
  <si>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</si>
  <si>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</si>
  <si>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</si>
  <si>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</si>
  <si>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</si>
  <si>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</si>
  <si>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</si>
  <si>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</si>
  <si>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</si>
  <si>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</si>
  <si>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</si>
  <si>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</si>
  <si>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</si>
  <si>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</si>
  <si>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</si>
  <si>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</si>
  <si>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</si>
  <si>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</si>
  <si>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</si>
  <si>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</si>
  <si>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</si>
  <si>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</si>
  <si>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</si>
  <si>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</si>
  <si>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</si>
  <si>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</si>
  <si>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</si>
  <si>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</si>
  <si>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</si>
  <si>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</si>
  <si>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</si>
  <si>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</si>
  <si>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</si>
  <si>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</si>
  <si>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</si>
  <si>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</si>
  <si>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</si>
  <si>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</si>
  <si>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</si>
  <si>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</si>
  <si>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</si>
  <si>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</si>
  <si>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</si>
  <si>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</si>
  <si>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</si>
  <si>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</si>
  <si>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</si>
  <si>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</si>
  <si>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</si>
  <si>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</si>
  <si>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</si>
  <si>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</si>
  <si>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</si>
  <si>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</si>
  <si>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</si>
  <si>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</si>
  <si>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</si>
  <si>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</si>
  <si>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</si>
  <si>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</si>
  <si>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</si>
  <si>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</si>
  <si>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</si>
  <si>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</si>
  <si>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</si>
  <si>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</si>
  <si>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</si>
  <si>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</si>
  <si>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</si>
  <si>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</si>
  <si>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</si>
  <si>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</si>
  <si>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</si>
  <si>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</si>
  <si>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</si>
  <si>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</si>
  <si>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</si>
  <si>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</si>
  <si>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</si>
  <si>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</si>
  <si>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</si>
  <si>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</si>
  <si>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</si>
  <si>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</si>
  <si>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</si>
  <si>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</si>
  <si>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</si>
  <si>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</si>
  <si>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</si>
  <si>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</si>
  <si>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</si>
  <si>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</si>
  <si>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</si>
  <si>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</si>
  <si>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</si>
  <si>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</si>
  <si>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</si>
  <si>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</si>
  <si>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</si>
  <si>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</si>
  <si>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</si>
  <si>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</si>
  <si>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</si>
  <si>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</si>
  <si>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</si>
  <si>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</si>
  <si>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</si>
  <si>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</si>
  <si>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</si>
  <si>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</si>
  <si>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</si>
  <si>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</si>
  <si>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</si>
  <si>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</si>
  <si>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</si>
  <si>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</si>
  <si>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</si>
  <si>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</si>
  <si>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</si>
  <si>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</si>
  <si>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</si>
  <si>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</si>
  <si>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</si>
  <si>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</si>
  <si>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</si>
  <si>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</si>
  <si>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</si>
  <si>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</si>
  <si>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</si>
  <si>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</si>
  <si>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</si>
  <si>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</si>
  <si>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</si>
  <si>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</si>
  <si>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</si>
  <si>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</si>
  <si>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</si>
  <si>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</si>
  <si>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</si>
  <si>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</si>
  <si>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</si>
  <si>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</si>
  <si>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</si>
  <si>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</si>
  <si>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</si>
  <si>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</si>
  <si>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</si>
  <si>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</si>
  <si>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</si>
  <si>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</si>
  <si>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</si>
  <si>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</si>
  <si>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</si>
  <si>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</si>
  <si>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</si>
  <si>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</si>
  <si>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</si>
  <si>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</si>
  <si>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</si>
  <si>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</si>
  <si>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</si>
  <si>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</si>
  <si>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</si>
  <si>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</si>
  <si>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</si>
  <si>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</si>
  <si>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</si>
  <si>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</si>
  <si>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</si>
  <si>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</si>
  <si>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</si>
  <si>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</si>
  <si>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</si>
  <si>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</si>
  <si>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</si>
  <si>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</si>
  <si>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</si>
  <si>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</si>
  <si>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</si>
  <si>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</si>
  <si>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</si>
  <si>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</si>
  <si>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</si>
  <si>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</si>
  <si>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</si>
  <si>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</si>
  <si>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</si>
  <si>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</si>
  <si>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</si>
  <si>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</si>
  <si>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</si>
  <si>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</si>
  <si>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</si>
  <si>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</si>
  <si>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</si>
  <si>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</si>
  <si>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</si>
  <si>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</si>
  <si>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</si>
  <si>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</si>
  <si>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</si>
  <si>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</si>
  <si>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</si>
  <si>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</si>
  <si>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</si>
  <si>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</si>
  <si>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</si>
  <si>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</si>
  <si>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</si>
  <si>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</si>
  <si>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</si>
  <si>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</si>
  <si>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</si>
  <si>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</si>
  <si>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</si>
  <si>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</si>
  <si>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</si>
  <si>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</si>
  <si>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</si>
  <si>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</si>
  <si>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</si>
  <si>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</si>
  <si>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</si>
  <si>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</si>
  <si>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</si>
  <si>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</si>
  <si>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</si>
  <si>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</si>
  <si>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</si>
  <si>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</si>
  <si>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</si>
  <si>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</si>
  <si>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</si>
  <si>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</si>
  <si>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</si>
  <si>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</si>
  <si>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</si>
  <si>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</si>
  <si>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</si>
  <si>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</si>
  <si>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</si>
  <si>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</si>
  <si>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</si>
  <si>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</si>
  <si>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</si>
  <si>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</si>
  <si>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</si>
  <si>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</si>
  <si>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</si>
  <si>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</si>
  <si>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</si>
  <si>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</si>
  <si>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</si>
  <si>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</si>
  <si>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</si>
  <si>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</si>
  <si>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</si>
  <si>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</si>
  <si>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</si>
  <si>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</si>
  <si>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</si>
  <si>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</si>
  <si>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</si>
  <si>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</si>
  <si>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</si>
  <si>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</si>
  <si>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</si>
  <si>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</si>
  <si>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</si>
  <si>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</si>
  <si>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</si>
  <si>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</si>
  <si>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</si>
  <si>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</si>
  <si>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</si>
  <si>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</si>
  <si>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</si>
  <si>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</si>
  <si>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</si>
  <si>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</si>
  <si>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</si>
  <si>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</si>
  <si>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</si>
  <si>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</si>
  <si>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</si>
  <si>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</si>
  <si>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</si>
  <si>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</si>
  <si>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</si>
  <si>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</si>
  <si>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</si>
  <si>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</si>
  <si>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</si>
  <si>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</si>
  <si>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</si>
  <si>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</si>
  <si>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</si>
  <si>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</si>
  <si>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</si>
  <si>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</si>
  <si>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</si>
  <si>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</si>
  <si>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</si>
  <si>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</si>
  <si>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</si>
  <si>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</si>
  <si>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</si>
  <si>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</si>
  <si>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</si>
  <si>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</si>
  <si>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</si>
  <si>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</si>
  <si>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</si>
  <si>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</si>
  <si>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</si>
  <si>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</si>
  <si>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</si>
  <si>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</si>
  <si>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</si>
  <si>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</si>
  <si>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</si>
  <si>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</si>
  <si>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</si>
  <si>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</si>
  <si>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</si>
  <si>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</si>
  <si>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</si>
  <si>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</si>
  <si>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</si>
  <si>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</si>
  <si>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</si>
  <si>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</si>
  <si>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</si>
  <si>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</si>
  <si>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</si>
  <si>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</si>
  <si>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</si>
  <si>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</si>
  <si>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</si>
  <si>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</si>
  <si>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</si>
  <si>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</si>
  <si>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</si>
  <si>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</si>
  <si>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</si>
  <si>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</si>
  <si>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</si>
  <si>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</si>
  <si>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</si>
  <si>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</si>
  <si>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</si>
  <si>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</si>
  <si>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</si>
  <si>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</si>
  <si>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</si>
  <si>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</si>
  <si>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</si>
  <si>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</si>
  <si>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</si>
  <si>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</si>
  <si>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</si>
  <si>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</si>
  <si>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</si>
  <si>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</si>
  <si>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</si>
  <si>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</si>
  <si>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</si>
  <si>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</si>
  <si>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</si>
  <si>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</si>
  <si>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</si>
  <si>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</si>
  <si>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</si>
  <si>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</si>
  <si>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</si>
  <si>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</si>
  <si>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</si>
  <si>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</si>
  <si>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</si>
  <si>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</si>
  <si>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</si>
  <si>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</si>
  <si>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</si>
  <si>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</si>
  <si>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</si>
  <si>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</si>
  <si>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</si>
  <si>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</si>
  <si>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</si>
  <si>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</si>
  <si>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</si>
  <si>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</si>
  <si>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</si>
  <si>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</si>
  <si>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</si>
  <si>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</si>
  <si>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</si>
  <si>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</si>
  <si>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</si>
  <si>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</si>
  <si>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</si>
  <si>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</si>
  <si>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</si>
  <si>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</si>
  <si>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</si>
  <si>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</si>
  <si>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</si>
  <si>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</si>
  <si>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</si>
  <si>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</si>
  <si>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</si>
  <si>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</si>
  <si>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</si>
  <si>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</si>
  <si>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</si>
  <si>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</si>
  <si>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</si>
  <si>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</si>
  <si>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</si>
  <si>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</si>
  <si>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</si>
  <si>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</si>
  <si>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</si>
  <si>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</si>
  <si>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</si>
  <si>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</si>
  <si>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</si>
  <si>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</si>
  <si>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</si>
  <si>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</si>
  <si>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</si>
  <si>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</si>
  <si>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</si>
  <si>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</si>
  <si>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</si>
  <si>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</si>
  <si>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</si>
  <si>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</si>
  <si>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</si>
  <si>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</si>
  <si>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</si>
  <si>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</si>
  <si>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</si>
  <si>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</si>
  <si>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</si>
  <si>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</si>
  <si>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</si>
  <si>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</si>
  <si>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</si>
  <si>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</si>
  <si>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</si>
  <si>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</si>
  <si>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</si>
  <si>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</si>
  <si>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</si>
  <si>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</si>
  <si>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</si>
  <si>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</si>
  <si>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</si>
  <si>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</si>
  <si>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</si>
  <si>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</si>
  <si>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</si>
  <si>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</si>
  <si>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</si>
  <si>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</si>
  <si>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</si>
  <si>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</si>
  <si>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</si>
  <si>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</si>
  <si>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</si>
  <si>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</si>
  <si>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</si>
  <si>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</si>
  <si>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</si>
  <si>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</si>
  <si>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</si>
  <si>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</si>
  <si>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</si>
  <si>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</si>
  <si>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</si>
  <si>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</si>
  <si>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</si>
  <si>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</si>
  <si>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</si>
  <si>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</si>
  <si>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</si>
  <si>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</si>
  <si>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</si>
  <si>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</si>
  <si>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</si>
  <si>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</si>
  <si>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</si>
  <si>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</si>
  <si>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</si>
  <si>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</si>
  <si>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</si>
  <si>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</si>
  <si>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</si>
  <si>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</si>
  <si>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</si>
  <si>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</si>
  <si>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</si>
  <si>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</si>
  <si>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</si>
  <si>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</si>
  <si>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</si>
  <si>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</si>
  <si>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</si>
  <si>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</si>
  <si>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</si>
  <si>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</si>
  <si>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</si>
  <si>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</si>
  <si>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</si>
  <si>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</si>
  <si>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</si>
  <si>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</si>
  <si>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</si>
  <si>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</si>
  <si>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</si>
  <si>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</si>
  <si>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</si>
  <si>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</si>
  <si>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</si>
  <si>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</si>
  <si>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</si>
  <si>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</si>
  <si>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</si>
  <si>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</si>
  <si>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</si>
  <si>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</si>
  <si>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</si>
  <si>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</si>
  <si>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</si>
  <si>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</si>
  <si>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</si>
  <si>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</si>
  <si>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</si>
  <si>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</si>
  <si>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</si>
  <si>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</si>
  <si>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</si>
  <si>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</si>
  <si>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</si>
  <si>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</si>
  <si>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</si>
  <si>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</si>
  <si>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</si>
  <si>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</si>
  <si>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</si>
  <si>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</si>
  <si>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</si>
  <si>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</si>
  <si>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</si>
  <si>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</si>
  <si>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</si>
  <si>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</si>
  <si>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</si>
  <si>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</si>
  <si>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</si>
  <si>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</si>
  <si>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</si>
  <si>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</si>
  <si>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</si>
  <si>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</si>
  <si>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</si>
  <si>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</si>
  <si>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</si>
  <si>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</si>
  <si>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</si>
  <si>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</si>
  <si>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</si>
  <si>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</si>
  <si>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</si>
  <si>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</si>
  <si>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</si>
  <si>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</si>
  <si>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</si>
  <si>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</si>
  <si>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</si>
  <si>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</si>
  <si>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</si>
  <si>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</si>
  <si>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</si>
  <si>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</si>
  <si>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</si>
  <si>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</si>
  <si>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</si>
  <si>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</si>
  <si>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</si>
  <si>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</si>
  <si>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</si>
  <si>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</si>
  <si>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</si>
  <si>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</si>
  <si>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</si>
  <si>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</si>
  <si>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</si>
  <si>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</si>
  <si>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</si>
  <si>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</si>
  <si>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</si>
  <si>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</si>
  <si>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</si>
  <si>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</si>
  <si>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</si>
  <si>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</si>
  <si>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</si>
  <si>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</si>
  <si>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</si>
  <si>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</si>
  <si>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</si>
  <si>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</si>
  <si>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</si>
  <si>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</si>
  <si>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</si>
  <si>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</si>
  <si>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</si>
  <si>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</si>
  <si>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</si>
  <si>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</si>
  <si>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</si>
  <si>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</si>
  <si>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</si>
  <si>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</si>
  <si>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</si>
  <si>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</si>
  <si>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</si>
  <si>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</si>
  <si>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</si>
  <si>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</si>
  <si>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</si>
  <si>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</si>
  <si>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</si>
  <si>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</si>
  <si>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</si>
  <si>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</si>
  <si>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</si>
  <si>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</si>
  <si>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</si>
  <si>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</si>
  <si>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</si>
  <si>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</si>
  <si>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</si>
  <si>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</si>
  <si>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</si>
  <si>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</si>
  <si>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</si>
  <si>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</si>
  <si>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</si>
  <si>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</si>
  <si>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</si>
  <si>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</si>
  <si>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</si>
  <si>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</si>
  <si>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</si>
  <si>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</si>
  <si>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</si>
  <si>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</si>
  <si>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</si>
  <si>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</si>
  <si>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</si>
  <si>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</si>
  <si>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</si>
  <si>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</si>
  <si>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147</t>
  </si>
  <si>
    <t>Mid Valley Hospital</t>
  </si>
  <si>
    <t xml:space="preserve"> 810 Jasmine Street</t>
  </si>
  <si>
    <t>PO Box 793</t>
  </si>
  <si>
    <t>Omak, WA  98841</t>
  </si>
  <si>
    <t>Okanogan</t>
  </si>
  <si>
    <t>Alan J Fisher</t>
  </si>
  <si>
    <t>Holly J Stanley</t>
  </si>
  <si>
    <t>Gary H Oestreich</t>
  </si>
  <si>
    <t>509-826-1760</t>
  </si>
  <si>
    <t>509-826-8183</t>
  </si>
  <si>
    <t>12/31/2021</t>
  </si>
  <si>
    <t>Winnie R Adams</t>
  </si>
  <si>
    <t>Evon LaGrou, Secretary, acting on behalf of Chair</t>
  </si>
  <si>
    <t>Received/reported COVID PRF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</si>
</sst>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8" fontId="9" fillId="0" borderId="1" xfId="0" applyNumberFormat="1" applyFont="1" applyBorder="1" applyProtection="1">
      <protection locked="0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8" fontId="9" fillId="0" borderId="1" xfId="0" applyNumberFormat="1" applyFont="1" applyBorder="1" applyAlignment="1" applyProtection="1">
      <alignment horizontal="center"/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85" zoomScaleNormal="85" workbookViewId="0">
      <selection activeCell="A396" sqref="A39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4200996</v>
      </c>
      <c r="C47" s="184"/>
      <c r="D47" s="184"/>
      <c r="E47" s="184">
        <f>463603.1+65226.47</f>
        <v>528829.56999999995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169581.4</v>
      </c>
      <c r="P47" s="184">
        <v>185866.74</v>
      </c>
      <c r="Q47" s="184">
        <v>111906.8</v>
      </c>
      <c r="R47" s="184"/>
      <c r="S47" s="184">
        <v>29112.39</v>
      </c>
      <c r="T47" s="184"/>
      <c r="U47" s="184">
        <v>153413.48000000001</v>
      </c>
      <c r="V47" s="184"/>
      <c r="W47" s="184"/>
      <c r="X47" s="184"/>
      <c r="Y47" s="184">
        <v>242657.93</v>
      </c>
      <c r="Z47" s="184"/>
      <c r="AA47" s="184"/>
      <c r="AB47" s="184">
        <v>46635.360000000001</v>
      </c>
      <c r="AC47" s="184">
        <v>55297.29</v>
      </c>
      <c r="AD47" s="184"/>
      <c r="AE47" s="184">
        <v>135150.10999999999</v>
      </c>
      <c r="AF47" s="184"/>
      <c r="AG47" s="184">
        <v>373194.37</v>
      </c>
      <c r="AH47" s="184"/>
      <c r="AI47" s="184"/>
      <c r="AJ47" s="184">
        <v>7150.2</v>
      </c>
      <c r="AK47" s="184"/>
      <c r="AL47" s="184"/>
      <c r="AM47" s="184"/>
      <c r="AN47" s="184"/>
      <c r="AO47" s="184"/>
      <c r="AP47" s="184">
        <v>901381.73</v>
      </c>
      <c r="AQ47" s="184"/>
      <c r="AR47" s="184"/>
      <c r="AS47" s="184"/>
      <c r="AT47" s="184"/>
      <c r="AU47" s="184"/>
      <c r="AV47" s="184"/>
      <c r="AW47" s="184"/>
      <c r="AX47" s="184"/>
      <c r="AY47" s="184">
        <v>99165.119999999995</v>
      </c>
      <c r="AZ47" s="184"/>
      <c r="BA47" s="184"/>
      <c r="BB47" s="184"/>
      <c r="BC47" s="184"/>
      <c r="BD47" s="184">
        <v>37126.92</v>
      </c>
      <c r="BE47" s="184">
        <v>54370.15</v>
      </c>
      <c r="BF47" s="184">
        <v>134962.06</v>
      </c>
      <c r="BG47" s="184">
        <v>15177.25</v>
      </c>
      <c r="BH47" s="184">
        <v>92147.61</v>
      </c>
      <c r="BI47" s="184"/>
      <c r="BJ47" s="184">
        <v>117761.71</v>
      </c>
      <c r="BK47" s="184">
        <v>201580.14</v>
      </c>
      <c r="BL47" s="184">
        <v>66132.710000000006</v>
      </c>
      <c r="BM47" s="184"/>
      <c r="BN47" s="184">
        <f>130688.77</f>
        <v>130688.77</v>
      </c>
      <c r="BO47" s="184">
        <v>52349.19</v>
      </c>
      <c r="BP47" s="184"/>
      <c r="BQ47" s="184"/>
      <c r="BR47" s="184">
        <v>45927.41</v>
      </c>
      <c r="BS47" s="184"/>
      <c r="BT47" s="184"/>
      <c r="BU47" s="184"/>
      <c r="BV47" s="184">
        <v>131728.94</v>
      </c>
      <c r="BW47" s="184"/>
      <c r="BX47" s="184">
        <v>21845.21</v>
      </c>
      <c r="BY47" s="184">
        <v>57550.02</v>
      </c>
      <c r="BZ47" s="184"/>
      <c r="CA47" s="184">
        <v>228.45</v>
      </c>
      <c r="CB47" s="184"/>
      <c r="CC47" s="184">
        <v>2076.7399999999998</v>
      </c>
      <c r="CD47" s="195"/>
      <c r="CE47" s="195">
        <f>SUM(C47:CC47)</f>
        <v>4200995.7700000005</v>
      </c>
    </row>
    <row r="48" spans="1:83" ht="12.65" customHeight="1" x14ac:dyDescent="0.3">
      <c r="A48" s="175" t="s">
        <v>205</v>
      </c>
      <c r="B48" s="183">
        <f>15388.88</f>
        <v>15388.88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2048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656</v>
      </c>
      <c r="P48" s="195">
        <f>ROUND(((B48/CE61)*P61),0)</f>
        <v>667</v>
      </c>
      <c r="Q48" s="195">
        <f>ROUND(((B48/CE61)*Q61),0)</f>
        <v>458</v>
      </c>
      <c r="R48" s="195">
        <f>ROUND(((B48/CE61)*R61),0)</f>
        <v>0</v>
      </c>
      <c r="S48" s="195">
        <f>ROUND(((B48/CE61)*S61),0)</f>
        <v>54</v>
      </c>
      <c r="T48" s="195">
        <f>ROUND(((B48/CE61)*T61),0)</f>
        <v>0</v>
      </c>
      <c r="U48" s="195">
        <f>ROUND(((B48/CE61)*U61),0)</f>
        <v>532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838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173</v>
      </c>
      <c r="AC48" s="195">
        <f>ROUND(((B48/CE61)*AC61),0)</f>
        <v>243</v>
      </c>
      <c r="AD48" s="195">
        <f>ROUND(((B48/CE61)*AD61),0)</f>
        <v>0</v>
      </c>
      <c r="AE48" s="195">
        <f>ROUND(((B48/CE61)*AE61),0)</f>
        <v>420</v>
      </c>
      <c r="AF48" s="195">
        <f>ROUND(((B48/CE61)*AF61),0)</f>
        <v>0</v>
      </c>
      <c r="AG48" s="195">
        <f>ROUND(((B48/CE61)*AG61),0)</f>
        <v>1306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4120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269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103</v>
      </c>
      <c r="BE48" s="195">
        <f>ROUND(((B48/CE61)*BE61),0)</f>
        <v>169</v>
      </c>
      <c r="BF48" s="195">
        <f>ROUND(((B48/CE61)*BF61),0)</f>
        <v>359</v>
      </c>
      <c r="BG48" s="195">
        <f>ROUND(((B48/CE61)*BG61),0)</f>
        <v>28</v>
      </c>
      <c r="BH48" s="195">
        <f>ROUND(((B48/CE61)*BH61),0)</f>
        <v>281</v>
      </c>
      <c r="BI48" s="195">
        <f>ROUND(((B48/CE61)*BI61),0)</f>
        <v>0</v>
      </c>
      <c r="BJ48" s="195">
        <f>ROUND(((B48/CE61)*BJ61),0)</f>
        <v>429</v>
      </c>
      <c r="BK48" s="195">
        <f>ROUND(((B48/CE61)*BK61),0)</f>
        <v>473</v>
      </c>
      <c r="BL48" s="195">
        <f>ROUND(((B48/CE61)*BL61),0)</f>
        <v>164</v>
      </c>
      <c r="BM48" s="195">
        <f>ROUND(((B48/CE61)*BM61),0)</f>
        <v>0</v>
      </c>
      <c r="BN48" s="195">
        <f>ROUND(((B48/CE61)*BN61),0)</f>
        <v>581</v>
      </c>
      <c r="BO48" s="195">
        <f>ROUND(((B48/CE61)*BO61),0)</f>
        <v>164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164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344</v>
      </c>
      <c r="BW48" s="195">
        <f>ROUND(((B48/CE61)*BW61),0)</f>
        <v>0</v>
      </c>
      <c r="BX48" s="195">
        <f>ROUND(((B48/CE61)*BX61),0)</f>
        <v>73</v>
      </c>
      <c r="BY48" s="195">
        <f>ROUND(((B48/CE61)*BY61),0)</f>
        <v>223</v>
      </c>
      <c r="BZ48" s="195">
        <f>ROUND(((B48/CE61)*BZ61),0)</f>
        <v>0</v>
      </c>
      <c r="CA48" s="195">
        <f>ROUND(((B48/CE61)*CA61),0)</f>
        <v>1</v>
      </c>
      <c r="CB48" s="195">
        <f>ROUND(((B48/CE61)*CB61),0)</f>
        <v>0</v>
      </c>
      <c r="CC48" s="195">
        <f>ROUND(((B48/CE61)*CC61),0)</f>
        <v>21</v>
      </c>
      <c r="CD48" s="195"/>
      <c r="CE48" s="195">
        <f>SUM(C48:CD48)</f>
        <v>15388</v>
      </c>
    </row>
    <row r="49" spans="1:84" ht="12.65" customHeight="1" x14ac:dyDescent="0.3">
      <c r="A49" s="175" t="s">
        <v>206</v>
      </c>
      <c r="B49" s="195">
        <f>B47+B48</f>
        <v>4216384.88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1210072.21</v>
      </c>
      <c r="C51" s="184"/>
      <c r="D51" s="184"/>
      <c r="E51" s="184">
        <v>36264.980000000003</v>
      </c>
      <c r="F51" s="184"/>
      <c r="G51" s="184"/>
      <c r="H51" s="184"/>
      <c r="I51" s="184"/>
      <c r="J51" s="184">
        <v>1423.5</v>
      </c>
      <c r="K51" s="184"/>
      <c r="L51" s="184"/>
      <c r="M51" s="184"/>
      <c r="N51" s="184"/>
      <c r="O51" s="184">
        <v>20778.79</v>
      </c>
      <c r="P51" s="184">
        <v>259897.44</v>
      </c>
      <c r="Q51" s="184">
        <v>13975.85</v>
      </c>
      <c r="R51" s="184"/>
      <c r="S51" s="184">
        <v>360.63</v>
      </c>
      <c r="T51" s="184"/>
      <c r="U51" s="184">
        <v>38714.559999999998</v>
      </c>
      <c r="V51" s="184">
        <v>1171.6500000000001</v>
      </c>
      <c r="W51" s="184"/>
      <c r="X51" s="184"/>
      <c r="Y51" s="184">
        <v>532847.49</v>
      </c>
      <c r="Z51" s="184"/>
      <c r="AA51" s="184"/>
      <c r="AB51" s="184"/>
      <c r="AC51" s="184">
        <f>5670.87-1171.65</f>
        <v>4499.2199999999993</v>
      </c>
      <c r="AD51" s="184"/>
      <c r="AE51" s="184">
        <v>9580</v>
      </c>
      <c r="AF51" s="184"/>
      <c r="AG51" s="184">
        <v>126706.47</v>
      </c>
      <c r="AH51" s="184"/>
      <c r="AI51" s="184"/>
      <c r="AJ51" s="184">
        <v>7629.06</v>
      </c>
      <c r="AK51" s="184"/>
      <c r="AL51" s="184"/>
      <c r="AM51" s="184"/>
      <c r="AN51" s="184"/>
      <c r="AO51" s="184"/>
      <c r="AP51" s="184">
        <v>59530</v>
      </c>
      <c r="AQ51" s="184"/>
      <c r="AR51" s="184"/>
      <c r="AS51" s="184"/>
      <c r="AT51" s="184"/>
      <c r="AU51" s="184"/>
      <c r="AV51" s="184"/>
      <c r="AW51" s="184"/>
      <c r="AX51" s="184"/>
      <c r="AY51" s="184">
        <v>6971.5</v>
      </c>
      <c r="AZ51" s="184"/>
      <c r="BA51" s="184"/>
      <c r="BB51" s="184"/>
      <c r="BC51" s="184"/>
      <c r="BD51" s="184"/>
      <c r="BE51" s="184">
        <f>17057.91+17436.05+16016.2</f>
        <v>50510.16</v>
      </c>
      <c r="BF51" s="184"/>
      <c r="BG51" s="184"/>
      <c r="BH51" s="184">
        <v>35038.959999999999</v>
      </c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146</v>
      </c>
      <c r="BW51" s="184"/>
      <c r="BX51" s="184"/>
      <c r="BY51" s="184"/>
      <c r="BZ51" s="184"/>
      <c r="CA51" s="184">
        <v>4025.95</v>
      </c>
      <c r="CB51" s="184"/>
      <c r="CC51" s="184"/>
      <c r="CD51" s="195"/>
      <c r="CE51" s="195">
        <f>SUM(C51:CD51)</f>
        <v>1210072.2099999997</v>
      </c>
    </row>
    <row r="52" spans="1:84" ht="12.65" customHeight="1" x14ac:dyDescent="0.3">
      <c r="A52" s="171" t="s">
        <v>208</v>
      </c>
      <c r="B52" s="184">
        <v>911377.97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68989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1567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18983</v>
      </c>
      <c r="P52" s="195">
        <f>ROUND((B52/(CE76+CF76)*P76),0)</f>
        <v>45084</v>
      </c>
      <c r="Q52" s="195">
        <f>ROUND((B52/(CE76+CF76)*Q76),0)</f>
        <v>13917</v>
      </c>
      <c r="R52" s="195">
        <f>ROUND((B52/(CE76+CF76)*R76),0)</f>
        <v>0</v>
      </c>
      <c r="S52" s="195">
        <f>ROUND((B52/(CE76+CF76)*S76),0)</f>
        <v>17967</v>
      </c>
      <c r="T52" s="195">
        <f>ROUND((B52/(CE76+CF76)*T76),0)</f>
        <v>0</v>
      </c>
      <c r="U52" s="195">
        <f>ROUND((B52/(CE76+CF76)*U76),0)</f>
        <v>13387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59078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6489</v>
      </c>
      <c r="AC52" s="195">
        <f>ROUND((B52/(CE76+CF76)*AC76),0)</f>
        <v>4348</v>
      </c>
      <c r="AD52" s="195">
        <f>ROUND((B52/(CE76+CF76)*AD76),0)</f>
        <v>0</v>
      </c>
      <c r="AE52" s="195">
        <f>ROUND((B52/(CE76+CF76)*AE76),0)</f>
        <v>31189</v>
      </c>
      <c r="AF52" s="195">
        <f>ROUND((B52/(CE76+CF76)*AF76),0)</f>
        <v>0</v>
      </c>
      <c r="AG52" s="195">
        <f>ROUND((B52/(CE76+CF76)*AG76),0)</f>
        <v>39742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173592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26344</v>
      </c>
      <c r="AZ52" s="195">
        <f>ROUND((B52/(CE76+CF76)*AZ76),0)</f>
        <v>0</v>
      </c>
      <c r="BA52" s="195">
        <f>ROUND((B52/(CE76+CF76)*BA76),0)</f>
        <v>5584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3785</v>
      </c>
      <c r="BE52" s="195">
        <f>ROUND((B52/(CE76+CF76)*BE76),0)</f>
        <v>272964</v>
      </c>
      <c r="BF52" s="195">
        <f>ROUND((B52/(CE76+CF76)*BF76),0)</f>
        <v>3863</v>
      </c>
      <c r="BG52" s="195">
        <f>ROUND((B52/(CE76+CF76)*BG76),0)</f>
        <v>3223</v>
      </c>
      <c r="BH52" s="195">
        <f>ROUND((B52/(CE76+CF76)*BH76),0)</f>
        <v>7196</v>
      </c>
      <c r="BI52" s="195">
        <f>ROUND((B52/(CE76+CF76)*BI76),0)</f>
        <v>0</v>
      </c>
      <c r="BJ52" s="195">
        <f>ROUND((B52/(CE76+CF76)*BJ76),0)</f>
        <v>6787</v>
      </c>
      <c r="BK52" s="195">
        <f>ROUND((B52/(CE76+CF76)*BK76),0)</f>
        <v>19347</v>
      </c>
      <c r="BL52" s="195">
        <f>ROUND((B52/(CE76+CF76)*BL76),0)</f>
        <v>2781</v>
      </c>
      <c r="BM52" s="195">
        <f>ROUND((B52/(CE76+CF76)*BM76),0)</f>
        <v>0</v>
      </c>
      <c r="BN52" s="195">
        <f>ROUND((B52/(CE76+CF76)*BN76),0)</f>
        <v>8807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3565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16643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4834</v>
      </c>
      <c r="BZ52" s="195">
        <f>ROUND((B52/(CE76+CF76)*BZ76),0)</f>
        <v>0</v>
      </c>
      <c r="CA52" s="195">
        <f>ROUND((B52/(CE76+CF76)*CA76),0)</f>
        <v>31321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911376</v>
      </c>
    </row>
    <row r="53" spans="1:84" ht="12.65" customHeight="1" x14ac:dyDescent="0.3">
      <c r="A53" s="175" t="s">
        <v>206</v>
      </c>
      <c r="B53" s="195">
        <f>B51+B52</f>
        <v>2121450.1799999997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f>1597+512</f>
        <v>2109</v>
      </c>
      <c r="F59" s="184"/>
      <c r="G59" s="184"/>
      <c r="H59" s="184"/>
      <c r="I59" s="184"/>
      <c r="J59" s="184">
        <v>411</v>
      </c>
      <c r="K59" s="184"/>
      <c r="L59" s="184">
        <v>128</v>
      </c>
      <c r="M59" s="184"/>
      <c r="N59" s="184"/>
      <c r="O59" s="184">
        <v>310</v>
      </c>
      <c r="P59" s="185">
        <v>110137</v>
      </c>
      <c r="Q59" s="185">
        <v>129375</v>
      </c>
      <c r="R59" s="185">
        <v>119033</v>
      </c>
      <c r="S59" s="248"/>
      <c r="T59" s="248"/>
      <c r="U59" s="224">
        <v>95490</v>
      </c>
      <c r="V59" s="185">
        <v>2510</v>
      </c>
      <c r="W59" s="185"/>
      <c r="X59" s="185"/>
      <c r="Y59" s="185">
        <v>18393</v>
      </c>
      <c r="Z59" s="185"/>
      <c r="AA59" s="185"/>
      <c r="AB59" s="248"/>
      <c r="AC59" s="185">
        <v>2874</v>
      </c>
      <c r="AD59" s="185"/>
      <c r="AE59" s="185">
        <v>10563</v>
      </c>
      <c r="AF59" s="185"/>
      <c r="AG59" s="185">
        <v>9642</v>
      </c>
      <c r="AH59" s="185"/>
      <c r="AI59" s="185"/>
      <c r="AJ59" s="185"/>
      <c r="AK59" s="185"/>
      <c r="AL59" s="185"/>
      <c r="AM59" s="185"/>
      <c r="AN59" s="185"/>
      <c r="AO59" s="185"/>
      <c r="AP59" s="185">
        <v>21696</v>
      </c>
      <c r="AQ59" s="185"/>
      <c r="AR59" s="185"/>
      <c r="AS59" s="185"/>
      <c r="AT59" s="185"/>
      <c r="AU59" s="185"/>
      <c r="AV59" s="248"/>
      <c r="AW59" s="248"/>
      <c r="AX59" s="248"/>
      <c r="AY59" s="185">
        <v>10306</v>
      </c>
      <c r="AZ59" s="185"/>
      <c r="BA59" s="248"/>
      <c r="BB59" s="248"/>
      <c r="BC59" s="248"/>
      <c r="BD59" s="248"/>
      <c r="BE59" s="185">
        <v>82579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f>24.46+2.62</f>
        <v>27.080000000000002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8.5399999999999991</v>
      </c>
      <c r="P60" s="221">
        <v>9.31</v>
      </c>
      <c r="Q60" s="221">
        <v>5.13</v>
      </c>
      <c r="R60" s="221"/>
      <c r="S60" s="221">
        <v>1.962</v>
      </c>
      <c r="T60" s="221"/>
      <c r="U60" s="221">
        <v>9.1</v>
      </c>
      <c r="V60" s="221"/>
      <c r="W60" s="221"/>
      <c r="X60" s="221"/>
      <c r="Y60" s="221">
        <v>12.36</v>
      </c>
      <c r="Z60" s="221"/>
      <c r="AA60" s="221"/>
      <c r="AB60" s="221">
        <v>2</v>
      </c>
      <c r="AC60" s="221">
        <f>2.57+0.02</f>
        <v>2.59</v>
      </c>
      <c r="AD60" s="221"/>
      <c r="AE60" s="221">
        <f>6.27+0.19+0.05</f>
        <v>6.51</v>
      </c>
      <c r="AF60" s="221"/>
      <c r="AG60" s="221">
        <f>19.23+0.56</f>
        <v>19.79</v>
      </c>
      <c r="AH60" s="221"/>
      <c r="AI60" s="221"/>
      <c r="AJ60" s="221">
        <v>0.38</v>
      </c>
      <c r="AK60" s="221"/>
      <c r="AL60" s="221"/>
      <c r="AM60" s="221"/>
      <c r="AN60" s="221"/>
      <c r="AO60" s="221"/>
      <c r="AP60" s="221">
        <v>41.37</v>
      </c>
      <c r="AQ60" s="221"/>
      <c r="AR60" s="221"/>
      <c r="AS60" s="221"/>
      <c r="AT60" s="221"/>
      <c r="AU60" s="221"/>
      <c r="AV60" s="221"/>
      <c r="AW60" s="221"/>
      <c r="AX60" s="221"/>
      <c r="AY60" s="221">
        <v>6.97</v>
      </c>
      <c r="AZ60" s="221"/>
      <c r="BA60" s="221"/>
      <c r="BB60" s="221"/>
      <c r="BC60" s="221"/>
      <c r="BD60" s="221">
        <v>2</v>
      </c>
      <c r="BE60" s="221">
        <v>2.9</v>
      </c>
      <c r="BF60" s="221">
        <v>11.02</v>
      </c>
      <c r="BG60" s="221">
        <v>0.54</v>
      </c>
      <c r="BH60" s="221">
        <v>4.4400000000000004</v>
      </c>
      <c r="BI60" s="221"/>
      <c r="BJ60" s="221">
        <v>5.5</v>
      </c>
      <c r="BK60" s="221">
        <v>12.37</v>
      </c>
      <c r="BL60" s="221">
        <v>4.9800000000000004</v>
      </c>
      <c r="BM60" s="221"/>
      <c r="BN60" s="221">
        <v>4.43</v>
      </c>
      <c r="BO60" s="221">
        <v>3.25</v>
      </c>
      <c r="BP60" s="221"/>
      <c r="BQ60" s="221"/>
      <c r="BR60" s="221">
        <v>2</v>
      </c>
      <c r="BS60" s="221"/>
      <c r="BT60" s="221"/>
      <c r="BU60" s="221"/>
      <c r="BV60" s="221">
        <v>7.91</v>
      </c>
      <c r="BW60" s="221"/>
      <c r="BX60" s="221">
        <v>1.0900000000000001</v>
      </c>
      <c r="BY60" s="221">
        <v>2.2200000000000002</v>
      </c>
      <c r="BZ60" s="221"/>
      <c r="CA60" s="221">
        <v>0.01</v>
      </c>
      <c r="CB60" s="221"/>
      <c r="CC60" s="221">
        <v>0.09</v>
      </c>
      <c r="CD60" s="249" t="s">
        <v>221</v>
      </c>
      <c r="CE60" s="251">
        <f t="shared" ref="CE60:CE70" si="0">SUM(C60:CD60)</f>
        <v>217.84200000000001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f>2035017.43+367338.36</f>
        <v>2402355.79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769069.88</v>
      </c>
      <c r="P61" s="185">
        <v>782282.86</v>
      </c>
      <c r="Q61" s="185">
        <v>536713.53</v>
      </c>
      <c r="R61" s="185"/>
      <c r="S61" s="185">
        <v>63716.42</v>
      </c>
      <c r="T61" s="185"/>
      <c r="U61" s="185">
        <v>624317.62</v>
      </c>
      <c r="V61" s="185"/>
      <c r="W61" s="185"/>
      <c r="X61" s="185"/>
      <c r="Y61" s="185">
        <v>983633.99</v>
      </c>
      <c r="Z61" s="185"/>
      <c r="AA61" s="185"/>
      <c r="AB61" s="185">
        <v>202794.47</v>
      </c>
      <c r="AC61" s="185">
        <v>285010.05</v>
      </c>
      <c r="AD61" s="185"/>
      <c r="AE61" s="185">
        <v>492666.13</v>
      </c>
      <c r="AF61" s="185"/>
      <c r="AG61" s="185">
        <v>1532289.12</v>
      </c>
      <c r="AH61" s="185"/>
      <c r="AI61" s="185"/>
      <c r="AJ61" s="185">
        <v>31254.85</v>
      </c>
      <c r="AK61" s="185"/>
      <c r="AL61" s="185"/>
      <c r="AM61" s="185"/>
      <c r="AN61" s="185"/>
      <c r="AO61" s="185"/>
      <c r="AP61" s="185">
        <v>4833489.22</v>
      </c>
      <c r="AQ61" s="185"/>
      <c r="AR61" s="185"/>
      <c r="AS61" s="185"/>
      <c r="AT61" s="185"/>
      <c r="AU61" s="185"/>
      <c r="AV61" s="185"/>
      <c r="AW61" s="185"/>
      <c r="AX61" s="185"/>
      <c r="AY61" s="185">
        <v>315524.49</v>
      </c>
      <c r="AZ61" s="185"/>
      <c r="BA61" s="185"/>
      <c r="BB61" s="185"/>
      <c r="BC61" s="185"/>
      <c r="BD61" s="185">
        <v>121016.61</v>
      </c>
      <c r="BE61" s="185">
        <v>198774.28</v>
      </c>
      <c r="BF61" s="185">
        <v>421439.75</v>
      </c>
      <c r="BG61" s="185">
        <v>33124.370000000003</v>
      </c>
      <c r="BH61" s="185">
        <v>330081.26</v>
      </c>
      <c r="BI61" s="185"/>
      <c r="BJ61" s="185">
        <v>503456.11</v>
      </c>
      <c r="BK61" s="185">
        <v>554615.69999999995</v>
      </c>
      <c r="BL61" s="185">
        <v>192318.63</v>
      </c>
      <c r="BM61" s="185"/>
      <c r="BN61" s="185">
        <v>681121.22</v>
      </c>
      <c r="BO61" s="185">
        <v>192645.28</v>
      </c>
      <c r="BP61" s="185"/>
      <c r="BQ61" s="185"/>
      <c r="BR61" s="185">
        <v>192801.18</v>
      </c>
      <c r="BS61" s="185"/>
      <c r="BT61" s="185"/>
      <c r="BU61" s="185"/>
      <c r="BV61" s="185">
        <v>403708.81</v>
      </c>
      <c r="BW61" s="185"/>
      <c r="BX61" s="185">
        <v>85654.6</v>
      </c>
      <c r="BY61" s="185">
        <v>261757.27</v>
      </c>
      <c r="BZ61" s="185"/>
      <c r="CA61" s="185">
        <v>1102.97</v>
      </c>
      <c r="CB61" s="185"/>
      <c r="CC61" s="185">
        <v>24411.43</v>
      </c>
      <c r="CD61" s="249" t="s">
        <v>221</v>
      </c>
      <c r="CE61" s="195">
        <f t="shared" si="0"/>
        <v>18053147.889999997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530878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170237</v>
      </c>
      <c r="P62" s="195">
        <f t="shared" si="1"/>
        <v>186534</v>
      </c>
      <c r="Q62" s="195">
        <f t="shared" si="1"/>
        <v>112365</v>
      </c>
      <c r="R62" s="195">
        <f t="shared" si="1"/>
        <v>0</v>
      </c>
      <c r="S62" s="195">
        <f t="shared" si="1"/>
        <v>29166</v>
      </c>
      <c r="T62" s="195">
        <f t="shared" si="1"/>
        <v>0</v>
      </c>
      <c r="U62" s="195">
        <f t="shared" si="1"/>
        <v>153945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243496</v>
      </c>
      <c r="Z62" s="195">
        <f t="shared" si="1"/>
        <v>0</v>
      </c>
      <c r="AA62" s="195">
        <f t="shared" si="1"/>
        <v>0</v>
      </c>
      <c r="AB62" s="195">
        <f t="shared" si="1"/>
        <v>46808</v>
      </c>
      <c r="AC62" s="195">
        <f t="shared" si="1"/>
        <v>55540</v>
      </c>
      <c r="AD62" s="195">
        <f t="shared" si="1"/>
        <v>0</v>
      </c>
      <c r="AE62" s="195">
        <f t="shared" si="1"/>
        <v>135570</v>
      </c>
      <c r="AF62" s="195">
        <f t="shared" si="1"/>
        <v>0</v>
      </c>
      <c r="AG62" s="195">
        <f t="shared" si="1"/>
        <v>374500</v>
      </c>
      <c r="AH62" s="195">
        <f t="shared" si="1"/>
        <v>0</v>
      </c>
      <c r="AI62" s="195">
        <f t="shared" si="1"/>
        <v>0</v>
      </c>
      <c r="AJ62" s="195">
        <f t="shared" si="1"/>
        <v>7177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905502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99434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37230</v>
      </c>
      <c r="BE62" s="195">
        <f t="shared" si="1"/>
        <v>54539</v>
      </c>
      <c r="BF62" s="195">
        <f t="shared" si="1"/>
        <v>135321</v>
      </c>
      <c r="BG62" s="195">
        <f t="shared" si="1"/>
        <v>15205</v>
      </c>
      <c r="BH62" s="195">
        <f t="shared" si="1"/>
        <v>92429</v>
      </c>
      <c r="BI62" s="195">
        <f t="shared" si="1"/>
        <v>0</v>
      </c>
      <c r="BJ62" s="195">
        <f t="shared" si="1"/>
        <v>118191</v>
      </c>
      <c r="BK62" s="195">
        <f t="shared" si="1"/>
        <v>202053</v>
      </c>
      <c r="BL62" s="195">
        <f t="shared" si="1"/>
        <v>66297</v>
      </c>
      <c r="BM62" s="195">
        <f t="shared" si="1"/>
        <v>0</v>
      </c>
      <c r="BN62" s="195">
        <f t="shared" si="1"/>
        <v>131270</v>
      </c>
      <c r="BO62" s="195">
        <f t="shared" ref="BO62:CC62" si="2">ROUND(BO47+BO48,0)</f>
        <v>52513</v>
      </c>
      <c r="BP62" s="195">
        <f t="shared" si="2"/>
        <v>0</v>
      </c>
      <c r="BQ62" s="195">
        <f t="shared" si="2"/>
        <v>0</v>
      </c>
      <c r="BR62" s="195">
        <f t="shared" si="2"/>
        <v>46091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132073</v>
      </c>
      <c r="BW62" s="195">
        <f t="shared" si="2"/>
        <v>0</v>
      </c>
      <c r="BX62" s="195">
        <f t="shared" si="2"/>
        <v>21918</v>
      </c>
      <c r="BY62" s="195">
        <f t="shared" si="2"/>
        <v>57773</v>
      </c>
      <c r="BZ62" s="195">
        <f t="shared" si="2"/>
        <v>0</v>
      </c>
      <c r="CA62" s="195">
        <f t="shared" si="2"/>
        <v>229</v>
      </c>
      <c r="CB62" s="195">
        <f t="shared" si="2"/>
        <v>0</v>
      </c>
      <c r="CC62" s="195">
        <f t="shared" si="2"/>
        <v>2098</v>
      </c>
      <c r="CD62" s="249" t="s">
        <v>221</v>
      </c>
      <c r="CE62" s="195">
        <f t="shared" si="0"/>
        <v>4216382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f>95364.49+91820.84</f>
        <v>187185.33000000002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480132.18</v>
      </c>
      <c r="P63" s="185"/>
      <c r="Q63" s="185">
        <v>68291.179999999993</v>
      </c>
      <c r="R63" s="185">
        <v>888778.48</v>
      </c>
      <c r="S63" s="185"/>
      <c r="T63" s="185"/>
      <c r="U63" s="185">
        <v>133370.68</v>
      </c>
      <c r="V63" s="185"/>
      <c r="W63" s="185"/>
      <c r="X63" s="185"/>
      <c r="Y63" s="185">
        <v>950235.78</v>
      </c>
      <c r="Z63" s="185"/>
      <c r="AA63" s="185"/>
      <c r="AB63" s="185">
        <v>75517.5</v>
      </c>
      <c r="AC63" s="185"/>
      <c r="AD63" s="185"/>
      <c r="AE63" s="185">
        <v>487.5</v>
      </c>
      <c r="AF63" s="185"/>
      <c r="AG63" s="185">
        <v>2361330.7599999998</v>
      </c>
      <c r="AH63" s="185"/>
      <c r="AI63" s="185"/>
      <c r="AJ63" s="185"/>
      <c r="AK63" s="185"/>
      <c r="AL63" s="185"/>
      <c r="AM63" s="185"/>
      <c r="AN63" s="185"/>
      <c r="AO63" s="185"/>
      <c r="AP63" s="185">
        <v>8608.86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75759.100000000006</v>
      </c>
      <c r="BK63" s="185">
        <v>72809.91</v>
      </c>
      <c r="BL63" s="185"/>
      <c r="BM63" s="185"/>
      <c r="BN63" s="185">
        <v>27498</v>
      </c>
      <c r="BO63" s="185"/>
      <c r="BP63" s="185"/>
      <c r="BQ63" s="185"/>
      <c r="BR63" s="185">
        <v>7524.8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5337530.0599999996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141257.59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92784.78</v>
      </c>
      <c r="P64" s="185">
        <v>1058013.3899999999</v>
      </c>
      <c r="Q64" s="185">
        <v>30601.09</v>
      </c>
      <c r="R64" s="185">
        <v>6932.77</v>
      </c>
      <c r="S64" s="185">
        <v>1217171.1599999999</v>
      </c>
      <c r="T64" s="185"/>
      <c r="U64" s="185">
        <v>1139504.6599999999</v>
      </c>
      <c r="V64" s="185"/>
      <c r="W64" s="185"/>
      <c r="X64" s="185"/>
      <c r="Y64" s="185">
        <v>413653.92</v>
      </c>
      <c r="Z64" s="185"/>
      <c r="AA64" s="185"/>
      <c r="AB64" s="185">
        <v>674919.92</v>
      </c>
      <c r="AC64" s="185">
        <v>64186.58</v>
      </c>
      <c r="AD64" s="185"/>
      <c r="AE64" s="185">
        <v>28878.720000000001</v>
      </c>
      <c r="AF64" s="185"/>
      <c r="AG64" s="185">
        <v>217633.83</v>
      </c>
      <c r="AH64" s="185"/>
      <c r="AI64" s="185"/>
      <c r="AJ64" s="185">
        <v>31165.1</v>
      </c>
      <c r="AK64" s="185"/>
      <c r="AL64" s="185"/>
      <c r="AM64" s="185"/>
      <c r="AN64" s="185"/>
      <c r="AO64" s="185"/>
      <c r="AP64" s="185">
        <v>214423.81</v>
      </c>
      <c r="AQ64" s="185"/>
      <c r="AR64" s="185"/>
      <c r="AS64" s="185"/>
      <c r="AT64" s="185"/>
      <c r="AU64" s="185"/>
      <c r="AV64" s="185"/>
      <c r="AW64" s="185"/>
      <c r="AX64" s="185"/>
      <c r="AY64" s="185">
        <v>186675.96</v>
      </c>
      <c r="AZ64" s="185"/>
      <c r="BA64" s="185">
        <v>798.97</v>
      </c>
      <c r="BB64" s="185"/>
      <c r="BC64" s="185"/>
      <c r="BD64" s="185">
        <v>1900.58</v>
      </c>
      <c r="BE64" s="185">
        <v>26501.79</v>
      </c>
      <c r="BF64" s="185">
        <v>38695.26</v>
      </c>
      <c r="BG64" s="185">
        <v>22076.26</v>
      </c>
      <c r="BH64" s="185">
        <v>44610.98</v>
      </c>
      <c r="BI64" s="185"/>
      <c r="BJ64" s="185">
        <v>13611.97</v>
      </c>
      <c r="BK64" s="185">
        <v>21598.7</v>
      </c>
      <c r="BL64" s="185">
        <v>10780.94</v>
      </c>
      <c r="BM64" s="185"/>
      <c r="BN64" s="185">
        <v>4021.91</v>
      </c>
      <c r="BO64" s="185">
        <v>19503.62</v>
      </c>
      <c r="BP64" s="185"/>
      <c r="BQ64" s="185"/>
      <c r="BR64" s="185">
        <v>1120.9000000000001</v>
      </c>
      <c r="BS64" s="185"/>
      <c r="BT64" s="185"/>
      <c r="BU64" s="185"/>
      <c r="BV64" s="185">
        <v>1250.22</v>
      </c>
      <c r="BW64" s="185"/>
      <c r="BX64" s="185">
        <v>215.49</v>
      </c>
      <c r="BY64" s="185">
        <v>249.98</v>
      </c>
      <c r="BZ64" s="185"/>
      <c r="CA64" s="185">
        <v>20407.98</v>
      </c>
      <c r="CB64" s="185"/>
      <c r="CC64" s="185"/>
      <c r="CD64" s="249" t="s">
        <v>221</v>
      </c>
      <c r="CE64" s="195">
        <f t="shared" si="0"/>
        <v>5745148.8300000001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49815.37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309807.6+35853.03</f>
        <v>345660.63</v>
      </c>
      <c r="BF65" s="185"/>
      <c r="BG65" s="185">
        <v>77101.75</v>
      </c>
      <c r="BH65" s="185"/>
      <c r="BI65" s="185"/>
      <c r="BJ65" s="185"/>
      <c r="BK65" s="185"/>
      <c r="BL65" s="185"/>
      <c r="BM65" s="185"/>
      <c r="BN65" s="185">
        <v>105.06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472682.81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112074.46</v>
      </c>
      <c r="F66" s="184"/>
      <c r="G66" s="184"/>
      <c r="H66" s="184"/>
      <c r="I66" s="184"/>
      <c r="J66" s="184">
        <v>18.989999999999998</v>
      </c>
      <c r="K66" s="185"/>
      <c r="L66" s="185"/>
      <c r="M66" s="184"/>
      <c r="N66" s="184"/>
      <c r="O66" s="185">
        <v>23040.19</v>
      </c>
      <c r="P66" s="185">
        <v>120376.25</v>
      </c>
      <c r="Q66" s="185">
        <v>1613.58</v>
      </c>
      <c r="R66" s="185">
        <v>8620</v>
      </c>
      <c r="S66" s="184">
        <v>5808.46</v>
      </c>
      <c r="T66" s="184"/>
      <c r="U66" s="185">
        <v>214571.08</v>
      </c>
      <c r="V66" s="185"/>
      <c r="W66" s="185"/>
      <c r="X66" s="185"/>
      <c r="Y66" s="185">
        <v>515959.28</v>
      </c>
      <c r="Z66" s="185"/>
      <c r="AA66" s="185"/>
      <c r="AB66" s="185">
        <v>10043.27</v>
      </c>
      <c r="AC66" s="185">
        <v>8493.84</v>
      </c>
      <c r="AD66" s="185"/>
      <c r="AE66" s="185">
        <v>22209.13</v>
      </c>
      <c r="AF66" s="185"/>
      <c r="AG66" s="185">
        <v>132527.07999999999</v>
      </c>
      <c r="AH66" s="185"/>
      <c r="AI66" s="185"/>
      <c r="AJ66" s="185">
        <v>53.55</v>
      </c>
      <c r="AK66" s="185"/>
      <c r="AL66" s="185"/>
      <c r="AM66" s="185"/>
      <c r="AN66" s="185"/>
      <c r="AO66" s="185"/>
      <c r="AP66" s="185">
        <v>286670.56</v>
      </c>
      <c r="AQ66" s="185"/>
      <c r="AR66" s="185"/>
      <c r="AS66" s="185"/>
      <c r="AT66" s="185"/>
      <c r="AU66" s="185"/>
      <c r="AV66" s="185"/>
      <c r="AW66" s="185"/>
      <c r="AX66" s="185"/>
      <c r="AY66" s="185">
        <v>9361.99</v>
      </c>
      <c r="AZ66" s="185"/>
      <c r="BA66" s="185">
        <v>199635.02</v>
      </c>
      <c r="BB66" s="185"/>
      <c r="BC66" s="185"/>
      <c r="BD66" s="185">
        <v>6038.28</v>
      </c>
      <c r="BE66" s="185">
        <f>122954.94+1660.42</f>
        <v>124615.36</v>
      </c>
      <c r="BF66" s="185">
        <v>184.81</v>
      </c>
      <c r="BG66" s="185">
        <v>19895.64</v>
      </c>
      <c r="BH66" s="185">
        <v>320642.25</v>
      </c>
      <c r="BI66" s="185"/>
      <c r="BJ66" s="185">
        <v>79846.399999999994</v>
      </c>
      <c r="BK66" s="185">
        <v>184102.58</v>
      </c>
      <c r="BL66" s="185">
        <v>6038.28</v>
      </c>
      <c r="BM66" s="185"/>
      <c r="BN66" s="185">
        <v>129114.41</v>
      </c>
      <c r="BO66" s="185"/>
      <c r="BP66" s="185"/>
      <c r="BQ66" s="185"/>
      <c r="BR66" s="185">
        <v>10663.44</v>
      </c>
      <c r="BS66" s="185"/>
      <c r="BT66" s="185"/>
      <c r="BU66" s="185"/>
      <c r="BV66" s="185">
        <v>56478.080000000002</v>
      </c>
      <c r="BW66" s="185"/>
      <c r="BX66" s="185">
        <v>1509.6</v>
      </c>
      <c r="BY66" s="185">
        <v>1077.45</v>
      </c>
      <c r="BZ66" s="185"/>
      <c r="CA66" s="185">
        <v>44678.81</v>
      </c>
      <c r="CB66" s="185"/>
      <c r="CC66" s="185"/>
      <c r="CD66" s="249" t="s">
        <v>221</v>
      </c>
      <c r="CE66" s="195">
        <f t="shared" si="0"/>
        <v>2655962.1200000006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105254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2991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39762</v>
      </c>
      <c r="P67" s="195">
        <f t="shared" si="3"/>
        <v>304981</v>
      </c>
      <c r="Q67" s="195">
        <f t="shared" si="3"/>
        <v>27893</v>
      </c>
      <c r="R67" s="195">
        <f t="shared" si="3"/>
        <v>0</v>
      </c>
      <c r="S67" s="195">
        <f t="shared" si="3"/>
        <v>18328</v>
      </c>
      <c r="T67" s="195">
        <f t="shared" si="3"/>
        <v>0</v>
      </c>
      <c r="U67" s="195">
        <f t="shared" si="3"/>
        <v>52102</v>
      </c>
      <c r="V67" s="195">
        <f t="shared" si="3"/>
        <v>1172</v>
      </c>
      <c r="W67" s="195">
        <f t="shared" si="3"/>
        <v>0</v>
      </c>
      <c r="X67" s="195">
        <f t="shared" si="3"/>
        <v>0</v>
      </c>
      <c r="Y67" s="195">
        <f t="shared" si="3"/>
        <v>591925</v>
      </c>
      <c r="Z67" s="195">
        <f t="shared" si="3"/>
        <v>0</v>
      </c>
      <c r="AA67" s="195">
        <f t="shared" si="3"/>
        <v>0</v>
      </c>
      <c r="AB67" s="195">
        <f t="shared" si="3"/>
        <v>6489</v>
      </c>
      <c r="AC67" s="195">
        <f t="shared" si="3"/>
        <v>8847</v>
      </c>
      <c r="AD67" s="195">
        <f t="shared" si="3"/>
        <v>0</v>
      </c>
      <c r="AE67" s="195">
        <f t="shared" si="3"/>
        <v>40769</v>
      </c>
      <c r="AF67" s="195">
        <f t="shared" si="3"/>
        <v>0</v>
      </c>
      <c r="AG67" s="195">
        <f t="shared" si="3"/>
        <v>166448</v>
      </c>
      <c r="AH67" s="195">
        <f t="shared" si="3"/>
        <v>0</v>
      </c>
      <c r="AI67" s="195">
        <f t="shared" si="3"/>
        <v>0</v>
      </c>
      <c r="AJ67" s="195">
        <f t="shared" si="3"/>
        <v>7629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233122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33316</v>
      </c>
      <c r="AZ67" s="195">
        <f>ROUND(AZ51+AZ52,0)</f>
        <v>0</v>
      </c>
      <c r="BA67" s="195">
        <f>ROUND(BA51+BA52,0)</f>
        <v>5584</v>
      </c>
      <c r="BB67" s="195">
        <f t="shared" si="3"/>
        <v>0</v>
      </c>
      <c r="BC67" s="195">
        <f t="shared" si="3"/>
        <v>0</v>
      </c>
      <c r="BD67" s="195">
        <f t="shared" si="3"/>
        <v>3785</v>
      </c>
      <c r="BE67" s="195">
        <f t="shared" si="3"/>
        <v>323474</v>
      </c>
      <c r="BF67" s="195">
        <f t="shared" si="3"/>
        <v>3863</v>
      </c>
      <c r="BG67" s="195">
        <f t="shared" si="3"/>
        <v>3223</v>
      </c>
      <c r="BH67" s="195">
        <f t="shared" si="3"/>
        <v>42235</v>
      </c>
      <c r="BI67" s="195">
        <f t="shared" si="3"/>
        <v>0</v>
      </c>
      <c r="BJ67" s="195">
        <f t="shared" si="3"/>
        <v>6787</v>
      </c>
      <c r="BK67" s="195">
        <f t="shared" si="3"/>
        <v>19347</v>
      </c>
      <c r="BL67" s="195">
        <f t="shared" si="3"/>
        <v>2781</v>
      </c>
      <c r="BM67" s="195">
        <f t="shared" si="3"/>
        <v>0</v>
      </c>
      <c r="BN67" s="195">
        <f t="shared" si="3"/>
        <v>8807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3565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16789</v>
      </c>
      <c r="BW67" s="195">
        <f t="shared" si="4"/>
        <v>0</v>
      </c>
      <c r="BX67" s="195">
        <f t="shared" si="4"/>
        <v>0</v>
      </c>
      <c r="BY67" s="195">
        <f t="shared" si="4"/>
        <v>4834</v>
      </c>
      <c r="BZ67" s="195">
        <f t="shared" si="4"/>
        <v>0</v>
      </c>
      <c r="CA67" s="195">
        <f t="shared" si="4"/>
        <v>35347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2121449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>
        <v>28729.360000000001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6930.54</v>
      </c>
      <c r="P68" s="185">
        <v>5453.74</v>
      </c>
      <c r="Q68" s="185">
        <v>5261.7</v>
      </c>
      <c r="R68" s="185">
        <v>13131.6</v>
      </c>
      <c r="S68" s="185"/>
      <c r="T68" s="185"/>
      <c r="U68" s="185">
        <v>36640.85</v>
      </c>
      <c r="V68" s="185"/>
      <c r="W68" s="185"/>
      <c r="X68" s="185"/>
      <c r="Y68" s="185">
        <v>75949.850000000006</v>
      </c>
      <c r="Z68" s="185"/>
      <c r="AA68" s="185"/>
      <c r="AB68" s="185">
        <v>3811.32</v>
      </c>
      <c r="AC68" s="185">
        <v>26851.66</v>
      </c>
      <c r="AD68" s="185"/>
      <c r="AE68" s="185">
        <v>913.09</v>
      </c>
      <c r="AF68" s="185"/>
      <c r="AG68" s="185">
        <v>13011.09</v>
      </c>
      <c r="AH68" s="185"/>
      <c r="AI68" s="185"/>
      <c r="AJ68" s="185"/>
      <c r="AK68" s="185"/>
      <c r="AL68" s="185"/>
      <c r="AM68" s="185"/>
      <c r="AN68" s="185"/>
      <c r="AO68" s="185"/>
      <c r="AP68" s="185">
        <v>14651.23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>
        <v>1686</v>
      </c>
      <c r="BH68" s="185"/>
      <c r="BI68" s="185"/>
      <c r="BJ68" s="185">
        <v>9806.51</v>
      </c>
      <c r="BK68" s="185">
        <v>16198.28</v>
      </c>
      <c r="BL68" s="185">
        <v>990.14</v>
      </c>
      <c r="BM68" s="185"/>
      <c r="BN68" s="185">
        <v>6820.85</v>
      </c>
      <c r="BO68" s="185"/>
      <c r="BP68" s="185"/>
      <c r="BQ68" s="185"/>
      <c r="BR68" s="185"/>
      <c r="BS68" s="185"/>
      <c r="BT68" s="185"/>
      <c r="BU68" s="185"/>
      <c r="BV68" s="185">
        <v>1543.6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268381.41000000003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f>15894.53+2672</f>
        <v>18566.53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11271.16</v>
      </c>
      <c r="P69" s="185">
        <v>19246.099999999999</v>
      </c>
      <c r="Q69" s="185">
        <v>1687.57</v>
      </c>
      <c r="R69" s="224">
        <v>284.93</v>
      </c>
      <c r="S69" s="185">
        <v>11547</v>
      </c>
      <c r="T69" s="184"/>
      <c r="U69" s="185">
        <v>50815.59</v>
      </c>
      <c r="V69" s="185"/>
      <c r="W69" s="184"/>
      <c r="X69" s="185"/>
      <c r="Y69" s="185">
        <v>9435.2800000000007</v>
      </c>
      <c r="Z69" s="185"/>
      <c r="AA69" s="185"/>
      <c r="AB69" s="185">
        <v>1858.98</v>
      </c>
      <c r="AC69" s="185">
        <v>2273.75</v>
      </c>
      <c r="AD69" s="185"/>
      <c r="AE69" s="185">
        <v>2514.37</v>
      </c>
      <c r="AF69" s="185"/>
      <c r="AG69" s="185">
        <v>11055.54</v>
      </c>
      <c r="AH69" s="185"/>
      <c r="AI69" s="185"/>
      <c r="AJ69" s="185"/>
      <c r="AK69" s="185"/>
      <c r="AL69" s="185"/>
      <c r="AM69" s="185"/>
      <c r="AN69" s="185"/>
      <c r="AO69" s="184"/>
      <c r="AP69" s="185">
        <v>162106.72</v>
      </c>
      <c r="AQ69" s="184"/>
      <c r="AR69" s="184"/>
      <c r="AS69" s="184"/>
      <c r="AT69" s="184"/>
      <c r="AU69" s="185"/>
      <c r="AV69" s="185"/>
      <c r="AW69" s="185"/>
      <c r="AX69" s="185"/>
      <c r="AY69" s="185">
        <v>1216.98</v>
      </c>
      <c r="AZ69" s="185"/>
      <c r="BA69" s="185"/>
      <c r="BB69" s="185"/>
      <c r="BC69" s="185"/>
      <c r="BD69" s="185">
        <v>300</v>
      </c>
      <c r="BE69" s="185">
        <v>1789.85</v>
      </c>
      <c r="BF69" s="185">
        <v>1446.54</v>
      </c>
      <c r="BG69" s="185">
        <v>720</v>
      </c>
      <c r="BH69" s="224">
        <v>7832.67</v>
      </c>
      <c r="BI69" s="185"/>
      <c r="BJ69" s="185">
        <v>6205.91</v>
      </c>
      <c r="BK69" s="185">
        <v>1040.1600000000001</v>
      </c>
      <c r="BL69" s="185">
        <v>579.11</v>
      </c>
      <c r="BM69" s="185"/>
      <c r="BN69" s="185">
        <v>79114.12</v>
      </c>
      <c r="BO69" s="185">
        <v>1192.76</v>
      </c>
      <c r="BP69" s="185"/>
      <c r="BQ69" s="185"/>
      <c r="BR69" s="185">
        <v>55356.07</v>
      </c>
      <c r="BS69" s="185"/>
      <c r="BT69" s="185"/>
      <c r="BU69" s="185"/>
      <c r="BV69" s="185">
        <v>201.41</v>
      </c>
      <c r="BW69" s="185"/>
      <c r="BX69" s="185">
        <v>4729.83</v>
      </c>
      <c r="BY69" s="185">
        <v>-112.53</v>
      </c>
      <c r="BZ69" s="185"/>
      <c r="CA69" s="185">
        <v>4803.6400000000003</v>
      </c>
      <c r="CB69" s="185"/>
      <c r="CC69" s="185"/>
      <c r="CD69" s="188">
        <v>689591.61</v>
      </c>
      <c r="CE69" s="195">
        <f t="shared" si="0"/>
        <v>1158671.6499999999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14128.85</v>
      </c>
      <c r="T70" s="184"/>
      <c r="U70" s="185">
        <v>150</v>
      </c>
      <c r="V70" s="184"/>
      <c r="W70" s="184"/>
      <c r="X70" s="185"/>
      <c r="Y70" s="185"/>
      <c r="Z70" s="185"/>
      <c r="AA70" s="185"/>
      <c r="AB70" s="185">
        <v>273485.473</v>
      </c>
      <c r="AC70" s="185"/>
      <c r="AD70" s="185"/>
      <c r="AE70" s="185">
        <v>20740.419999999998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176182.09</v>
      </c>
      <c r="AQ70" s="185"/>
      <c r="AR70" s="185"/>
      <c r="AS70" s="185"/>
      <c r="AT70" s="185"/>
      <c r="AU70" s="185"/>
      <c r="AV70" s="185"/>
      <c r="AW70" s="185"/>
      <c r="AX70" s="185"/>
      <c r="AY70" s="185">
        <v>101307.07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10293.629999999999</v>
      </c>
      <c r="BW70" s="185"/>
      <c r="BX70" s="185"/>
      <c r="BY70" s="185"/>
      <c r="BZ70" s="185"/>
      <c r="CA70" s="185">
        <v>1325</v>
      </c>
      <c r="CB70" s="185"/>
      <c r="CC70" s="185"/>
      <c r="CD70" s="188">
        <f>219978.2-1</f>
        <v>219977.2</v>
      </c>
      <c r="CE70" s="195">
        <f t="shared" si="0"/>
        <v>817589.73300000001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3526301.0599999996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3009.99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1593227.73</v>
      </c>
      <c r="P71" s="195">
        <f t="shared" si="5"/>
        <v>2476887.3400000003</v>
      </c>
      <c r="Q71" s="195">
        <f t="shared" si="5"/>
        <v>784426.64999999979</v>
      </c>
      <c r="R71" s="195">
        <f t="shared" si="5"/>
        <v>917747.78</v>
      </c>
      <c r="S71" s="195">
        <f t="shared" si="5"/>
        <v>1331608.1899999997</v>
      </c>
      <c r="T71" s="195">
        <f t="shared" si="5"/>
        <v>0</v>
      </c>
      <c r="U71" s="195">
        <f t="shared" si="5"/>
        <v>2405117.48</v>
      </c>
      <c r="V71" s="195">
        <f t="shared" si="5"/>
        <v>1172</v>
      </c>
      <c r="W71" s="195">
        <f t="shared" si="5"/>
        <v>0</v>
      </c>
      <c r="X71" s="195">
        <f t="shared" si="5"/>
        <v>0</v>
      </c>
      <c r="Y71" s="195">
        <f t="shared" si="5"/>
        <v>3784289.0999999996</v>
      </c>
      <c r="Z71" s="195">
        <f t="shared" si="5"/>
        <v>0</v>
      </c>
      <c r="AA71" s="195">
        <f t="shared" si="5"/>
        <v>0</v>
      </c>
      <c r="AB71" s="195">
        <f t="shared" si="5"/>
        <v>748756.98699999996</v>
      </c>
      <c r="AC71" s="195">
        <f t="shared" si="5"/>
        <v>451202.88</v>
      </c>
      <c r="AD71" s="195">
        <f t="shared" si="5"/>
        <v>0</v>
      </c>
      <c r="AE71" s="195">
        <f t="shared" si="5"/>
        <v>703267.5199999999</v>
      </c>
      <c r="AF71" s="195">
        <f t="shared" si="5"/>
        <v>0</v>
      </c>
      <c r="AG71" s="195">
        <f t="shared" si="5"/>
        <v>4808795.42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77279.5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6532207.6799999997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544222.34999999986</v>
      </c>
      <c r="AZ71" s="195">
        <f t="shared" si="6"/>
        <v>0</v>
      </c>
      <c r="BA71" s="195">
        <f t="shared" si="6"/>
        <v>206017.99</v>
      </c>
      <c r="BB71" s="195">
        <f t="shared" si="6"/>
        <v>0</v>
      </c>
      <c r="BC71" s="195">
        <f t="shared" si="6"/>
        <v>0</v>
      </c>
      <c r="BD71" s="195">
        <f t="shared" si="6"/>
        <v>170270.46999999997</v>
      </c>
      <c r="BE71" s="195">
        <f t="shared" si="6"/>
        <v>1075354.9100000001</v>
      </c>
      <c r="BF71" s="195">
        <f t="shared" si="6"/>
        <v>600950.3600000001</v>
      </c>
      <c r="BG71" s="195">
        <f t="shared" si="6"/>
        <v>173032.02000000002</v>
      </c>
      <c r="BH71" s="195">
        <f t="shared" si="6"/>
        <v>837831.16</v>
      </c>
      <c r="BI71" s="195">
        <f t="shared" si="6"/>
        <v>0</v>
      </c>
      <c r="BJ71" s="195">
        <f t="shared" si="6"/>
        <v>813664</v>
      </c>
      <c r="BK71" s="195">
        <f t="shared" si="6"/>
        <v>1071765.3299999998</v>
      </c>
      <c r="BL71" s="195">
        <f t="shared" si="6"/>
        <v>279785.10000000003</v>
      </c>
      <c r="BM71" s="195">
        <f t="shared" si="6"/>
        <v>0</v>
      </c>
      <c r="BN71" s="195">
        <f t="shared" si="6"/>
        <v>1067872.57</v>
      </c>
      <c r="BO71" s="195">
        <f t="shared" si="6"/>
        <v>265854.66000000003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317122.38999999996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601750.49</v>
      </c>
      <c r="BW71" s="195">
        <f t="shared" si="7"/>
        <v>0</v>
      </c>
      <c r="BX71" s="195">
        <f t="shared" si="7"/>
        <v>114027.52000000002</v>
      </c>
      <c r="BY71" s="195">
        <f t="shared" si="7"/>
        <v>325579.17</v>
      </c>
      <c r="BZ71" s="195">
        <f t="shared" si="7"/>
        <v>0</v>
      </c>
      <c r="CA71" s="195">
        <f t="shared" si="7"/>
        <v>105244.4</v>
      </c>
      <c r="CB71" s="195">
        <f t="shared" si="7"/>
        <v>0</v>
      </c>
      <c r="CC71" s="195">
        <f t="shared" si="7"/>
        <v>26509.43</v>
      </c>
      <c r="CD71" s="245">
        <f>CD69-CD70</f>
        <v>469614.41</v>
      </c>
      <c r="CE71" s="195">
        <f>SUM(CE61:CE69)-CE70</f>
        <v>39211766.036999986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1080075.01</v>
      </c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f>2434086.89+512020+105899.83+3717.9-111+1</f>
        <v>3055614.62</v>
      </c>
      <c r="F73" s="185"/>
      <c r="G73" s="184"/>
      <c r="H73" s="184"/>
      <c r="I73" s="185"/>
      <c r="J73" s="185">
        <v>461618</v>
      </c>
      <c r="K73" s="185"/>
      <c r="L73" s="185"/>
      <c r="M73" s="184"/>
      <c r="N73" s="184"/>
      <c r="O73" s="184">
        <v>1677505.22</v>
      </c>
      <c r="P73" s="185">
        <v>1153611.24</v>
      </c>
      <c r="Q73" s="185">
        <f>294451.2+1661.4</f>
        <v>296112.60000000003</v>
      </c>
      <c r="R73" s="185">
        <f>903477+209.35</f>
        <v>903686.35</v>
      </c>
      <c r="S73" s="185">
        <f>1092131+6534.2</f>
        <v>1098665.2</v>
      </c>
      <c r="T73" s="185"/>
      <c r="U73" s="185">
        <f>912613.54+4262.14+128919.2</f>
        <v>1045794.88</v>
      </c>
      <c r="V73" s="185">
        <v>12035</v>
      </c>
      <c r="W73" s="185"/>
      <c r="X73" s="185"/>
      <c r="Y73" s="185">
        <f>816704.08+6162.44</f>
        <v>822866.5199999999</v>
      </c>
      <c r="Z73" s="185"/>
      <c r="AA73" s="185"/>
      <c r="AB73" s="185">
        <f>1479865.83+13327.5</f>
        <v>1493193.33</v>
      </c>
      <c r="AC73" s="185">
        <f>346319.05+4901.25-12035</f>
        <v>339185.3</v>
      </c>
      <c r="AD73" s="185"/>
      <c r="AE73" s="185">
        <f>53624+21141</f>
        <v>74765</v>
      </c>
      <c r="AF73" s="185"/>
      <c r="AG73" s="185">
        <f>464724.96</f>
        <v>464724.96</v>
      </c>
      <c r="AH73" s="185"/>
      <c r="AI73" s="185"/>
      <c r="AJ73" s="185"/>
      <c r="AK73" s="185"/>
      <c r="AL73" s="185"/>
      <c r="AM73" s="185"/>
      <c r="AN73" s="185"/>
      <c r="AO73" s="185"/>
      <c r="AP73" s="185">
        <f>602305.24-334</f>
        <v>601971.24</v>
      </c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13501349.460000001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f>1230390.56+360694+21132</f>
        <v>1612216.56</v>
      </c>
      <c r="F74" s="185"/>
      <c r="G74" s="184"/>
      <c r="H74" s="184"/>
      <c r="I74" s="184"/>
      <c r="J74" s="185">
        <v>70</v>
      </c>
      <c r="K74" s="185"/>
      <c r="L74" s="185"/>
      <c r="M74" s="184"/>
      <c r="N74" s="184"/>
      <c r="O74" s="184">
        <v>154392.78</v>
      </c>
      <c r="P74" s="185">
        <v>5792678.9900000002</v>
      </c>
      <c r="Q74" s="185">
        <v>2448051.6</v>
      </c>
      <c r="R74" s="185">
        <v>3452259.4</v>
      </c>
      <c r="S74" s="185">
        <v>4776891.9800000004</v>
      </c>
      <c r="T74" s="185"/>
      <c r="U74" s="185">
        <v>6971070.0099999998</v>
      </c>
      <c r="V74" s="185">
        <v>196295</v>
      </c>
      <c r="W74" s="185"/>
      <c r="X74" s="185"/>
      <c r="Y74" s="185">
        <v>20491365.280000001</v>
      </c>
      <c r="Z74" s="185"/>
      <c r="AA74" s="185"/>
      <c r="AB74" s="185">
        <v>2639590.87</v>
      </c>
      <c r="AC74" s="185">
        <f>729372.41-196295</f>
        <v>533077.41</v>
      </c>
      <c r="AD74" s="185"/>
      <c r="AE74" s="185">
        <f>1750548.82</f>
        <v>1750548.82</v>
      </c>
      <c r="AF74" s="185"/>
      <c r="AG74" s="185">
        <v>13500937.98</v>
      </c>
      <c r="AH74" s="185"/>
      <c r="AI74" s="185"/>
      <c r="AJ74" s="185">
        <f>87895.67</f>
        <v>87895.67</v>
      </c>
      <c r="AK74" s="185"/>
      <c r="AL74" s="185"/>
      <c r="AM74" s="185"/>
      <c r="AN74" s="185"/>
      <c r="AO74" s="185"/>
      <c r="AP74" s="185">
        <f>7560271.5</f>
        <v>7560271.5</v>
      </c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71967613.849999994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4667831.18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461688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1831898</v>
      </c>
      <c r="P75" s="195">
        <f t="shared" si="9"/>
        <v>6946290.2300000004</v>
      </c>
      <c r="Q75" s="195">
        <f t="shared" si="9"/>
        <v>2744164.2</v>
      </c>
      <c r="R75" s="195">
        <f t="shared" si="9"/>
        <v>4355945.75</v>
      </c>
      <c r="S75" s="195">
        <f t="shared" si="9"/>
        <v>5875557.1800000006</v>
      </c>
      <c r="T75" s="195">
        <f t="shared" si="9"/>
        <v>0</v>
      </c>
      <c r="U75" s="195">
        <f t="shared" si="9"/>
        <v>8016864.8899999997</v>
      </c>
      <c r="V75" s="195">
        <f t="shared" si="9"/>
        <v>208330</v>
      </c>
      <c r="W75" s="195">
        <f t="shared" si="9"/>
        <v>0</v>
      </c>
      <c r="X75" s="195">
        <f t="shared" si="9"/>
        <v>0</v>
      </c>
      <c r="Y75" s="195">
        <f t="shared" si="9"/>
        <v>21314231.800000001</v>
      </c>
      <c r="Z75" s="195">
        <f t="shared" si="9"/>
        <v>0</v>
      </c>
      <c r="AA75" s="195">
        <f t="shared" si="9"/>
        <v>0</v>
      </c>
      <c r="AB75" s="195">
        <f t="shared" si="9"/>
        <v>4132784.2</v>
      </c>
      <c r="AC75" s="195">
        <f t="shared" si="9"/>
        <v>872262.71</v>
      </c>
      <c r="AD75" s="195">
        <f t="shared" si="9"/>
        <v>0</v>
      </c>
      <c r="AE75" s="195">
        <f t="shared" si="9"/>
        <v>1825313.82</v>
      </c>
      <c r="AF75" s="195">
        <f t="shared" si="9"/>
        <v>0</v>
      </c>
      <c r="AG75" s="195">
        <f t="shared" si="9"/>
        <v>13965662.940000001</v>
      </c>
      <c r="AH75" s="195">
        <f t="shared" si="9"/>
        <v>0</v>
      </c>
      <c r="AI75" s="195">
        <f t="shared" si="9"/>
        <v>0</v>
      </c>
      <c r="AJ75" s="195">
        <f t="shared" si="9"/>
        <v>87895.67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8162242.7400000002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85468963.310000002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f>4908+1246+97</f>
        <v>6251</v>
      </c>
      <c r="F76" s="185"/>
      <c r="G76" s="184"/>
      <c r="H76" s="184"/>
      <c r="I76" s="185"/>
      <c r="J76" s="185">
        <v>142</v>
      </c>
      <c r="K76" s="185"/>
      <c r="L76" s="185"/>
      <c r="M76" s="185"/>
      <c r="N76" s="185"/>
      <c r="O76" s="185">
        <v>1720</v>
      </c>
      <c r="P76" s="185">
        <v>4085</v>
      </c>
      <c r="Q76" s="185">
        <f>1211+50</f>
        <v>1261</v>
      </c>
      <c r="R76" s="185"/>
      <c r="S76" s="185">
        <v>1628</v>
      </c>
      <c r="T76" s="185"/>
      <c r="U76" s="185">
        <v>1213</v>
      </c>
      <c r="V76" s="185"/>
      <c r="W76" s="185"/>
      <c r="X76" s="185"/>
      <c r="Y76" s="185">
        <v>5353</v>
      </c>
      <c r="Z76" s="185"/>
      <c r="AA76" s="185"/>
      <c r="AB76" s="185">
        <v>588</v>
      </c>
      <c r="AC76" s="185">
        <v>394</v>
      </c>
      <c r="AD76" s="185"/>
      <c r="AE76" s="185">
        <v>2826</v>
      </c>
      <c r="AF76" s="185"/>
      <c r="AG76" s="185">
        <v>3601</v>
      </c>
      <c r="AH76" s="185"/>
      <c r="AI76" s="185"/>
      <c r="AJ76" s="185"/>
      <c r="AK76" s="185"/>
      <c r="AL76" s="185"/>
      <c r="AM76" s="185"/>
      <c r="AN76" s="185"/>
      <c r="AO76" s="185"/>
      <c r="AP76" s="185">
        <f>15629+100</f>
        <v>15729</v>
      </c>
      <c r="AQ76" s="185"/>
      <c r="AR76" s="185"/>
      <c r="AS76" s="185"/>
      <c r="AT76" s="185"/>
      <c r="AU76" s="185"/>
      <c r="AV76" s="185"/>
      <c r="AW76" s="185"/>
      <c r="AX76" s="185"/>
      <c r="AY76" s="185">
        <f>1313+651+423</f>
        <v>2387</v>
      </c>
      <c r="AZ76" s="185"/>
      <c r="BA76" s="185">
        <v>506</v>
      </c>
      <c r="BB76" s="185"/>
      <c r="BC76" s="185"/>
      <c r="BD76" s="185">
        <v>343</v>
      </c>
      <c r="BE76" s="185">
        <v>24733</v>
      </c>
      <c r="BF76" s="185">
        <f>156+194</f>
        <v>350</v>
      </c>
      <c r="BG76" s="185">
        <v>292</v>
      </c>
      <c r="BH76" s="185">
        <f>436+216</f>
        <v>652</v>
      </c>
      <c r="BI76" s="185"/>
      <c r="BJ76" s="185">
        <f>138+477</f>
        <v>615</v>
      </c>
      <c r="BK76" s="185">
        <f>82+1671</f>
        <v>1753</v>
      </c>
      <c r="BL76" s="185">
        <v>252</v>
      </c>
      <c r="BM76" s="185"/>
      <c r="BN76" s="185">
        <v>798</v>
      </c>
      <c r="BO76" s="185"/>
      <c r="BP76" s="185"/>
      <c r="BQ76" s="185"/>
      <c r="BR76" s="185">
        <v>323</v>
      </c>
      <c r="BS76" s="185"/>
      <c r="BT76" s="185"/>
      <c r="BU76" s="185"/>
      <c r="BV76" s="185">
        <v>1508</v>
      </c>
      <c r="BW76" s="185"/>
      <c r="BX76" s="185"/>
      <c r="BY76" s="185">
        <f>221+117+100</f>
        <v>438</v>
      </c>
      <c r="BZ76" s="185"/>
      <c r="CA76" s="185">
        <f>31+2807</f>
        <v>2838</v>
      </c>
      <c r="CB76" s="185"/>
      <c r="CC76" s="185"/>
      <c r="CD76" s="249" t="s">
        <v>221</v>
      </c>
      <c r="CE76" s="195">
        <f t="shared" si="8"/>
        <v>82579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7833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2473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10306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f>3952.45+208.56</f>
        <v>4161.01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990.64</v>
      </c>
      <c r="P78" s="184">
        <v>1369.06</v>
      </c>
      <c r="Q78" s="184">
        <v>1173.96</v>
      </c>
      <c r="R78" s="184"/>
      <c r="S78" s="184">
        <v>222.01</v>
      </c>
      <c r="T78" s="184"/>
      <c r="U78" s="184">
        <v>551.66</v>
      </c>
      <c r="V78" s="184"/>
      <c r="W78" s="184"/>
      <c r="X78" s="184"/>
      <c r="Y78" s="184">
        <v>650.89</v>
      </c>
      <c r="Z78" s="184"/>
      <c r="AA78" s="184"/>
      <c r="AB78" s="184">
        <v>144.63999999999999</v>
      </c>
      <c r="AC78" s="184">
        <v>420.47</v>
      </c>
      <c r="AD78" s="184"/>
      <c r="AE78" s="184">
        <v>127.82</v>
      </c>
      <c r="AF78" s="184"/>
      <c r="AG78" s="184">
        <f>3293.15+2522.84</f>
        <v>5815.99</v>
      </c>
      <c r="AH78" s="184"/>
      <c r="AI78" s="184"/>
      <c r="AJ78" s="184"/>
      <c r="AK78" s="184"/>
      <c r="AL78" s="184"/>
      <c r="AM78" s="184"/>
      <c r="AN78" s="184"/>
      <c r="AO78" s="184"/>
      <c r="AP78" s="184">
        <v>2583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457.48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18668.63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97619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10015</v>
      </c>
      <c r="P79" s="184">
        <v>54322</v>
      </c>
      <c r="Q79" s="184"/>
      <c r="R79" s="184"/>
      <c r="S79" s="184"/>
      <c r="T79" s="184"/>
      <c r="U79" s="184"/>
      <c r="V79" s="184"/>
      <c r="W79" s="184"/>
      <c r="X79" s="184"/>
      <c r="Y79" s="184">
        <v>934</v>
      </c>
      <c r="Z79" s="184"/>
      <c r="AA79" s="184"/>
      <c r="AB79" s="184"/>
      <c r="AC79" s="184"/>
      <c r="AD79" s="184"/>
      <c r="AE79" s="184"/>
      <c r="AF79" s="184"/>
      <c r="AG79" s="184">
        <v>25233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188123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16.010000000000002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7.42</v>
      </c>
      <c r="P80" s="187">
        <v>3.21</v>
      </c>
      <c r="Q80" s="187">
        <v>5.13</v>
      </c>
      <c r="R80" s="187"/>
      <c r="S80" s="187"/>
      <c r="T80" s="187"/>
      <c r="U80" s="187"/>
      <c r="V80" s="187"/>
      <c r="W80" s="187"/>
      <c r="X80" s="187"/>
      <c r="Y80" s="187">
        <v>0.34</v>
      </c>
      <c r="Z80" s="187"/>
      <c r="AA80" s="187"/>
      <c r="AB80" s="187"/>
      <c r="AC80" s="187"/>
      <c r="AD80" s="187"/>
      <c r="AE80" s="187">
        <f>0.01+0.04</f>
        <v>0.05</v>
      </c>
      <c r="AF80" s="187"/>
      <c r="AG80" s="187">
        <v>10.35</v>
      </c>
      <c r="AH80" s="187"/>
      <c r="AI80" s="187"/>
      <c r="AJ80" s="187">
        <v>0.38</v>
      </c>
      <c r="AK80" s="187"/>
      <c r="AL80" s="187"/>
      <c r="AM80" s="187"/>
      <c r="AN80" s="187"/>
      <c r="AO80" s="187"/>
      <c r="AP80" s="187">
        <f>1.36</f>
        <v>1.36</v>
      </c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44.25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8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20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71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1280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1281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825</v>
      </c>
      <c r="D111" s="174">
        <v>2109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10</v>
      </c>
      <c r="D112" s="174">
        <v>128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310</v>
      </c>
      <c r="D114" s="174">
        <v>411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25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>
        <v>44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167483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f>247+46</f>
        <v>293</v>
      </c>
      <c r="C138" s="189">
        <f>77+234</f>
        <v>311</v>
      </c>
      <c r="D138" s="174">
        <v>221</v>
      </c>
      <c r="E138" s="175">
        <f>SUM(B138:D138)</f>
        <v>825</v>
      </c>
    </row>
    <row r="139" spans="1:6" ht="12.65" customHeight="1" x14ac:dyDescent="0.3">
      <c r="A139" s="173" t="s">
        <v>215</v>
      </c>
      <c r="B139" s="174">
        <f>773+208</f>
        <v>981</v>
      </c>
      <c r="C139" s="189">
        <f>124+478</f>
        <v>602</v>
      </c>
      <c r="D139" s="174">
        <v>526</v>
      </c>
      <c r="E139" s="175">
        <f>SUM(B139:D139)</f>
        <v>2109</v>
      </c>
    </row>
    <row r="140" spans="1:6" ht="12.65" customHeight="1" x14ac:dyDescent="0.3">
      <c r="A140" s="173" t="s">
        <v>298</v>
      </c>
      <c r="B140" s="174">
        <v>10991</v>
      </c>
      <c r="C140" s="174">
        <v>8474</v>
      </c>
      <c r="D140" s="174">
        <v>8825</v>
      </c>
      <c r="E140" s="175">
        <f>SUM(B140:D140)</f>
        <v>28290</v>
      </c>
    </row>
    <row r="141" spans="1:6" ht="12.65" customHeight="1" x14ac:dyDescent="0.3">
      <c r="A141" s="173" t="s">
        <v>245</v>
      </c>
      <c r="B141" s="174">
        <v>5026380.8899999997</v>
      </c>
      <c r="C141" s="189">
        <v>4834810.62</v>
      </c>
      <c r="D141" s="174">
        <v>3472674.94</v>
      </c>
      <c r="E141" s="175">
        <f>SUM(B141:D141)</f>
        <v>13333866.449999999</v>
      </c>
      <c r="F141" s="199"/>
    </row>
    <row r="142" spans="1:6" ht="12.65" customHeight="1" x14ac:dyDescent="0.3">
      <c r="A142" s="173" t="s">
        <v>246</v>
      </c>
      <c r="B142" s="174">
        <v>28053602.640000001</v>
      </c>
      <c r="C142" s="189">
        <v>20793868.09</v>
      </c>
      <c r="D142" s="174">
        <v>23120143.120000001</v>
      </c>
      <c r="E142" s="175">
        <f>SUM(B142:D142)</f>
        <v>71967613.850000009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10</v>
      </c>
      <c r="C144" s="189"/>
      <c r="D144" s="174"/>
      <c r="E144" s="175">
        <f>SUM(B144:D144)</f>
        <v>10</v>
      </c>
    </row>
    <row r="145" spans="1:5" ht="12.65" customHeight="1" x14ac:dyDescent="0.3">
      <c r="A145" s="173" t="s">
        <v>215</v>
      </c>
      <c r="B145" s="174">
        <v>128</v>
      </c>
      <c r="C145" s="189"/>
      <c r="D145" s="174"/>
      <c r="E145" s="175">
        <f>SUM(B145:D145)</f>
        <v>128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167483.01</v>
      </c>
      <c r="C147" s="189"/>
      <c r="D147" s="174"/>
      <c r="E147" s="175">
        <f>SUM(B147:D147)</f>
        <v>167483.01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12941951.939999999</v>
      </c>
      <c r="C157" s="174">
        <v>3774706.09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4" customHeight="1" x14ac:dyDescent="0.3">
      <c r="A163" s="207" t="s">
        <v>305</v>
      </c>
      <c r="B163" s="208"/>
      <c r="C163" s="208"/>
      <c r="D163" s="208"/>
      <c r="E163" s="208"/>
    </row>
    <row r="164" spans="1:5" ht="11.4" customHeight="1" x14ac:dyDescent="0.3">
      <c r="A164" s="257" t="s">
        <v>306</v>
      </c>
      <c r="B164" s="257"/>
      <c r="C164" s="257"/>
      <c r="D164" s="257"/>
      <c r="E164" s="257"/>
    </row>
    <row r="165" spans="1:5" ht="11.4" customHeight="1" x14ac:dyDescent="0.3">
      <c r="A165" s="173" t="s">
        <v>307</v>
      </c>
      <c r="B165" s="172" t="s">
        <v>256</v>
      </c>
      <c r="C165" s="189">
        <v>1249239.06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9">
        <v>80979.86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9">
        <v>305672.84999999998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9">
        <v>2128836.29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9">
        <v>39360.18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9">
        <v>367456.29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9">
        <v>24691.62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9">
        <v>20148.5</v>
      </c>
      <c r="D172" s="175"/>
      <c r="E172" s="175"/>
    </row>
    <row r="173" spans="1:5" ht="11.4" customHeight="1" x14ac:dyDescent="0.3">
      <c r="A173" s="173" t="s">
        <v>203</v>
      </c>
      <c r="B173" s="175"/>
      <c r="C173" s="191"/>
      <c r="D173" s="175">
        <f>SUM(C165:C172)</f>
        <v>4216384.6500000004</v>
      </c>
      <c r="E173" s="175"/>
    </row>
    <row r="174" spans="1:5" ht="11.4" customHeight="1" x14ac:dyDescent="0.3">
      <c r="A174" s="257" t="s">
        <v>314</v>
      </c>
      <c r="B174" s="257"/>
      <c r="C174" s="257"/>
      <c r="D174" s="257"/>
      <c r="E174" s="257"/>
    </row>
    <row r="175" spans="1:5" ht="11.4" customHeight="1" x14ac:dyDescent="0.3">
      <c r="A175" s="173" t="s">
        <v>315</v>
      </c>
      <c r="B175" s="172" t="s">
        <v>256</v>
      </c>
      <c r="C175" s="189">
        <v>2600</v>
      </c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9">
        <v>265781.40999999997</v>
      </c>
      <c r="D176" s="175"/>
      <c r="E176" s="175"/>
    </row>
    <row r="177" spans="1:5" ht="11.4" customHeight="1" x14ac:dyDescent="0.3">
      <c r="A177" s="173" t="s">
        <v>203</v>
      </c>
      <c r="B177" s="175"/>
      <c r="C177" s="191"/>
      <c r="D177" s="175">
        <f>SUM(C175:C176)</f>
        <v>268381.40999999997</v>
      </c>
      <c r="E177" s="175"/>
    </row>
    <row r="178" spans="1:5" ht="11.4" customHeight="1" x14ac:dyDescent="0.3">
      <c r="A178" s="257" t="s">
        <v>317</v>
      </c>
      <c r="B178" s="257"/>
      <c r="C178" s="257"/>
      <c r="D178" s="257"/>
      <c r="E178" s="257"/>
    </row>
    <row r="179" spans="1:5" ht="11.4" customHeight="1" x14ac:dyDescent="0.3">
      <c r="A179" s="173" t="s">
        <v>318</v>
      </c>
      <c r="B179" s="172" t="s">
        <v>256</v>
      </c>
      <c r="C179" s="189">
        <v>415964.64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9">
        <v>201270.38</v>
      </c>
      <c r="D180" s="175"/>
      <c r="E180" s="175"/>
    </row>
    <row r="181" spans="1:5" ht="11.4" customHeight="1" x14ac:dyDescent="0.3">
      <c r="A181" s="173" t="s">
        <v>203</v>
      </c>
      <c r="B181" s="175"/>
      <c r="C181" s="191"/>
      <c r="D181" s="175">
        <f>SUM(C179:C180)</f>
        <v>617235.02</v>
      </c>
      <c r="E181" s="175"/>
    </row>
    <row r="182" spans="1:5" ht="11.4" customHeight="1" x14ac:dyDescent="0.3">
      <c r="A182" s="257" t="s">
        <v>320</v>
      </c>
      <c r="B182" s="257"/>
      <c r="C182" s="257"/>
      <c r="D182" s="257"/>
      <c r="E182" s="257"/>
    </row>
    <row r="183" spans="1:5" ht="11.4" customHeight="1" x14ac:dyDescent="0.3">
      <c r="A183" s="173" t="s">
        <v>321</v>
      </c>
      <c r="B183" s="172" t="s">
        <v>256</v>
      </c>
      <c r="C183" s="189">
        <v>45325.58</v>
      </c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9">
        <v>210894.72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">
      <c r="A186" s="173" t="s">
        <v>203</v>
      </c>
      <c r="B186" s="175"/>
      <c r="C186" s="191"/>
      <c r="D186" s="175">
        <f>SUM(C183:C185)</f>
        <v>256220.3</v>
      </c>
      <c r="E186" s="175"/>
    </row>
    <row r="187" spans="1:5" ht="11.4" customHeight="1" x14ac:dyDescent="0.3">
      <c r="A187" s="257" t="s">
        <v>323</v>
      </c>
      <c r="B187" s="257"/>
      <c r="C187" s="257"/>
      <c r="D187" s="257"/>
      <c r="E187" s="257"/>
    </row>
    <row r="188" spans="1:5" ht="11.4" customHeight="1" x14ac:dyDescent="0.3">
      <c r="A188" s="173" t="s">
        <v>324</v>
      </c>
      <c r="B188" s="172" t="s">
        <v>256</v>
      </c>
      <c r="C188" s="189">
        <v>295392.90000000002</v>
      </c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3">
      <c r="A190" s="173" t="s">
        <v>203</v>
      </c>
      <c r="B190" s="175"/>
      <c r="C190" s="191"/>
      <c r="D190" s="175">
        <f>SUM(C188:C189)</f>
        <v>295392.90000000002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146305.63</v>
      </c>
      <c r="C195" s="189"/>
      <c r="D195" s="174"/>
      <c r="E195" s="175">
        <f t="shared" ref="E195:E203" si="10">SUM(B195:C195)-D195</f>
        <v>146305.63</v>
      </c>
    </row>
    <row r="196" spans="1:8" ht="12.65" customHeight="1" x14ac:dyDescent="0.3">
      <c r="A196" s="173" t="s">
        <v>333</v>
      </c>
      <c r="B196" s="174">
        <v>1102509.73</v>
      </c>
      <c r="C196" s="189"/>
      <c r="D196" s="174"/>
      <c r="E196" s="175">
        <f t="shared" si="10"/>
        <v>1102509.73</v>
      </c>
    </row>
    <row r="197" spans="1:8" ht="12.65" customHeight="1" x14ac:dyDescent="0.3">
      <c r="A197" s="173" t="s">
        <v>334</v>
      </c>
      <c r="B197" s="174">
        <v>7917589.3899999997</v>
      </c>
      <c r="C197" s="189">
        <v>364874.95</v>
      </c>
      <c r="D197" s="174">
        <v>10315.68</v>
      </c>
      <c r="E197" s="175">
        <f t="shared" si="10"/>
        <v>8272148.6600000001</v>
      </c>
    </row>
    <row r="198" spans="1:8" ht="12.65" customHeight="1" x14ac:dyDescent="0.3">
      <c r="A198" s="173" t="s">
        <v>335</v>
      </c>
      <c r="B198" s="174">
        <v>5885689.25</v>
      </c>
      <c r="C198" s="189">
        <v>33546.550000000003</v>
      </c>
      <c r="D198" s="174">
        <v>7596.12</v>
      </c>
      <c r="E198" s="175">
        <f t="shared" si="10"/>
        <v>5911639.6799999997</v>
      </c>
    </row>
    <row r="199" spans="1:8" ht="12.65" customHeight="1" x14ac:dyDescent="0.3">
      <c r="A199" s="173" t="s">
        <v>336</v>
      </c>
      <c r="B199" s="174">
        <v>297986.88</v>
      </c>
      <c r="C199" s="189">
        <v>31439.46</v>
      </c>
      <c r="D199" s="174">
        <v>50202.9</v>
      </c>
      <c r="E199" s="175">
        <f t="shared" si="10"/>
        <v>279223.44</v>
      </c>
    </row>
    <row r="200" spans="1:8" ht="12.65" customHeight="1" x14ac:dyDescent="0.3">
      <c r="A200" s="173" t="s">
        <v>337</v>
      </c>
      <c r="B200" s="174">
        <f>8173175.78+2158285.97</f>
        <v>10331461.75</v>
      </c>
      <c r="C200" s="189">
        <f>1108724.37+51092.5+39670</f>
        <v>1199486.8700000001</v>
      </c>
      <c r="D200" s="174">
        <f>1328812.04</f>
        <v>1328812.04</v>
      </c>
      <c r="E200" s="175">
        <f t="shared" si="10"/>
        <v>10202136.580000002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51092.5</v>
      </c>
      <c r="C203" s="189">
        <v>42620</v>
      </c>
      <c r="D203" s="174">
        <v>51092.5</v>
      </c>
      <c r="E203" s="175">
        <f t="shared" si="10"/>
        <v>42620</v>
      </c>
    </row>
    <row r="204" spans="1:8" ht="12.65" customHeight="1" x14ac:dyDescent="0.3">
      <c r="A204" s="173" t="s">
        <v>203</v>
      </c>
      <c r="B204" s="175">
        <f>SUM(B195:B203)</f>
        <v>25732635.130000003</v>
      </c>
      <c r="C204" s="191">
        <f>SUM(C195:C203)</f>
        <v>1671967.83</v>
      </c>
      <c r="D204" s="175">
        <f>SUM(D195:D203)</f>
        <v>1448019.24</v>
      </c>
      <c r="E204" s="175">
        <f>SUM(E195:E203)</f>
        <v>25956583.719999999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853762.86</v>
      </c>
      <c r="C209" s="189">
        <v>29586.9</v>
      </c>
      <c r="D209" s="174"/>
      <c r="E209" s="175">
        <f t="shared" ref="E209:E216" si="11">SUM(B209:C209)-D209</f>
        <v>883349.76</v>
      </c>
      <c r="H209" s="259"/>
    </row>
    <row r="210" spans="1:8" ht="12.65" customHeight="1" x14ac:dyDescent="0.3">
      <c r="A210" s="173" t="s">
        <v>334</v>
      </c>
      <c r="B210" s="174">
        <v>4861886.18</v>
      </c>
      <c r="C210" s="189">
        <v>274499.59999999998</v>
      </c>
      <c r="D210" s="174">
        <v>10315.68</v>
      </c>
      <c r="E210" s="175">
        <f t="shared" si="11"/>
        <v>5126070.0999999996</v>
      </c>
      <c r="H210" s="259"/>
    </row>
    <row r="211" spans="1:8" ht="12.65" customHeight="1" x14ac:dyDescent="0.3">
      <c r="A211" s="173" t="s">
        <v>335</v>
      </c>
      <c r="B211" s="174">
        <v>3177910.11</v>
      </c>
      <c r="C211" s="189">
        <v>287392.98</v>
      </c>
      <c r="D211" s="174">
        <v>7596.12</v>
      </c>
      <c r="E211" s="175">
        <f t="shared" si="11"/>
        <v>3457706.9699999997</v>
      </c>
      <c r="H211" s="259"/>
    </row>
    <row r="212" spans="1:8" ht="12.65" customHeight="1" x14ac:dyDescent="0.3">
      <c r="A212" s="173" t="s">
        <v>336</v>
      </c>
      <c r="B212" s="174">
        <v>177031.73</v>
      </c>
      <c r="C212" s="189">
        <v>13911.63</v>
      </c>
      <c r="D212" s="174">
        <v>49880.7</v>
      </c>
      <c r="E212" s="175">
        <f t="shared" si="11"/>
        <v>141062.66000000003</v>
      </c>
      <c r="H212" s="259"/>
    </row>
    <row r="213" spans="1:8" ht="12.65" customHeight="1" x14ac:dyDescent="0.3">
      <c r="A213" s="173" t="s">
        <v>337</v>
      </c>
      <c r="B213" s="174">
        <f>6206570.82+864713.92</f>
        <v>7071284.7400000002</v>
      </c>
      <c r="C213" s="189">
        <f>769939.97+726568.9</f>
        <v>1496508.87</v>
      </c>
      <c r="D213" s="174">
        <v>1321109.19</v>
      </c>
      <c r="E213" s="175">
        <f t="shared" si="11"/>
        <v>7246684.4199999999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16141875.620000001</v>
      </c>
      <c r="C217" s="191">
        <f>SUM(C208:C216)</f>
        <v>2101899.98</v>
      </c>
      <c r="D217" s="175">
        <f>SUM(D208:D216)</f>
        <v>1388901.69</v>
      </c>
      <c r="E217" s="175">
        <f>SUM(E208:E216)</f>
        <v>16854873.909999996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7" t="s">
        <v>1254</v>
      </c>
      <c r="C220" s="347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1599022.55</v>
      </c>
      <c r="D221" s="172">
        <f>C221</f>
        <v>1599022.55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17510686.289999999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14022702.460000001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1077288.8899999999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312950.45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4347763.03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37271391.119999997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2380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124921.01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1199466.68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1324387.69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5522090.9500000002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245130.02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5767220.9699999997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45962022.329999991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17776426.370000001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13038900.57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8027477.1799999997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750293.38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114071.99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828805.94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184427.79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24665448.860000003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>
        <v>467289.55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467289.55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146305.63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1102509.73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8272148.6600000001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5911639.6799999997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279223.44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f>8025479.13+2197955.97</f>
        <v>10223435.1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42620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25977882.239999998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16856284.77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9121597.4699999988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1583839.38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1350671.35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233168.0299999998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34487503.910000004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961862.38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1620825.8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896000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562031.41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1390435.82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5431155.4100000001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f>524253.39+3261821.95</f>
        <v>3786075.3400000003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f>866182.43+1712543.12</f>
        <v>2578725.5500000003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6364800.8900000006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1390435.82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4974365.07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24081983.43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34487503.909999996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34487503.910000004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13501349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71967614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85468963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1550302.21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41220879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1324387.69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1866453.13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45962022.030000001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39506940.969999999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817590.17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1080075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1897665.17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41404606.140000001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18053147.969999999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4216384.6500000004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5337530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5745149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472683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2655962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2105373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268381.40999999997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617235.02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256220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295392.90000000002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285207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40308665.949999996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1095940.1900000051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7586835.1699999999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8682775.360000005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8682775.360000005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Mid Valley Hospital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825</v>
      </c>
      <c r="C414" s="194">
        <f>E138</f>
        <v>825</v>
      </c>
      <c r="D414" s="179"/>
    </row>
    <row r="415" spans="1:5" ht="12.65" customHeight="1" x14ac:dyDescent="0.3">
      <c r="A415" s="179" t="s">
        <v>464</v>
      </c>
      <c r="B415" s="179">
        <f>D111</f>
        <v>2109</v>
      </c>
      <c r="C415" s="179">
        <f>E139</f>
        <v>2109</v>
      </c>
      <c r="D415" s="194">
        <f>SUM(C59:H59)+N59</f>
        <v>2109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10</v>
      </c>
      <c r="C417" s="194">
        <f>E144</f>
        <v>10</v>
      </c>
      <c r="D417" s="179"/>
    </row>
    <row r="418" spans="1:7" ht="12.65" customHeight="1" x14ac:dyDescent="0.3">
      <c r="A418" s="179" t="s">
        <v>466</v>
      </c>
      <c r="B418" s="179">
        <f>D112</f>
        <v>128</v>
      </c>
      <c r="C418" s="179">
        <f>E145</f>
        <v>128</v>
      </c>
      <c r="D418" s="179">
        <f>K59+L59</f>
        <v>128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310</v>
      </c>
    </row>
    <row r="424" spans="1:7" ht="12.65" customHeight="1" x14ac:dyDescent="0.3">
      <c r="A424" s="179" t="s">
        <v>1243</v>
      </c>
      <c r="B424" s="179">
        <f>D114</f>
        <v>411</v>
      </c>
      <c r="D424" s="179">
        <f>J59</f>
        <v>411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18053147.969999999</v>
      </c>
      <c r="C427" s="179">
        <f t="shared" ref="C427:C434" si="13">CE61</f>
        <v>18053147.889999997</v>
      </c>
      <c r="D427" s="179"/>
    </row>
    <row r="428" spans="1:7" ht="12.65" customHeight="1" x14ac:dyDescent="0.3">
      <c r="A428" s="179" t="s">
        <v>3</v>
      </c>
      <c r="B428" s="179">
        <f t="shared" si="12"/>
        <v>4216384.6500000004</v>
      </c>
      <c r="C428" s="179">
        <f t="shared" si="13"/>
        <v>4216382</v>
      </c>
      <c r="D428" s="179">
        <f>D173</f>
        <v>4216384.6500000004</v>
      </c>
    </row>
    <row r="429" spans="1:7" ht="12.65" customHeight="1" x14ac:dyDescent="0.3">
      <c r="A429" s="179" t="s">
        <v>236</v>
      </c>
      <c r="B429" s="179">
        <f t="shared" si="12"/>
        <v>5337530</v>
      </c>
      <c r="C429" s="179">
        <f t="shared" si="13"/>
        <v>5337530.0599999996</v>
      </c>
      <c r="D429" s="179"/>
    </row>
    <row r="430" spans="1:7" ht="12.65" customHeight="1" x14ac:dyDescent="0.3">
      <c r="A430" s="179" t="s">
        <v>237</v>
      </c>
      <c r="B430" s="179">
        <f t="shared" si="12"/>
        <v>5745149</v>
      </c>
      <c r="C430" s="179">
        <f t="shared" si="13"/>
        <v>5745148.8300000001</v>
      </c>
      <c r="D430" s="179"/>
    </row>
    <row r="431" spans="1:7" ht="12.65" customHeight="1" x14ac:dyDescent="0.3">
      <c r="A431" s="179" t="s">
        <v>444</v>
      </c>
      <c r="B431" s="179">
        <f t="shared" si="12"/>
        <v>472683</v>
      </c>
      <c r="C431" s="179">
        <f t="shared" si="13"/>
        <v>472682.81</v>
      </c>
      <c r="D431" s="179"/>
    </row>
    <row r="432" spans="1:7" ht="12.65" customHeight="1" x14ac:dyDescent="0.3">
      <c r="A432" s="179" t="s">
        <v>445</v>
      </c>
      <c r="B432" s="179">
        <f t="shared" si="12"/>
        <v>2655962</v>
      </c>
      <c r="C432" s="179">
        <f t="shared" si="13"/>
        <v>2655962.1200000006</v>
      </c>
      <c r="D432" s="179"/>
    </row>
    <row r="433" spans="1:7" ht="12.65" customHeight="1" x14ac:dyDescent="0.3">
      <c r="A433" s="179" t="s">
        <v>6</v>
      </c>
      <c r="B433" s="179">
        <f t="shared" si="12"/>
        <v>2105373</v>
      </c>
      <c r="C433" s="179">
        <f t="shared" si="13"/>
        <v>2121449</v>
      </c>
      <c r="D433" s="179">
        <f>C217</f>
        <v>2101899.98</v>
      </c>
    </row>
    <row r="434" spans="1:7" ht="12.65" customHeight="1" x14ac:dyDescent="0.3">
      <c r="A434" s="179" t="s">
        <v>474</v>
      </c>
      <c r="B434" s="179">
        <f t="shared" si="12"/>
        <v>268381.40999999997</v>
      </c>
      <c r="C434" s="179">
        <f t="shared" si="13"/>
        <v>268381.41000000003</v>
      </c>
      <c r="D434" s="179">
        <f>D177</f>
        <v>268381.40999999997</v>
      </c>
    </row>
    <row r="435" spans="1:7" ht="12.65" customHeight="1" x14ac:dyDescent="0.3">
      <c r="A435" s="179" t="s">
        <v>447</v>
      </c>
      <c r="B435" s="179">
        <f t="shared" si="12"/>
        <v>617235.02</v>
      </c>
      <c r="C435" s="179"/>
      <c r="D435" s="179">
        <f>D181</f>
        <v>617235.02</v>
      </c>
    </row>
    <row r="436" spans="1:7" ht="12.65" customHeight="1" x14ac:dyDescent="0.3">
      <c r="A436" s="179" t="s">
        <v>475</v>
      </c>
      <c r="B436" s="179">
        <f t="shared" si="12"/>
        <v>256220</v>
      </c>
      <c r="C436" s="179"/>
      <c r="D436" s="179">
        <f>D186</f>
        <v>256220.3</v>
      </c>
    </row>
    <row r="437" spans="1:7" ht="12.65" customHeight="1" x14ac:dyDescent="0.3">
      <c r="A437" s="194" t="s">
        <v>449</v>
      </c>
      <c r="B437" s="194">
        <f t="shared" si="12"/>
        <v>295392.90000000002</v>
      </c>
      <c r="C437" s="194"/>
      <c r="D437" s="194">
        <f>D190</f>
        <v>295392.90000000002</v>
      </c>
    </row>
    <row r="438" spans="1:7" ht="12.65" customHeight="1" x14ac:dyDescent="0.3">
      <c r="A438" s="194" t="s">
        <v>476</v>
      </c>
      <c r="B438" s="194">
        <f>C386+C387+C388</f>
        <v>1168847.92</v>
      </c>
      <c r="C438" s="194">
        <f>CD69</f>
        <v>689591.61</v>
      </c>
      <c r="D438" s="194">
        <f>D181+D186+D190</f>
        <v>1168848.2200000002</v>
      </c>
    </row>
    <row r="439" spans="1:7" ht="12.65" customHeight="1" x14ac:dyDescent="0.3">
      <c r="A439" s="179" t="s">
        <v>451</v>
      </c>
      <c r="B439" s="194">
        <f>C389</f>
        <v>285207</v>
      </c>
      <c r="C439" s="194">
        <f>SUM(C69:CC69)</f>
        <v>469080.03999999986</v>
      </c>
      <c r="D439" s="179"/>
    </row>
    <row r="440" spans="1:7" ht="12.65" customHeight="1" x14ac:dyDescent="0.3">
      <c r="A440" s="179" t="s">
        <v>477</v>
      </c>
      <c r="B440" s="194">
        <f>B438+B439</f>
        <v>1454054.92</v>
      </c>
      <c r="C440" s="194">
        <f>CE69</f>
        <v>1158671.6499999999</v>
      </c>
      <c r="D440" s="179"/>
    </row>
    <row r="441" spans="1:7" ht="12.65" customHeight="1" x14ac:dyDescent="0.3">
      <c r="A441" s="179" t="s">
        <v>478</v>
      </c>
      <c r="B441" s="179">
        <f>D390</f>
        <v>40308665.949999996</v>
      </c>
      <c r="C441" s="179">
        <f>SUM(C427:C437)+C440</f>
        <v>40029355.769999988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1599022.55</v>
      </c>
      <c r="C444" s="179">
        <f>C363</f>
        <v>1550302.21</v>
      </c>
      <c r="D444" s="179"/>
    </row>
    <row r="445" spans="1:7" ht="12.65" customHeight="1" x14ac:dyDescent="0.3">
      <c r="A445" s="179" t="s">
        <v>343</v>
      </c>
      <c r="B445" s="179">
        <f>D229</f>
        <v>37271391.119999997</v>
      </c>
      <c r="C445" s="179">
        <f>C364</f>
        <v>41220879</v>
      </c>
      <c r="D445" s="179"/>
    </row>
    <row r="446" spans="1:7" ht="12.65" customHeight="1" x14ac:dyDescent="0.3">
      <c r="A446" s="179" t="s">
        <v>351</v>
      </c>
      <c r="B446" s="179">
        <f>D236</f>
        <v>1324387.69</v>
      </c>
      <c r="C446" s="179">
        <f>C365</f>
        <v>1324387.69</v>
      </c>
      <c r="D446" s="179"/>
    </row>
    <row r="447" spans="1:7" ht="12.65" customHeight="1" x14ac:dyDescent="0.3">
      <c r="A447" s="179" t="s">
        <v>356</v>
      </c>
      <c r="B447" s="179">
        <f>D240</f>
        <v>5767220.9699999997</v>
      </c>
      <c r="C447" s="179">
        <f>C366</f>
        <v>1866453.13</v>
      </c>
      <c r="D447" s="179"/>
    </row>
    <row r="448" spans="1:7" ht="12.65" customHeight="1" x14ac:dyDescent="0.3">
      <c r="A448" s="179" t="s">
        <v>358</v>
      </c>
      <c r="B448" s="179">
        <f>D242</f>
        <v>45962022.329999991</v>
      </c>
      <c r="C448" s="179">
        <f>D367</f>
        <v>45962022.030000001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2380</v>
      </c>
    </row>
    <row r="454" spans="1:7" ht="12.65" customHeight="1" x14ac:dyDescent="0.3">
      <c r="A454" s="179" t="s">
        <v>168</v>
      </c>
      <c r="B454" s="179">
        <f>C233</f>
        <v>124921.01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1199466.68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817590.17</v>
      </c>
      <c r="C458" s="194">
        <f>CE70</f>
        <v>817589.73300000001</v>
      </c>
      <c r="D458" s="194"/>
    </row>
    <row r="459" spans="1:7" ht="12.65" customHeight="1" x14ac:dyDescent="0.3">
      <c r="A459" s="179" t="s">
        <v>244</v>
      </c>
      <c r="B459" s="194">
        <f>C371</f>
        <v>1080075</v>
      </c>
      <c r="C459" s="194">
        <f>CE72</f>
        <v>1080075.01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13501349</v>
      </c>
      <c r="C463" s="194">
        <f>CE73</f>
        <v>13501349.460000001</v>
      </c>
      <c r="D463" s="194">
        <f>E141+E147+E153</f>
        <v>13501349.459999999</v>
      </c>
    </row>
    <row r="464" spans="1:7" ht="12.65" customHeight="1" x14ac:dyDescent="0.3">
      <c r="A464" s="179" t="s">
        <v>246</v>
      </c>
      <c r="B464" s="194">
        <f>C360</f>
        <v>71967614</v>
      </c>
      <c r="C464" s="194">
        <f>CE74</f>
        <v>71967613.849999994</v>
      </c>
      <c r="D464" s="194">
        <f>E142+E148+E154</f>
        <v>71967613.850000009</v>
      </c>
    </row>
    <row r="465" spans="1:7" ht="12.65" customHeight="1" x14ac:dyDescent="0.3">
      <c r="A465" s="179" t="s">
        <v>247</v>
      </c>
      <c r="B465" s="194">
        <f>D361</f>
        <v>85468963</v>
      </c>
      <c r="C465" s="194">
        <f>CE75</f>
        <v>85468963.310000002</v>
      </c>
      <c r="D465" s="194">
        <f>D463+D464</f>
        <v>85468963.310000002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146305.63</v>
      </c>
      <c r="C468" s="179">
        <f>E195</f>
        <v>146305.63</v>
      </c>
      <c r="D468" s="179"/>
    </row>
    <row r="469" spans="1:7" ht="12.65" customHeight="1" x14ac:dyDescent="0.3">
      <c r="A469" s="179" t="s">
        <v>333</v>
      </c>
      <c r="B469" s="179">
        <f t="shared" si="14"/>
        <v>1102509.73</v>
      </c>
      <c r="C469" s="179">
        <f>E196</f>
        <v>1102509.73</v>
      </c>
      <c r="D469" s="179"/>
    </row>
    <row r="470" spans="1:7" ht="12.65" customHeight="1" x14ac:dyDescent="0.3">
      <c r="A470" s="179" t="s">
        <v>334</v>
      </c>
      <c r="B470" s="179">
        <f t="shared" si="14"/>
        <v>8272148.6600000001</v>
      </c>
      <c r="C470" s="179">
        <f>E197</f>
        <v>8272148.6600000001</v>
      </c>
      <c r="D470" s="179"/>
    </row>
    <row r="471" spans="1:7" ht="12.65" customHeight="1" x14ac:dyDescent="0.3">
      <c r="A471" s="179" t="s">
        <v>494</v>
      </c>
      <c r="B471" s="179">
        <f t="shared" si="14"/>
        <v>5911639.6799999997</v>
      </c>
      <c r="C471" s="179">
        <f>E198</f>
        <v>5911639.6799999997</v>
      </c>
      <c r="D471" s="179"/>
    </row>
    <row r="472" spans="1:7" ht="12.65" customHeight="1" x14ac:dyDescent="0.3">
      <c r="A472" s="179" t="s">
        <v>377</v>
      </c>
      <c r="B472" s="179">
        <f t="shared" si="14"/>
        <v>279223.44</v>
      </c>
      <c r="C472" s="179">
        <f>E199</f>
        <v>279223.44</v>
      </c>
      <c r="D472" s="179"/>
    </row>
    <row r="473" spans="1:7" ht="12.65" customHeight="1" x14ac:dyDescent="0.3">
      <c r="A473" s="179" t="s">
        <v>495</v>
      </c>
      <c r="B473" s="179">
        <f t="shared" si="14"/>
        <v>10223435.1</v>
      </c>
      <c r="C473" s="179">
        <f>SUM(E200:E201)</f>
        <v>10202136.580000002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42620</v>
      </c>
      <c r="C475" s="179">
        <f>E203</f>
        <v>42620</v>
      </c>
      <c r="D475" s="179"/>
    </row>
    <row r="476" spans="1:7" ht="12.65" customHeight="1" x14ac:dyDescent="0.3">
      <c r="A476" s="179" t="s">
        <v>203</v>
      </c>
      <c r="B476" s="179">
        <f>D275</f>
        <v>25977882.239999998</v>
      </c>
      <c r="C476" s="179">
        <f>E204</f>
        <v>25956583.719999999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16856284.77</v>
      </c>
      <c r="C478" s="179">
        <f>E217</f>
        <v>16854873.909999996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34487503.910000004</v>
      </c>
    </row>
    <row r="482" spans="1:12" ht="12.65" customHeight="1" x14ac:dyDescent="0.3">
      <c r="A482" s="180" t="s">
        <v>499</v>
      </c>
      <c r="C482" s="180">
        <f>D339</f>
        <v>34487503.909999996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147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3007172.6899999995</v>
      </c>
      <c r="C498" s="240">
        <f>E71</f>
        <v>3526301.0599999996</v>
      </c>
      <c r="D498" s="240">
        <f>'Prior Year'!E59</f>
        <v>1734</v>
      </c>
      <c r="E498" s="180">
        <f>E59</f>
        <v>2109</v>
      </c>
      <c r="F498" s="263">
        <f t="shared" si="15"/>
        <v>1734.2403056516721</v>
      </c>
      <c r="G498" s="263">
        <f t="shared" si="15"/>
        <v>1672.0251588430533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335543.83999999997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2204</v>
      </c>
      <c r="C503" s="240">
        <f>J71</f>
        <v>3009.99</v>
      </c>
      <c r="D503" s="240">
        <f>'Prior Year'!J59</f>
        <v>377</v>
      </c>
      <c r="E503" s="180">
        <f>J59</f>
        <v>411</v>
      </c>
      <c r="F503" s="263">
        <f t="shared" si="15"/>
        <v>5.8461538461538458</v>
      </c>
      <c r="G503" s="263">
        <f t="shared" si="15"/>
        <v>7.323576642335766</v>
      </c>
      <c r="H503" s="265">
        <f t="shared" si="16"/>
        <v>0.25271705724164417</v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128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1204764.04</v>
      </c>
      <c r="C508" s="240">
        <f>O71</f>
        <v>1593227.73</v>
      </c>
      <c r="D508" s="240">
        <f>'Prior Year'!O59</f>
        <v>266</v>
      </c>
      <c r="E508" s="180">
        <f>O59</f>
        <v>310</v>
      </c>
      <c r="F508" s="263">
        <f t="shared" si="15"/>
        <v>4529.1881203007524</v>
      </c>
      <c r="G508" s="263">
        <f t="shared" si="15"/>
        <v>5139.4442903225809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2387383.84</v>
      </c>
      <c r="C509" s="240">
        <f>P71</f>
        <v>2476887.3400000003</v>
      </c>
      <c r="D509" s="240">
        <f>'Prior Year'!P59</f>
        <v>105339</v>
      </c>
      <c r="E509" s="180">
        <f>P59</f>
        <v>110137</v>
      </c>
      <c r="F509" s="263">
        <f t="shared" si="15"/>
        <v>22.663817199707609</v>
      </c>
      <c r="G509" s="263">
        <f t="shared" si="15"/>
        <v>22.489148424235275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711505.1399999999</v>
      </c>
      <c r="C510" s="240">
        <f>Q71</f>
        <v>784426.64999999979</v>
      </c>
      <c r="D510" s="240">
        <f>'Prior Year'!Q59</f>
        <v>118412</v>
      </c>
      <c r="E510" s="180">
        <f>Q59</f>
        <v>129375</v>
      </c>
      <c r="F510" s="263">
        <f t="shared" si="15"/>
        <v>6.0087249603080757</v>
      </c>
      <c r="G510" s="263">
        <f t="shared" si="15"/>
        <v>6.0632011594202879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902411.13</v>
      </c>
      <c r="C511" s="240">
        <f>R71</f>
        <v>917747.78</v>
      </c>
      <c r="D511" s="240">
        <f>'Prior Year'!R59</f>
        <v>117096</v>
      </c>
      <c r="E511" s="180">
        <f>R59</f>
        <v>119033</v>
      </c>
      <c r="F511" s="263">
        <f t="shared" si="15"/>
        <v>7.7065922832547651</v>
      </c>
      <c r="G511" s="263">
        <f t="shared" si="15"/>
        <v>7.7100281434560163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1313583.17</v>
      </c>
      <c r="C512" s="240">
        <f>S71</f>
        <v>1331608.1899999997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1827033.74</v>
      </c>
      <c r="C514" s="240">
        <f>U71</f>
        <v>2405117.48</v>
      </c>
      <c r="D514" s="240">
        <f>'Prior Year'!U59</f>
        <v>78116</v>
      </c>
      <c r="E514" s="180">
        <f>U59</f>
        <v>95490</v>
      </c>
      <c r="F514" s="263">
        <f t="shared" si="17"/>
        <v>23.388726253264377</v>
      </c>
      <c r="G514" s="263">
        <f t="shared" si="17"/>
        <v>25.187113624463294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1172</v>
      </c>
      <c r="D515" s="240">
        <f>'Prior Year'!V59</f>
        <v>2196</v>
      </c>
      <c r="E515" s="180">
        <f>V59</f>
        <v>2510</v>
      </c>
      <c r="F515" s="263" t="str">
        <f t="shared" si="17"/>
        <v/>
      </c>
      <c r="G515" s="263">
        <f t="shared" si="17"/>
        <v>0.46693227091633466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3344922.0200000005</v>
      </c>
      <c r="C518" s="240">
        <f>Y71</f>
        <v>3784289.0999999996</v>
      </c>
      <c r="D518" s="240">
        <f>'Prior Year'!Y59</f>
        <v>15720</v>
      </c>
      <c r="E518" s="180">
        <f>Y59</f>
        <v>18393</v>
      </c>
      <c r="F518" s="263">
        <f t="shared" si="17"/>
        <v>212.78129898218833</v>
      </c>
      <c r="G518" s="263">
        <f t="shared" si="17"/>
        <v>205.74615886478549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484140.26000000007</v>
      </c>
      <c r="C521" s="240">
        <f>AB71</f>
        <v>748756.98699999996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367946.74000000005</v>
      </c>
      <c r="C522" s="240">
        <f>AC71</f>
        <v>451202.88</v>
      </c>
      <c r="D522" s="240">
        <f>'Prior Year'!AC59</f>
        <v>2938</v>
      </c>
      <c r="E522" s="180">
        <f>AC59</f>
        <v>2874</v>
      </c>
      <c r="F522" s="263">
        <f t="shared" si="17"/>
        <v>125.23714771953712</v>
      </c>
      <c r="G522" s="263">
        <f t="shared" si="17"/>
        <v>156.99473903966597</v>
      </c>
      <c r="H522" s="265">
        <f t="shared" si="16"/>
        <v>0.25357964388688026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647561.95999999973</v>
      </c>
      <c r="C524" s="240">
        <f>AE71</f>
        <v>703267.5199999999</v>
      </c>
      <c r="D524" s="240">
        <f>'Prior Year'!AE59</f>
        <v>10175</v>
      </c>
      <c r="E524" s="180">
        <f>AE59</f>
        <v>10563</v>
      </c>
      <c r="F524" s="263">
        <f t="shared" si="17"/>
        <v>63.642453071253044</v>
      </c>
      <c r="G524" s="263">
        <f t="shared" si="17"/>
        <v>66.57838871532708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4472780.9300000006</v>
      </c>
      <c r="C526" s="240">
        <f>AG71</f>
        <v>4808795.42</v>
      </c>
      <c r="D526" s="240">
        <f>'Prior Year'!AG59</f>
        <v>8307</v>
      </c>
      <c r="E526" s="180">
        <f>AG59</f>
        <v>9642</v>
      </c>
      <c r="F526" s="263">
        <f t="shared" si="17"/>
        <v>538.43516672685689</v>
      </c>
      <c r="G526" s="263">
        <f t="shared" si="17"/>
        <v>498.73422733872638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0</v>
      </c>
      <c r="C529" s="240">
        <f>AJ71</f>
        <v>77279.5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6220750.4900000002</v>
      </c>
      <c r="C535" s="240">
        <f>AP71</f>
        <v>6532207.6799999997</v>
      </c>
      <c r="D535" s="240">
        <f>'Prior Year'!AP59</f>
        <v>19595</v>
      </c>
      <c r="E535" s="180">
        <f>AP59</f>
        <v>21696</v>
      </c>
      <c r="F535" s="263">
        <f t="shared" si="18"/>
        <v>317.46621536106153</v>
      </c>
      <c r="G535" s="263">
        <f t="shared" si="18"/>
        <v>301.07889380530975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479543.86</v>
      </c>
      <c r="C544" s="240">
        <f>AY71</f>
        <v>544222.34999999986</v>
      </c>
      <c r="D544" s="240">
        <f>'Prior Year'!AY59</f>
        <v>8264</v>
      </c>
      <c r="E544" s="180">
        <f>AY59</f>
        <v>10306</v>
      </c>
      <c r="F544" s="263">
        <f t="shared" ref="F544:G550" si="19">IF(B544=0,"",IF(D544=0,"",B544/D544))</f>
        <v>58.028056631171346</v>
      </c>
      <c r="G544" s="263">
        <f t="shared" si="19"/>
        <v>52.806360372598476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175166.69999999998</v>
      </c>
      <c r="C546" s="240">
        <f>BA71</f>
        <v>206017.99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161829.66999999998</v>
      </c>
      <c r="C549" s="240">
        <f>BD71</f>
        <v>170270.46999999997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1030423.62</v>
      </c>
      <c r="C550" s="240">
        <f>BE71</f>
        <v>1075354.9100000001</v>
      </c>
      <c r="D550" s="240">
        <f>'Prior Year'!BE59</f>
        <v>82579</v>
      </c>
      <c r="E550" s="180">
        <f>BE59</f>
        <v>82579</v>
      </c>
      <c r="F550" s="263">
        <f t="shared" si="19"/>
        <v>12.478034609283231</v>
      </c>
      <c r="G550" s="263">
        <f t="shared" si="19"/>
        <v>13.022135288632706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491771.07</v>
      </c>
      <c r="C551" s="240">
        <f>BF71</f>
        <v>600950.3600000001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144864.37</v>
      </c>
      <c r="C552" s="240">
        <f>BG71</f>
        <v>173032.02000000002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822227.71000000008</v>
      </c>
      <c r="C553" s="240">
        <f>BH71</f>
        <v>837831.16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752639.55</v>
      </c>
      <c r="C555" s="240">
        <f>BJ71</f>
        <v>813664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1025110.0399999999</v>
      </c>
      <c r="C556" s="240">
        <f>BK71</f>
        <v>1071765.3299999998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278291.79000000004</v>
      </c>
      <c r="C557" s="240">
        <f>BL71</f>
        <v>279785.10000000003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975974.78999999992</v>
      </c>
      <c r="C559" s="240">
        <f>BN71</f>
        <v>1067872.57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314131.3</v>
      </c>
      <c r="C560" s="240">
        <f>BO71</f>
        <v>265854.66000000003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309515.07</v>
      </c>
      <c r="C563" s="240">
        <f>BR71</f>
        <v>317122.38999999996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587474.97</v>
      </c>
      <c r="C567" s="240">
        <f>BV71</f>
        <v>601750.49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110701.01000000001</v>
      </c>
      <c r="C569" s="240">
        <f>BX71</f>
        <v>114027.52000000002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281858.69999999995</v>
      </c>
      <c r="C570" s="240">
        <f>BY71</f>
        <v>325579.17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109792.75</v>
      </c>
      <c r="C572" s="240">
        <f>CA71</f>
        <v>105244.4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28044.92</v>
      </c>
      <c r="C574" s="240">
        <f>CC71</f>
        <v>26509.43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351616.69</v>
      </c>
      <c r="C575" s="240">
        <f>CD71</f>
        <v>469614.41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57846</v>
      </c>
      <c r="E612" s="180">
        <f>SUM(C624:D647)+SUM(C668:D713)</f>
        <v>37085150.336078234</v>
      </c>
      <c r="F612" s="180">
        <f>CE64-(AX64+BD64+BE64+BG64+BJ64+BN64+BP64+BQ64+CB64+CC64+CD64)</f>
        <v>5677036.3200000003</v>
      </c>
      <c r="G612" s="180">
        <f>CE77-(AX77+AY77+BD77+BE77+BG77+BJ77+BN77+BP77+BQ77+CB77+CC77+CD77)</f>
        <v>10306</v>
      </c>
      <c r="H612" s="197">
        <f>CE60-(AX60+AY60+AZ60+BD60+BE60+BG60+BJ60+BN60+BO60+BP60+BQ60+BR60+CB60+CC60+CD60)</f>
        <v>190.16200000000001</v>
      </c>
      <c r="I612" s="180">
        <f>CE78-(AX78+AY78+AZ78+BD78+BE78+BF78+BG78+BJ78+BN78+BO78+BP78+BQ78+BR78+CB78+CC78+CD78)</f>
        <v>18668.63</v>
      </c>
      <c r="J612" s="180">
        <f>CE79-(AX79+AY79+AZ79+BA79+BD79+BE79+BF79+BG79+BJ79+BN79+BO79+BP79+BQ79+BR79+CB79+CC79+CD79)</f>
        <v>188123</v>
      </c>
      <c r="K612" s="180">
        <f>CE75-(AW75+AX75+AY75+AZ75+BA75+BB75+BC75+BD75+BE75+BF75+BG75+BH75+BI75+BJ75+BK75+BL75+BM75+BN75+BO75+BP75+BQ75+BR75+BS75+BT75+BU75+BV75+BW75+BX75+CB75+CC75+CD75)</f>
        <v>85468963.310000002</v>
      </c>
      <c r="L612" s="197">
        <f>CE80-(AW80+AX80+AY80+AZ80+BA80+BB80+BC80+BD80+BE80+BF80+BG80+BH80+BI80+BJ80+BK80+BL80+BM80+BN80+BO80+BP80+BQ80+BR80+BS80+BT80+BU80+BV80+BW80+BX80+BY80+BZ80+CA80+CB80+CC80+CD80)</f>
        <v>44.25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1075354.9100000001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469614.41</v>
      </c>
      <c r="D615" s="266">
        <f>SUM(C614:C615)</f>
        <v>1544969.32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813664</v>
      </c>
      <c r="D617" s="180">
        <f>(D615/D612)*BJ76</f>
        <v>16425.615112540196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173032.02000000002</v>
      </c>
      <c r="D618" s="180">
        <f>(D615/D612)*BG76</f>
        <v>7798.8286387995722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1067872.57</v>
      </c>
      <c r="D619" s="180">
        <f>(D615/D612)*BN76</f>
        <v>21313.237170418008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26509.43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2126615.7009217581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170270.46999999997</v>
      </c>
      <c r="D624" s="180">
        <f>(D615/D612)*BD76</f>
        <v>9160.9528188638815</v>
      </c>
      <c r="E624" s="180">
        <f>(E623/E612)*SUM(C624:D624)</f>
        <v>10289.338928042724</v>
      </c>
      <c r="F624" s="180">
        <f>SUM(C624:E624)</f>
        <v>189720.76174690659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544222.34999999986</v>
      </c>
      <c r="D625" s="180">
        <f>(D615/D612)*AY76</f>
        <v>63752.753290460882</v>
      </c>
      <c r="E625" s="180">
        <f>(E623/E612)*SUM(C625:D625)</f>
        <v>34863.803671012683</v>
      </c>
      <c r="F625" s="180">
        <f>(F624/F612)*AY64</f>
        <v>6238.5201247109626</v>
      </c>
      <c r="G625" s="180">
        <f>SUM(C625:F625)</f>
        <v>649077.42708618438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317122.38999999996</v>
      </c>
      <c r="D626" s="180">
        <f>(D615/D612)*BR76</f>
        <v>8626.7864737406217</v>
      </c>
      <c r="E626" s="180">
        <f>(E623/E612)*SUM(C626:D626)</f>
        <v>18679.803289821237</v>
      </c>
      <c r="F626" s="180">
        <f>(F624/F612)*BR64</f>
        <v>37.459334387719331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265854.66000000003</v>
      </c>
      <c r="D627" s="180">
        <f>(D615/D612)*BO76</f>
        <v>0</v>
      </c>
      <c r="E627" s="180">
        <f>(E623/E612)*SUM(C627:D627)</f>
        <v>15245.204320209959</v>
      </c>
      <c r="F627" s="180">
        <f>(F624/F612)*BO64</f>
        <v>651.79108158712688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626218.09449974669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600950.3600000001</v>
      </c>
      <c r="D629" s="180">
        <f>(D615/D612)*BF76</f>
        <v>9347.9110396570213</v>
      </c>
      <c r="E629" s="180">
        <f>(E623/E612)*SUM(C629:D629)</f>
        <v>34997.023705623404</v>
      </c>
      <c r="F629" s="180">
        <f>(F624/F612)*BF64</f>
        <v>1293.1561098757609</v>
      </c>
      <c r="G629" s="180">
        <f>(G625/G612)*BF77</f>
        <v>0</v>
      </c>
      <c r="H629" s="180">
        <f>(H628/H612)*BF60</f>
        <v>36289.707730183778</v>
      </c>
      <c r="I629" s="180">
        <f>SUM(C629:H629)</f>
        <v>682878.15858534013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206017.99</v>
      </c>
      <c r="D630" s="180">
        <f>(D615/D612)*BA76</f>
        <v>13514.408531618436</v>
      </c>
      <c r="E630" s="180">
        <f>(E623/E612)*SUM(C630:D630)</f>
        <v>12588.894512965404</v>
      </c>
      <c r="F630" s="180">
        <f>(F624/F612)*BA64</f>
        <v>26.700762240838714</v>
      </c>
      <c r="G630" s="180">
        <f>(G625/G612)*BA77</f>
        <v>0</v>
      </c>
      <c r="H630" s="180">
        <f>(H628/H612)*BA60</f>
        <v>0</v>
      </c>
      <c r="I630" s="180">
        <f>(I629/I612)*BA78</f>
        <v>16734.120285721096</v>
      </c>
      <c r="J630" s="180">
        <f>SUM(C630:I630)</f>
        <v>248882.11409254573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1071765.3299999998</v>
      </c>
      <c r="D635" s="180">
        <f>(D615/D612)*BK76</f>
        <v>46819.680150053595</v>
      </c>
      <c r="E635" s="180">
        <f>(E623/E612)*SUM(C635:D635)</f>
        <v>64144.284810586716</v>
      </c>
      <c r="F635" s="180">
        <f>(F624/F612)*BK64</f>
        <v>721.80651765548532</v>
      </c>
      <c r="G635" s="180">
        <f>(G625/G612)*BK77</f>
        <v>0</v>
      </c>
      <c r="H635" s="180">
        <f>(H628/H612)*BK60</f>
        <v>40735.361580977617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837831.16</v>
      </c>
      <c r="D636" s="180">
        <f>(D615/D612)*BH76</f>
        <v>17413.822851018223</v>
      </c>
      <c r="E636" s="180">
        <f>(E623/E612)*SUM(C636:D636)</f>
        <v>49043.279916170111</v>
      </c>
      <c r="F636" s="180">
        <f>(F624/F612)*BH64</f>
        <v>1490.85343668825</v>
      </c>
      <c r="G636" s="180">
        <f>(G625/G612)*BH77</f>
        <v>0</v>
      </c>
      <c r="H636" s="180">
        <f>(H628/H612)*BH60</f>
        <v>14621.261553721961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279785.10000000003</v>
      </c>
      <c r="D637" s="180">
        <f>(D615/D612)*BL76</f>
        <v>6730.4959485530553</v>
      </c>
      <c r="E637" s="180">
        <f>(E623/E612)*SUM(C637:D637)</f>
        <v>16429.987727739706</v>
      </c>
      <c r="F637" s="180">
        <f>(F624/F612)*BL64</f>
        <v>360.28801541077604</v>
      </c>
      <c r="G637" s="180">
        <f>(G625/G612)*BL77</f>
        <v>0</v>
      </c>
      <c r="H637" s="180">
        <f>(H628/H612)*BL60</f>
        <v>16399.523094039498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601750.49</v>
      </c>
      <c r="D642" s="180">
        <f>(D615/D612)*BV76</f>
        <v>40276.142422293677</v>
      </c>
      <c r="E642" s="180">
        <f>(E623/E612)*SUM(C642:D642)</f>
        <v>36816.459001674833</v>
      </c>
      <c r="F642" s="180">
        <f>(F624/F612)*BV64</f>
        <v>41.781076847367707</v>
      </c>
      <c r="G642" s="180">
        <f>(G625/G612)*BV77</f>
        <v>0</v>
      </c>
      <c r="H642" s="180">
        <f>(H628/H612)*BV60</f>
        <v>26048.238488725383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114027.52000000002</v>
      </c>
      <c r="D644" s="180">
        <f>(D615/D612)*BX76</f>
        <v>0</v>
      </c>
      <c r="E644" s="180">
        <f>(E623/E612)*SUM(C644:D644)</f>
        <v>6538.808988816776</v>
      </c>
      <c r="F644" s="180">
        <f>(F624/F612)*BX64</f>
        <v>7.2014559436253363</v>
      </c>
      <c r="G644" s="180">
        <f>(G625/G612)*BX77</f>
        <v>0</v>
      </c>
      <c r="H644" s="180">
        <f>(H628/H612)*BX60</f>
        <v>3589.453849900211</v>
      </c>
      <c r="I644" s="180">
        <f>(I629/I612)*BX78</f>
        <v>0</v>
      </c>
      <c r="J644" s="180">
        <f>(J630/J612)*BX79</f>
        <v>0</v>
      </c>
      <c r="K644" s="180">
        <f>SUM(C631:J644)</f>
        <v>3293388.3308868175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325579.17</v>
      </c>
      <c r="D645" s="180">
        <f>(D615/D612)*BY76</f>
        <v>11698.242958199358</v>
      </c>
      <c r="E645" s="180">
        <f>(E623/E612)*SUM(C645:D645)</f>
        <v>19340.879987356922</v>
      </c>
      <c r="F645" s="180">
        <f>(F624/F612)*BY64</f>
        <v>8.3540765547703426</v>
      </c>
      <c r="G645" s="180">
        <f>(G625/G612)*BY77</f>
        <v>0</v>
      </c>
      <c r="H645" s="180">
        <f>(H628/H612)*BY60</f>
        <v>7310.6307768609804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105244.4</v>
      </c>
      <c r="D647" s="180">
        <f>(D615/D612)*CA76</f>
        <v>75798.204372990367</v>
      </c>
      <c r="E647" s="180">
        <f>(E623/E612)*SUM(C647:D647)</f>
        <v>10381.730733360759</v>
      </c>
      <c r="F647" s="180">
        <f>(F624/F612)*CA64</f>
        <v>682.01387010249653</v>
      </c>
      <c r="G647" s="180">
        <f>(G625/G612)*CA77</f>
        <v>0</v>
      </c>
      <c r="H647" s="180">
        <f>(H628/H612)*CA60</f>
        <v>32.930769265139546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556076.55754469079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9066468.7300000004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3526301.0599999996</v>
      </c>
      <c r="D670" s="180">
        <f>(D615/D612)*E76</f>
        <v>166953.69116827441</v>
      </c>
      <c r="E670" s="180">
        <f>(E623/E612)*SUM(C670:D670)</f>
        <v>211786.48246431537</v>
      </c>
      <c r="F670" s="180">
        <f>(F624/F612)*E64</f>
        <v>4720.6845379724846</v>
      </c>
      <c r="G670" s="180">
        <f>(G625/G612)*E77</f>
        <v>493326.55602232506</v>
      </c>
      <c r="H670" s="180">
        <f>(H628/H612)*E60</f>
        <v>89176.523169997905</v>
      </c>
      <c r="I670" s="180">
        <f>(I629/I612)*E78</f>
        <v>152205.21520085758</v>
      </c>
      <c r="J670" s="180">
        <f>(J630/J612)*E79</f>
        <v>129147.54227606524</v>
      </c>
      <c r="K670" s="180">
        <f>(K644/K612)*E75</f>
        <v>179866.23615642922</v>
      </c>
      <c r="L670" s="180">
        <f>(L647/L612)*E80</f>
        <v>201192.89686532202</v>
      </c>
      <c r="M670" s="180">
        <f t="shared" si="20"/>
        <v>1628376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3009.99</v>
      </c>
      <c r="D675" s="180">
        <f>(D615/D612)*J76</f>
        <v>3792.5810503751345</v>
      </c>
      <c r="E675" s="180">
        <f>(E623/E612)*SUM(C675:D675)</f>
        <v>390.08752212849754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17790.292672621785</v>
      </c>
      <c r="L675" s="180">
        <f>(L647/L612)*J80</f>
        <v>0</v>
      </c>
      <c r="M675" s="180">
        <f t="shared" si="20"/>
        <v>21973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1593227.73</v>
      </c>
      <c r="D680" s="180">
        <f>(D615/D612)*O76</f>
        <v>45938.305680600221</v>
      </c>
      <c r="E680" s="180">
        <f>(E623/E612)*SUM(C680:D680)</f>
        <v>93996.551080576566</v>
      </c>
      <c r="F680" s="180">
        <f>(F624/F612)*O64</f>
        <v>3100.7726827647184</v>
      </c>
      <c r="G680" s="180">
        <f>(G625/G612)*O77</f>
        <v>155750.87106385932</v>
      </c>
      <c r="H680" s="180">
        <f>(H628/H612)*O60</f>
        <v>28122.876952429171</v>
      </c>
      <c r="I680" s="180">
        <f>(I629/I612)*O78</f>
        <v>36236.532569394825</v>
      </c>
      <c r="J680" s="180">
        <f>(J630/J612)*O79</f>
        <v>13249.59931872682</v>
      </c>
      <c r="K680" s="180">
        <f>(K644/K612)*O75</f>
        <v>70588.799289542934</v>
      </c>
      <c r="L680" s="180">
        <f>(L647/L612)*O80</f>
        <v>93244.927841392215</v>
      </c>
      <c r="M680" s="180">
        <f t="shared" si="20"/>
        <v>540229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2476887.3400000003</v>
      </c>
      <c r="D681" s="180">
        <f>(D615/D612)*P76</f>
        <v>109103.47599142551</v>
      </c>
      <c r="E681" s="180">
        <f>(E623/E612)*SUM(C681:D681)</f>
        <v>148291.39485452601</v>
      </c>
      <c r="F681" s="180">
        <f>(F624/F612)*P64</f>
        <v>35357.728042371753</v>
      </c>
      <c r="G681" s="180">
        <f>(G625/G612)*P77</f>
        <v>0</v>
      </c>
      <c r="H681" s="180">
        <f>(H628/H612)*P60</f>
        <v>30658.54618584492</v>
      </c>
      <c r="I681" s="180">
        <f>(I629/I612)*P78</f>
        <v>50078.72413738157</v>
      </c>
      <c r="J681" s="180">
        <f>(J630/J612)*P79</f>
        <v>71866.673409074225</v>
      </c>
      <c r="K681" s="180">
        <f>(K644/K612)*P75</f>
        <v>267662.43909452553</v>
      </c>
      <c r="L681" s="180">
        <f>(L647/L612)*P80</f>
        <v>40339.112987987734</v>
      </c>
      <c r="M681" s="180">
        <f t="shared" si="20"/>
        <v>753358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784426.64999999979</v>
      </c>
      <c r="D682" s="180">
        <f>(D615/D612)*Q76</f>
        <v>33679.188060021443</v>
      </c>
      <c r="E682" s="180">
        <f>(E623/E612)*SUM(C682:D682)</f>
        <v>46913.567950178585</v>
      </c>
      <c r="F682" s="180">
        <f>(F624/F612)*Q64</f>
        <v>1022.6572066542012</v>
      </c>
      <c r="G682" s="180">
        <f>(G625/G612)*Q77</f>
        <v>0</v>
      </c>
      <c r="H682" s="180">
        <f>(H628/H612)*Q60</f>
        <v>16893.484633016589</v>
      </c>
      <c r="I682" s="180">
        <f>(I629/I612)*Q78</f>
        <v>42942.178566549657</v>
      </c>
      <c r="J682" s="180">
        <f>(J630/J612)*Q79</f>
        <v>0</v>
      </c>
      <c r="K682" s="180">
        <f>(K644/K612)*Q75</f>
        <v>105741.28905176444</v>
      </c>
      <c r="L682" s="180">
        <f>(L647/L612)*Q80</f>
        <v>64467.180569587879</v>
      </c>
      <c r="M682" s="180">
        <f t="shared" si="20"/>
        <v>311660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917747.78</v>
      </c>
      <c r="D683" s="180">
        <f>(D615/D612)*R76</f>
        <v>0</v>
      </c>
      <c r="E683" s="180">
        <f>(E623/E612)*SUM(C683:D683)</f>
        <v>52627.448473233831</v>
      </c>
      <c r="F683" s="180">
        <f>(F624/F612)*R64</f>
        <v>231.68610015447317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167848.30829166668</v>
      </c>
      <c r="L683" s="180">
        <f>(L647/L612)*R80</f>
        <v>0</v>
      </c>
      <c r="M683" s="180">
        <f t="shared" si="20"/>
        <v>220707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1331608.1899999997</v>
      </c>
      <c r="D684" s="180">
        <f>(D615/D612)*S76</f>
        <v>43481.140493033228</v>
      </c>
      <c r="E684" s="180">
        <f>(E623/E612)*SUM(C684:D684)</f>
        <v>78853.302033174841</v>
      </c>
      <c r="F684" s="180">
        <f>(F624/F612)*S64</f>
        <v>40676.618333061131</v>
      </c>
      <c r="G684" s="180">
        <f>(G625/G612)*S77</f>
        <v>0</v>
      </c>
      <c r="H684" s="180">
        <f>(H628/H612)*S60</f>
        <v>6461.0169298203791</v>
      </c>
      <c r="I684" s="180">
        <f>(I629/I612)*S78</f>
        <v>8120.8840706324645</v>
      </c>
      <c r="J684" s="180">
        <f>(J630/J612)*S79</f>
        <v>0</v>
      </c>
      <c r="K684" s="180">
        <f>(K644/K612)*S75</f>
        <v>226403.72252890334</v>
      </c>
      <c r="L684" s="180">
        <f>(L647/L612)*S80</f>
        <v>0</v>
      </c>
      <c r="M684" s="180">
        <f t="shared" si="20"/>
        <v>403997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2405117.48</v>
      </c>
      <c r="D686" s="180">
        <f>(D615/D612)*U76</f>
        <v>32397.18883172562</v>
      </c>
      <c r="E686" s="180">
        <f>(E623/E612)*SUM(C686:D686)</f>
        <v>139777.15929391107</v>
      </c>
      <c r="F686" s="180">
        <f>(F624/F612)*U64</f>
        <v>38081.08314328167</v>
      </c>
      <c r="G686" s="180">
        <f>(G625/G612)*U77</f>
        <v>0</v>
      </c>
      <c r="H686" s="180">
        <f>(H628/H612)*U60</f>
        <v>29967.000031276988</v>
      </c>
      <c r="I686" s="180">
        <f>(I629/I612)*U78</f>
        <v>20179.12214046712</v>
      </c>
      <c r="J686" s="180">
        <f>(J630/J612)*U79</f>
        <v>0</v>
      </c>
      <c r="K686" s="180">
        <f>(K644/K612)*U75</f>
        <v>308915.05239461677</v>
      </c>
      <c r="L686" s="180">
        <f>(L647/L612)*U80</f>
        <v>0</v>
      </c>
      <c r="M686" s="180">
        <f t="shared" si="20"/>
        <v>569317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1172</v>
      </c>
      <c r="D687" s="180">
        <f>(D615/D612)*V76</f>
        <v>0</v>
      </c>
      <c r="E687" s="180">
        <f>(E623/E612)*SUM(C687:D687)</f>
        <v>67.207320959828465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8027.6110110882155</v>
      </c>
      <c r="L687" s="180">
        <f>(L647/L612)*V80</f>
        <v>0</v>
      </c>
      <c r="M687" s="180">
        <f t="shared" si="20"/>
        <v>8095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3784289.0999999996</v>
      </c>
      <c r="D690" s="180">
        <f>(D615/D612)*Y76</f>
        <v>142969.62227224009</v>
      </c>
      <c r="E690" s="180">
        <f>(E623/E612)*SUM(C690:D690)</f>
        <v>225205.23672358043</v>
      </c>
      <c r="F690" s="180">
        <f>(F624/F612)*Y64</f>
        <v>13823.891970801053</v>
      </c>
      <c r="G690" s="180">
        <f>(G625/G612)*Y77</f>
        <v>0</v>
      </c>
      <c r="H690" s="180">
        <f>(H628/H612)*Y60</f>
        <v>40702.430811712482</v>
      </c>
      <c r="I690" s="180">
        <f>(I629/I612)*Y78</f>
        <v>23808.847496662154</v>
      </c>
      <c r="J690" s="180">
        <f>(J630/J612)*Y79</f>
        <v>1235.6590877374788</v>
      </c>
      <c r="K690" s="180">
        <f>(K644/K612)*Y75</f>
        <v>821304.47794636688</v>
      </c>
      <c r="L690" s="180">
        <f>(L647/L612)*Y80</f>
        <v>4272.6786342416917</v>
      </c>
      <c r="M690" s="180">
        <f t="shared" si="20"/>
        <v>1273323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748756.98699999996</v>
      </c>
      <c r="D693" s="180">
        <f>(D615/D612)*AB76</f>
        <v>15704.490546623796</v>
      </c>
      <c r="E693" s="180">
        <f>(E623/E612)*SUM(C693:D693)</f>
        <v>43837.378739676322</v>
      </c>
      <c r="F693" s="180">
        <f>(F624/F612)*AB64</f>
        <v>22555.135130888375</v>
      </c>
      <c r="G693" s="180">
        <f>(G625/G612)*AB77</f>
        <v>0</v>
      </c>
      <c r="H693" s="180">
        <f>(H628/H612)*AB60</f>
        <v>6586.1538530279095</v>
      </c>
      <c r="I693" s="180">
        <f>(I629/I612)*AB78</f>
        <v>5290.7737127889714</v>
      </c>
      <c r="J693" s="180">
        <f>(J630/J612)*AB79</f>
        <v>0</v>
      </c>
      <c r="K693" s="180">
        <f>(K644/K612)*AB75</f>
        <v>159249.19094883793</v>
      </c>
      <c r="L693" s="180">
        <f>(L647/L612)*AB80</f>
        <v>0</v>
      </c>
      <c r="M693" s="180">
        <f t="shared" si="20"/>
        <v>253223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451202.88</v>
      </c>
      <c r="D694" s="180">
        <f>(D615/D612)*AC76</f>
        <v>10523.076998928189</v>
      </c>
      <c r="E694" s="180">
        <f>(E623/E612)*SUM(C694:D694)</f>
        <v>26477.273538831847</v>
      </c>
      <c r="F694" s="180">
        <f>(F624/F612)*AC64</f>
        <v>2145.0500164368791</v>
      </c>
      <c r="G694" s="180">
        <f>(G625/G612)*AC77</f>
        <v>0</v>
      </c>
      <c r="H694" s="180">
        <f>(H628/H612)*AC60</f>
        <v>8529.069239671142</v>
      </c>
      <c r="I694" s="180">
        <f>(I629/I612)*AC78</f>
        <v>15380.334783022534</v>
      </c>
      <c r="J694" s="180">
        <f>(J630/J612)*AC79</f>
        <v>0</v>
      </c>
      <c r="K694" s="180">
        <f>(K644/K612)*AC75</f>
        <v>33611.029306185606</v>
      </c>
      <c r="L694" s="180">
        <f>(L647/L612)*AC80</f>
        <v>0</v>
      </c>
      <c r="M694" s="180">
        <f t="shared" si="20"/>
        <v>96666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703267.5199999999</v>
      </c>
      <c r="D696" s="180">
        <f>(D615/D612)*AE76</f>
        <v>75477.7045659164</v>
      </c>
      <c r="E696" s="180">
        <f>(E623/E612)*SUM(C696:D696)</f>
        <v>44656.467792948155</v>
      </c>
      <c r="F696" s="180">
        <f>(F624/F612)*AE64</f>
        <v>965.09735852379163</v>
      </c>
      <c r="G696" s="180">
        <f>(G625/G612)*AE77</f>
        <v>0</v>
      </c>
      <c r="H696" s="180">
        <f>(H628/H612)*AE60</f>
        <v>21437.930791605846</v>
      </c>
      <c r="I696" s="180">
        <f>(I629/I612)*AE78</f>
        <v>4675.5164267746568</v>
      </c>
      <c r="J696" s="180">
        <f>(J630/J612)*AE79</f>
        <v>0</v>
      </c>
      <c r="K696" s="180">
        <f>(K644/K612)*AE75</f>
        <v>70335.090098034343</v>
      </c>
      <c r="L696" s="180">
        <f>(L647/L612)*AE80</f>
        <v>628.33509327083709</v>
      </c>
      <c r="M696" s="180">
        <f t="shared" si="20"/>
        <v>218176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4808795.42</v>
      </c>
      <c r="D698" s="180">
        <f>(D615/D612)*AG76</f>
        <v>96176.650439442659</v>
      </c>
      <c r="E698" s="180">
        <f>(E623/E612)*SUM(C698:D698)</f>
        <v>281271.35856400855</v>
      </c>
      <c r="F698" s="180">
        <f>(F624/F612)*AG64</f>
        <v>7273.1005549558949</v>
      </c>
      <c r="G698" s="180">
        <f>(G625/G612)*AG77</f>
        <v>0</v>
      </c>
      <c r="H698" s="180">
        <f>(H628/H612)*AG60</f>
        <v>65169.992375711161</v>
      </c>
      <c r="I698" s="180">
        <f>(I629/I612)*AG78</f>
        <v>212742.58162225893</v>
      </c>
      <c r="J698" s="180">
        <f>(J630/J612)*AG79</f>
        <v>33382.640000941974</v>
      </c>
      <c r="K698" s="180">
        <f>(K644/K612)*AG75</f>
        <v>538140.97630821599</v>
      </c>
      <c r="L698" s="180">
        <f>(L647/L612)*AG80</f>
        <v>130065.36430706325</v>
      </c>
      <c r="M698" s="180">
        <f t="shared" si="20"/>
        <v>1364223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77279.5</v>
      </c>
      <c r="D701" s="180">
        <f>(D615/D612)*AJ76</f>
        <v>0</v>
      </c>
      <c r="E701" s="180">
        <f>(E623/E612)*SUM(C701:D701)</f>
        <v>4431.5257338865731</v>
      </c>
      <c r="F701" s="180">
        <f>(F624/F612)*AJ64</f>
        <v>1041.5058454159262</v>
      </c>
      <c r="G701" s="180">
        <f>(G625/G612)*AJ77</f>
        <v>0</v>
      </c>
      <c r="H701" s="180">
        <f>(H628/H612)*AJ60</f>
        <v>1251.3692320753028</v>
      </c>
      <c r="I701" s="180">
        <f>(I629/I612)*AJ78</f>
        <v>0</v>
      </c>
      <c r="J701" s="180">
        <f>(J630/J612)*AJ79</f>
        <v>0</v>
      </c>
      <c r="K701" s="180">
        <f>(K644/K612)*AJ75</f>
        <v>3386.8969822828021</v>
      </c>
      <c r="L701" s="180">
        <f>(L647/L612)*AJ80</f>
        <v>4775.3467088583611</v>
      </c>
      <c r="M701" s="180">
        <f t="shared" si="20"/>
        <v>14887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6532207.6799999997</v>
      </c>
      <c r="D707" s="180">
        <f>(D615/D612)*AP76</f>
        <v>420095.12212218653</v>
      </c>
      <c r="E707" s="180">
        <f>(E623/E612)*SUM(C707:D707)</f>
        <v>398673.75924244075</v>
      </c>
      <c r="F707" s="180">
        <f>(F624/F612)*AP64</f>
        <v>7165.8249616190524</v>
      </c>
      <c r="G707" s="180">
        <f>(G625/G612)*AP77</f>
        <v>0</v>
      </c>
      <c r="H707" s="180">
        <f>(H628/H612)*AP60</f>
        <v>136234.5924498823</v>
      </c>
      <c r="I707" s="180">
        <f>(I629/I612)*AP78</f>
        <v>94483.327572828508</v>
      </c>
      <c r="J707" s="180">
        <f>(J630/J612)*AP79</f>
        <v>0</v>
      </c>
      <c r="K707" s="180">
        <f>(K644/K612)*AP75</f>
        <v>314516.91880573536</v>
      </c>
      <c r="L707" s="180">
        <f>(L647/L612)*AP80</f>
        <v>17090.714536966767</v>
      </c>
      <c r="M707" s="180">
        <f t="shared" si="20"/>
        <v>1388260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">
      <c r="C715" s="180">
        <f>SUM(C614:C647)+SUM(C668:C713)</f>
        <v>39211766.037</v>
      </c>
      <c r="D715" s="180">
        <f>SUM(D616:D647)+SUM(D668:D713)</f>
        <v>1544969.32</v>
      </c>
      <c r="E715" s="180">
        <f>SUM(E624:E647)+SUM(E668:E713)</f>
        <v>2126615.7009217585</v>
      </c>
      <c r="F715" s="180">
        <f>SUM(F625:F648)+SUM(F668:F713)</f>
        <v>189720.76174690656</v>
      </c>
      <c r="G715" s="180">
        <f>SUM(G626:G647)+SUM(G668:G713)</f>
        <v>649077.42708618438</v>
      </c>
      <c r="H715" s="180">
        <f>SUM(H629:H647)+SUM(H668:H713)</f>
        <v>626218.09449974669</v>
      </c>
      <c r="I715" s="180">
        <f>SUM(I630:I647)+SUM(I668:I713)</f>
        <v>682878.15858534013</v>
      </c>
      <c r="J715" s="180">
        <f>SUM(J631:J647)+SUM(J668:J713)</f>
        <v>248882.11409254576</v>
      </c>
      <c r="K715" s="180">
        <f>SUM(K668:K713)</f>
        <v>3293388.3308868171</v>
      </c>
      <c r="L715" s="180">
        <f>SUM(L668:L713)</f>
        <v>556076.55754469079</v>
      </c>
      <c r="M715" s="180">
        <f>SUM(M668:M713)</f>
        <v>9066470</v>
      </c>
      <c r="N715" s="198" t="s">
        <v>742</v>
      </c>
    </row>
    <row r="716" spans="1:83" ht="12.65" customHeight="1" x14ac:dyDescent="0.3">
      <c r="C716" s="180">
        <f>CE71</f>
        <v>39211766.036999986</v>
      </c>
      <c r="D716" s="180">
        <f>D615</f>
        <v>1544969.32</v>
      </c>
      <c r="E716" s="180">
        <f>E623</f>
        <v>2126615.7009217581</v>
      </c>
      <c r="F716" s="180">
        <f>F624</f>
        <v>189720.76174690659</v>
      </c>
      <c r="G716" s="180">
        <f>G625</f>
        <v>649077.42708618438</v>
      </c>
      <c r="H716" s="180">
        <f>H628</f>
        <v>626218.09449974669</v>
      </c>
      <c r="I716" s="180">
        <f>I629</f>
        <v>682878.15858534013</v>
      </c>
      <c r="J716" s="180">
        <f>J630</f>
        <v>248882.11409254573</v>
      </c>
      <c r="K716" s="180">
        <f>K644</f>
        <v>3293388.3308868175</v>
      </c>
      <c r="L716" s="180">
        <f>L647</f>
        <v>556076.55754469079</v>
      </c>
      <c r="M716" s="180">
        <f>C648</f>
        <v>9066468.7300000004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147*2021*A</v>
      </c>
      <c r="B722" s="276">
        <f>ROUND(C165,0)</f>
        <v>1249239</v>
      </c>
      <c r="C722" s="276">
        <f>ROUND(C166,0)</f>
        <v>80980</v>
      </c>
      <c r="D722" s="276">
        <f>ROUND(C167,0)</f>
        <v>305673</v>
      </c>
      <c r="E722" s="276">
        <f>ROUND(C168,0)</f>
        <v>2128836</v>
      </c>
      <c r="F722" s="276">
        <f>ROUND(C169,0)</f>
        <v>39360</v>
      </c>
      <c r="G722" s="276">
        <f>ROUND(C170,0)</f>
        <v>367456</v>
      </c>
      <c r="H722" s="276">
        <f>ROUND(C171+C172,0)</f>
        <v>44840</v>
      </c>
      <c r="I722" s="276">
        <f>ROUND(C175,0)</f>
        <v>2600</v>
      </c>
      <c r="J722" s="276">
        <f>ROUND(C176,0)</f>
        <v>265781</v>
      </c>
      <c r="K722" s="276">
        <f>ROUND(C179,0)</f>
        <v>415965</v>
      </c>
      <c r="L722" s="276">
        <f>ROUND(C180,0)</f>
        <v>201270</v>
      </c>
      <c r="M722" s="276">
        <f>ROUND(C183,0)</f>
        <v>45326</v>
      </c>
      <c r="N722" s="276">
        <f>ROUND(C184,0)</f>
        <v>210895</v>
      </c>
      <c r="O722" s="276">
        <f>ROUND(C185,0)</f>
        <v>0</v>
      </c>
      <c r="P722" s="276">
        <f>ROUND(C188,0)</f>
        <v>295393</v>
      </c>
      <c r="Q722" s="276">
        <f>ROUND(C189,0)</f>
        <v>0</v>
      </c>
      <c r="R722" s="276">
        <f>ROUND(B195,0)</f>
        <v>146306</v>
      </c>
      <c r="S722" s="276">
        <f>ROUND(C195,0)</f>
        <v>0</v>
      </c>
      <c r="T722" s="276">
        <f>ROUND(D195,0)</f>
        <v>0</v>
      </c>
      <c r="U722" s="276">
        <f>ROUND(B196,0)</f>
        <v>1102510</v>
      </c>
      <c r="V722" s="276">
        <f>ROUND(C196,0)</f>
        <v>0</v>
      </c>
      <c r="W722" s="276">
        <f>ROUND(D196,0)</f>
        <v>0</v>
      </c>
      <c r="X722" s="276">
        <f>ROUND(B197,0)</f>
        <v>7917589</v>
      </c>
      <c r="Y722" s="276">
        <f>ROUND(C197,0)</f>
        <v>364875</v>
      </c>
      <c r="Z722" s="276">
        <f>ROUND(D197,0)</f>
        <v>10316</v>
      </c>
      <c r="AA722" s="276">
        <f>ROUND(B198,0)</f>
        <v>5885689</v>
      </c>
      <c r="AB722" s="276">
        <f>ROUND(C198,0)</f>
        <v>33547</v>
      </c>
      <c r="AC722" s="276">
        <f>ROUND(D198,0)</f>
        <v>7596</v>
      </c>
      <c r="AD722" s="276">
        <f>ROUND(B199,0)</f>
        <v>297987</v>
      </c>
      <c r="AE722" s="276">
        <f>ROUND(C199,0)</f>
        <v>31439</v>
      </c>
      <c r="AF722" s="276">
        <f>ROUND(D199,0)</f>
        <v>50203</v>
      </c>
      <c r="AG722" s="276">
        <f>ROUND(B200,0)</f>
        <v>10331462</v>
      </c>
      <c r="AH722" s="276">
        <f>ROUND(C200,0)</f>
        <v>1199487</v>
      </c>
      <c r="AI722" s="276">
        <f>ROUND(D200,0)</f>
        <v>1328812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51093</v>
      </c>
      <c r="AQ722" s="276">
        <f>ROUND(C203,0)</f>
        <v>42620</v>
      </c>
      <c r="AR722" s="276">
        <f>ROUND(D203,0)</f>
        <v>51093</v>
      </c>
      <c r="AS722" s="276"/>
      <c r="AT722" s="276"/>
      <c r="AU722" s="276"/>
      <c r="AV722" s="276">
        <f>ROUND(B209,0)</f>
        <v>853763</v>
      </c>
      <c r="AW722" s="276">
        <f>ROUND(C209,0)</f>
        <v>29587</v>
      </c>
      <c r="AX722" s="276">
        <f>ROUND(D209,0)</f>
        <v>0</v>
      </c>
      <c r="AY722" s="276">
        <f>ROUND(B210,0)</f>
        <v>4861886</v>
      </c>
      <c r="AZ722" s="276">
        <f>ROUND(C210,0)</f>
        <v>274500</v>
      </c>
      <c r="BA722" s="276">
        <f>ROUND(D210,0)</f>
        <v>10316</v>
      </c>
      <c r="BB722" s="276">
        <f>ROUND(B211,0)</f>
        <v>3177910</v>
      </c>
      <c r="BC722" s="276">
        <f>ROUND(C211,0)</f>
        <v>287393</v>
      </c>
      <c r="BD722" s="276">
        <f>ROUND(D211,0)</f>
        <v>7596</v>
      </c>
      <c r="BE722" s="276">
        <f>ROUND(B212,0)</f>
        <v>177032</v>
      </c>
      <c r="BF722" s="276">
        <f>ROUND(C212,0)</f>
        <v>13912</v>
      </c>
      <c r="BG722" s="276">
        <f>ROUND(D212,0)</f>
        <v>49881</v>
      </c>
      <c r="BH722" s="276">
        <f>ROUND(B213,0)</f>
        <v>7071285</v>
      </c>
      <c r="BI722" s="276">
        <f>ROUND(C213,0)</f>
        <v>1496509</v>
      </c>
      <c r="BJ722" s="276">
        <f>ROUND(D213,0)</f>
        <v>1321109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17510686</v>
      </c>
      <c r="BU722" s="276">
        <f>ROUND(C224,0)</f>
        <v>14022702</v>
      </c>
      <c r="BV722" s="276">
        <f>ROUND(C225,0)</f>
        <v>1077289</v>
      </c>
      <c r="BW722" s="276">
        <f>ROUND(C226,0)</f>
        <v>312950</v>
      </c>
      <c r="BX722" s="276">
        <f>ROUND(C227,0)</f>
        <v>4347763</v>
      </c>
      <c r="BY722" s="276">
        <f>ROUND(C228,0)</f>
        <v>0</v>
      </c>
      <c r="BZ722" s="276">
        <f>ROUND(C231,0)</f>
        <v>2380</v>
      </c>
      <c r="CA722" s="276">
        <f>ROUND(C233,0)</f>
        <v>124921</v>
      </c>
      <c r="CB722" s="276">
        <f>ROUND(C234,0)</f>
        <v>1199467</v>
      </c>
      <c r="CC722" s="276">
        <f>ROUND(C238+C239,0)</f>
        <v>5767221</v>
      </c>
      <c r="CD722" s="276">
        <f>D221</f>
        <v>1599022.55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147*2021*A</v>
      </c>
      <c r="B726" s="276">
        <f>ROUND(C111,0)</f>
        <v>825</v>
      </c>
      <c r="C726" s="276">
        <f>ROUND(C112,0)</f>
        <v>10</v>
      </c>
      <c r="D726" s="276">
        <f>ROUND(C113,0)</f>
        <v>0</v>
      </c>
      <c r="E726" s="276">
        <f>ROUND(C114,0)</f>
        <v>310</v>
      </c>
      <c r="F726" s="276">
        <f>ROUND(D111,0)</f>
        <v>2109</v>
      </c>
      <c r="G726" s="276">
        <f>ROUND(D112,0)</f>
        <v>128</v>
      </c>
      <c r="H726" s="276">
        <f>ROUND(D113,0)</f>
        <v>0</v>
      </c>
      <c r="I726" s="276">
        <f>ROUND(D114,0)</f>
        <v>411</v>
      </c>
      <c r="J726" s="276">
        <f>ROUND(C116,0)</f>
        <v>0</v>
      </c>
      <c r="K726" s="276">
        <f>ROUND(C117,0)</f>
        <v>0</v>
      </c>
      <c r="L726" s="276">
        <f>ROUND(C118,0)</f>
        <v>25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44</v>
      </c>
      <c r="W726" s="276">
        <f>ROUND(C129,0)</f>
        <v>6</v>
      </c>
      <c r="X726" s="276">
        <f>ROUND(B138,0)</f>
        <v>293</v>
      </c>
      <c r="Y726" s="276">
        <f>ROUND(B139,0)</f>
        <v>981</v>
      </c>
      <c r="Z726" s="276">
        <f>ROUND(B140,0)</f>
        <v>10991</v>
      </c>
      <c r="AA726" s="276">
        <f>ROUND(B141,0)</f>
        <v>5026381</v>
      </c>
      <c r="AB726" s="276">
        <f>ROUND(B142,0)</f>
        <v>28053603</v>
      </c>
      <c r="AC726" s="276">
        <f>ROUND(C138,0)</f>
        <v>311</v>
      </c>
      <c r="AD726" s="276">
        <f>ROUND(C139,0)</f>
        <v>602</v>
      </c>
      <c r="AE726" s="276">
        <f>ROUND(C140,0)</f>
        <v>8474</v>
      </c>
      <c r="AF726" s="276">
        <f>ROUND(C141,0)</f>
        <v>4834811</v>
      </c>
      <c r="AG726" s="276">
        <f>ROUND(C142,0)</f>
        <v>20793868</v>
      </c>
      <c r="AH726" s="276">
        <f>ROUND(D138,0)</f>
        <v>221</v>
      </c>
      <c r="AI726" s="276">
        <f>ROUND(D139,0)</f>
        <v>526</v>
      </c>
      <c r="AJ726" s="276">
        <f>ROUND(D140,0)</f>
        <v>8825</v>
      </c>
      <c r="AK726" s="276">
        <f>ROUND(D141,0)</f>
        <v>3472675</v>
      </c>
      <c r="AL726" s="276">
        <f>ROUND(D142,0)</f>
        <v>23120143</v>
      </c>
      <c r="AM726" s="276">
        <f>ROUND(B144,0)</f>
        <v>10</v>
      </c>
      <c r="AN726" s="276">
        <f>ROUND(B145,0)</f>
        <v>128</v>
      </c>
      <c r="AO726" s="276">
        <f>ROUND(B146,0)</f>
        <v>0</v>
      </c>
      <c r="AP726" s="276">
        <f>ROUND(B147,0)</f>
        <v>167483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12941952</v>
      </c>
      <c r="BR726" s="276">
        <f>ROUND(C157,0)</f>
        <v>3774706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147*2021*A</v>
      </c>
      <c r="B730" s="276">
        <f>ROUND(C250,0)</f>
        <v>17776426</v>
      </c>
      <c r="C730" s="276">
        <f>ROUND(C251,0)</f>
        <v>0</v>
      </c>
      <c r="D730" s="276">
        <f>ROUND(C252,0)</f>
        <v>13038901</v>
      </c>
      <c r="E730" s="276">
        <f>ROUND(C253,0)</f>
        <v>8027477</v>
      </c>
      <c r="F730" s="276">
        <f>ROUND(C254,0)</f>
        <v>750293</v>
      </c>
      <c r="G730" s="276">
        <f>ROUND(C255,0)</f>
        <v>114072</v>
      </c>
      <c r="H730" s="276">
        <f>ROUND(C256,0)</f>
        <v>0</v>
      </c>
      <c r="I730" s="276">
        <f>ROUND(C257,0)</f>
        <v>828806</v>
      </c>
      <c r="J730" s="276">
        <f>ROUND(C258,0)</f>
        <v>184428</v>
      </c>
      <c r="K730" s="276">
        <f>ROUND(C259,0)</f>
        <v>0</v>
      </c>
      <c r="L730" s="276">
        <f>ROUND(C262,0)</f>
        <v>467290</v>
      </c>
      <c r="M730" s="276">
        <f>ROUND(C263,0)</f>
        <v>0</v>
      </c>
      <c r="N730" s="276">
        <f>ROUND(C264,0)</f>
        <v>0</v>
      </c>
      <c r="O730" s="276">
        <f>ROUND(C267,0)</f>
        <v>146306</v>
      </c>
      <c r="P730" s="276">
        <f>ROUND(C268,0)</f>
        <v>1102510</v>
      </c>
      <c r="Q730" s="276">
        <f>ROUND(C269,0)</f>
        <v>8272149</v>
      </c>
      <c r="R730" s="276">
        <f>ROUND(C270,0)</f>
        <v>5911640</v>
      </c>
      <c r="S730" s="276">
        <f>ROUND(C271,0)</f>
        <v>279223</v>
      </c>
      <c r="T730" s="276">
        <f>ROUND(C272,0)</f>
        <v>10223435</v>
      </c>
      <c r="U730" s="276">
        <f>ROUND(C273,0)</f>
        <v>0</v>
      </c>
      <c r="V730" s="276">
        <f>ROUND(C274,0)</f>
        <v>42620</v>
      </c>
      <c r="W730" s="276">
        <f>ROUND(C275,0)</f>
        <v>0</v>
      </c>
      <c r="X730" s="276">
        <f>ROUND(C276,0)</f>
        <v>16856285</v>
      </c>
      <c r="Y730" s="276">
        <f>ROUND(C279,0)</f>
        <v>1583839</v>
      </c>
      <c r="Z730" s="276">
        <f>ROUND(C280,0)</f>
        <v>1350671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961862</v>
      </c>
      <c r="AI730" s="276">
        <f>ROUND(C306,0)</f>
        <v>1620826</v>
      </c>
      <c r="AJ730" s="276">
        <f>ROUND(C307,0)</f>
        <v>0</v>
      </c>
      <c r="AK730" s="276">
        <f>ROUND(C308,0)</f>
        <v>0</v>
      </c>
      <c r="AL730" s="276">
        <f>ROUND(C309,0)</f>
        <v>896000</v>
      </c>
      <c r="AM730" s="276">
        <f>ROUND(C310,0)</f>
        <v>0</v>
      </c>
      <c r="AN730" s="276">
        <f>ROUND(C311,0)</f>
        <v>0</v>
      </c>
      <c r="AO730" s="276">
        <f>ROUND(C312,0)</f>
        <v>562031</v>
      </c>
      <c r="AP730" s="276">
        <f>ROUND(C313,0)</f>
        <v>1390436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3786075</v>
      </c>
      <c r="AW730" s="276">
        <f>ROUND(C324,0)</f>
        <v>2578726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24081983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217.84</v>
      </c>
      <c r="BJ730" s="276">
        <f>ROUND(C359,0)</f>
        <v>13501349</v>
      </c>
      <c r="BK730" s="276">
        <f>ROUND(C360,0)</f>
        <v>71967614</v>
      </c>
      <c r="BL730" s="276">
        <f>ROUND(C364,0)</f>
        <v>41220879</v>
      </c>
      <c r="BM730" s="276">
        <f>ROUND(C365,0)</f>
        <v>1324388</v>
      </c>
      <c r="BN730" s="276">
        <f>ROUND(C366,0)</f>
        <v>1866453</v>
      </c>
      <c r="BO730" s="276">
        <f>ROUND(C370,0)</f>
        <v>817590</v>
      </c>
      <c r="BP730" s="276">
        <f>ROUND(C371,0)</f>
        <v>1080075</v>
      </c>
      <c r="BQ730" s="276">
        <f>ROUND(C378,0)</f>
        <v>18053148</v>
      </c>
      <c r="BR730" s="276">
        <f>ROUND(C379,0)</f>
        <v>4216385</v>
      </c>
      <c r="BS730" s="276">
        <f>ROUND(C380,0)</f>
        <v>5337530</v>
      </c>
      <c r="BT730" s="276">
        <f>ROUND(C381,0)</f>
        <v>5745149</v>
      </c>
      <c r="BU730" s="276">
        <f>ROUND(C382,0)</f>
        <v>472683</v>
      </c>
      <c r="BV730" s="276">
        <f>ROUND(C383,0)</f>
        <v>2655962</v>
      </c>
      <c r="BW730" s="276">
        <f>ROUND(C384,0)</f>
        <v>2105373</v>
      </c>
      <c r="BX730" s="276">
        <f>ROUND(C385,0)</f>
        <v>268381</v>
      </c>
      <c r="BY730" s="276">
        <f>ROUND(C386,0)</f>
        <v>617235</v>
      </c>
      <c r="BZ730" s="276">
        <f>ROUND(C387,0)</f>
        <v>256220</v>
      </c>
      <c r="CA730" s="276">
        <f>ROUND(C388,0)</f>
        <v>295393</v>
      </c>
      <c r="CB730" s="276">
        <f>C363</f>
        <v>1550302.21</v>
      </c>
      <c r="CC730" s="276">
        <f>ROUND(C389,0)</f>
        <v>285207</v>
      </c>
      <c r="CD730" s="276">
        <f>ROUND(C392,0)</f>
        <v>7586835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147*2021*6010*A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147*2021*6030*A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147*2021*6070*A</v>
      </c>
      <c r="B736" s="276">
        <f>ROUND(E59,0)</f>
        <v>2109</v>
      </c>
      <c r="C736" s="278">
        <f>ROUND(E60,2)</f>
        <v>27.08</v>
      </c>
      <c r="D736" s="276">
        <f>ROUND(E61,0)</f>
        <v>2402356</v>
      </c>
      <c r="E736" s="276">
        <f>ROUND(E62,0)</f>
        <v>530878</v>
      </c>
      <c r="F736" s="276">
        <f>ROUND(E63,0)</f>
        <v>187185</v>
      </c>
      <c r="G736" s="276">
        <f>ROUND(E64,0)</f>
        <v>141258</v>
      </c>
      <c r="H736" s="276">
        <f>ROUND(E65,0)</f>
        <v>0</v>
      </c>
      <c r="I736" s="276">
        <f>ROUND(E66,0)</f>
        <v>112074</v>
      </c>
      <c r="J736" s="276">
        <f>ROUND(E67,0)</f>
        <v>105254</v>
      </c>
      <c r="K736" s="276">
        <f>ROUND(E68,0)</f>
        <v>28729</v>
      </c>
      <c r="L736" s="276">
        <f>ROUND(E69,0)</f>
        <v>18567</v>
      </c>
      <c r="M736" s="276">
        <f>ROUND(E70,0)</f>
        <v>0</v>
      </c>
      <c r="N736" s="276">
        <f>ROUND(E75,0)</f>
        <v>4667831</v>
      </c>
      <c r="O736" s="276">
        <f>ROUND(E73,0)</f>
        <v>3055615</v>
      </c>
      <c r="P736" s="276">
        <f>IF(E76&gt;0,ROUND(E76,0),0)</f>
        <v>6251</v>
      </c>
      <c r="Q736" s="276">
        <f>IF(E77&gt;0,ROUND(E77,0),0)</f>
        <v>7833</v>
      </c>
      <c r="R736" s="276">
        <f>IF(E78&gt;0,ROUND(E78,0),0)</f>
        <v>4161</v>
      </c>
      <c r="S736" s="276">
        <f>IF(E79&gt;0,ROUND(E79,0),0)</f>
        <v>97619</v>
      </c>
      <c r="T736" s="278">
        <f>IF(E80&gt;0,ROUND(E80,2),0)</f>
        <v>16.010000000000002</v>
      </c>
      <c r="U736" s="276"/>
      <c r="V736" s="277"/>
      <c r="W736" s="276"/>
      <c r="X736" s="276"/>
      <c r="Y736" s="276">
        <f t="shared" si="21"/>
        <v>1628376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147*2021*6100*A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147*2021*6120*A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147*2021*6140*A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147*2021*6150*A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147*2021*6170*A</v>
      </c>
      <c r="B741" s="276">
        <f>ROUND(J59,0)</f>
        <v>411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19</v>
      </c>
      <c r="J741" s="276">
        <f>ROUND(J67,0)</f>
        <v>2991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461688</v>
      </c>
      <c r="O741" s="276">
        <f>ROUND(J73,0)</f>
        <v>461618</v>
      </c>
      <c r="P741" s="276">
        <f>IF(J76&gt;0,ROUND(J76,0),0)</f>
        <v>142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21973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147*2021*6200*A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147*2021*6210*A</v>
      </c>
      <c r="B743" s="276">
        <f>ROUND(L59,0)</f>
        <v>128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147*2021*6330*A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147*2021*6400*A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147*2021*7010*A</v>
      </c>
      <c r="B746" s="276">
        <f>ROUND(O59,0)</f>
        <v>310</v>
      </c>
      <c r="C746" s="278">
        <f>ROUND(O60,2)</f>
        <v>8.5399999999999991</v>
      </c>
      <c r="D746" s="276">
        <f>ROUND(O61,0)</f>
        <v>769070</v>
      </c>
      <c r="E746" s="276">
        <f>ROUND(O62,0)</f>
        <v>170237</v>
      </c>
      <c r="F746" s="276">
        <f>ROUND(O63,0)</f>
        <v>480132</v>
      </c>
      <c r="G746" s="276">
        <f>ROUND(O64,0)</f>
        <v>92785</v>
      </c>
      <c r="H746" s="276">
        <f>ROUND(O65,0)</f>
        <v>0</v>
      </c>
      <c r="I746" s="276">
        <f>ROUND(O66,0)</f>
        <v>23040</v>
      </c>
      <c r="J746" s="276">
        <f>ROUND(O67,0)</f>
        <v>39762</v>
      </c>
      <c r="K746" s="276">
        <f>ROUND(O68,0)</f>
        <v>6931</v>
      </c>
      <c r="L746" s="276">
        <f>ROUND(O69,0)</f>
        <v>11271</v>
      </c>
      <c r="M746" s="276">
        <f>ROUND(O70,0)</f>
        <v>0</v>
      </c>
      <c r="N746" s="276">
        <f>ROUND(O75,0)</f>
        <v>1831898</v>
      </c>
      <c r="O746" s="276">
        <f>ROUND(O73,0)</f>
        <v>1677505</v>
      </c>
      <c r="P746" s="276">
        <f>IF(O76&gt;0,ROUND(O76,0),0)</f>
        <v>1720</v>
      </c>
      <c r="Q746" s="276">
        <f>IF(O77&gt;0,ROUND(O77,0),0)</f>
        <v>2473</v>
      </c>
      <c r="R746" s="276">
        <f>IF(O78&gt;0,ROUND(O78,0),0)</f>
        <v>991</v>
      </c>
      <c r="S746" s="276">
        <f>IF(O79&gt;0,ROUND(O79,0),0)</f>
        <v>10015</v>
      </c>
      <c r="T746" s="278">
        <f>IF(O80&gt;0,ROUND(O80,2),0)</f>
        <v>7.42</v>
      </c>
      <c r="U746" s="276"/>
      <c r="V746" s="277"/>
      <c r="W746" s="276"/>
      <c r="X746" s="276"/>
      <c r="Y746" s="276">
        <f t="shared" si="21"/>
        <v>540229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147*2021*7020*A</v>
      </c>
      <c r="B747" s="276">
        <f>ROUND(P59,0)</f>
        <v>110137</v>
      </c>
      <c r="C747" s="278">
        <f>ROUND(P60,2)</f>
        <v>9.31</v>
      </c>
      <c r="D747" s="276">
        <f>ROUND(P61,0)</f>
        <v>782283</v>
      </c>
      <c r="E747" s="276">
        <f>ROUND(P62,0)</f>
        <v>186534</v>
      </c>
      <c r="F747" s="276">
        <f>ROUND(P63,0)</f>
        <v>0</v>
      </c>
      <c r="G747" s="276">
        <f>ROUND(P64,0)</f>
        <v>1058013</v>
      </c>
      <c r="H747" s="276">
        <f>ROUND(P65,0)</f>
        <v>0</v>
      </c>
      <c r="I747" s="276">
        <f>ROUND(P66,0)</f>
        <v>120376</v>
      </c>
      <c r="J747" s="276">
        <f>ROUND(P67,0)</f>
        <v>304981</v>
      </c>
      <c r="K747" s="276">
        <f>ROUND(P68,0)</f>
        <v>5454</v>
      </c>
      <c r="L747" s="276">
        <f>ROUND(P69,0)</f>
        <v>19246</v>
      </c>
      <c r="M747" s="276">
        <f>ROUND(P70,0)</f>
        <v>0</v>
      </c>
      <c r="N747" s="276">
        <f>ROUND(P75,0)</f>
        <v>6946290</v>
      </c>
      <c r="O747" s="276">
        <f>ROUND(P73,0)</f>
        <v>1153611</v>
      </c>
      <c r="P747" s="276">
        <f>IF(P76&gt;0,ROUND(P76,0),0)</f>
        <v>4085</v>
      </c>
      <c r="Q747" s="276">
        <f>IF(P77&gt;0,ROUND(P77,0),0)</f>
        <v>0</v>
      </c>
      <c r="R747" s="276">
        <f>IF(P78&gt;0,ROUND(P78,0),0)</f>
        <v>1369</v>
      </c>
      <c r="S747" s="276">
        <f>IF(P79&gt;0,ROUND(P79,0),0)</f>
        <v>54322</v>
      </c>
      <c r="T747" s="278">
        <f>IF(P80&gt;0,ROUND(P80,2),0)</f>
        <v>3.21</v>
      </c>
      <c r="U747" s="276"/>
      <c r="V747" s="277"/>
      <c r="W747" s="276"/>
      <c r="X747" s="276"/>
      <c r="Y747" s="276">
        <f t="shared" si="21"/>
        <v>753358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147*2021*7030*A</v>
      </c>
      <c r="B748" s="276">
        <f>ROUND(Q59,0)</f>
        <v>129375</v>
      </c>
      <c r="C748" s="278">
        <f>ROUND(Q60,2)</f>
        <v>5.13</v>
      </c>
      <c r="D748" s="276">
        <f>ROUND(Q61,0)</f>
        <v>536714</v>
      </c>
      <c r="E748" s="276">
        <f>ROUND(Q62,0)</f>
        <v>112365</v>
      </c>
      <c r="F748" s="276">
        <f>ROUND(Q63,0)</f>
        <v>68291</v>
      </c>
      <c r="G748" s="276">
        <f>ROUND(Q64,0)</f>
        <v>30601</v>
      </c>
      <c r="H748" s="276">
        <f>ROUND(Q65,0)</f>
        <v>0</v>
      </c>
      <c r="I748" s="276">
        <f>ROUND(Q66,0)</f>
        <v>1614</v>
      </c>
      <c r="J748" s="276">
        <f>ROUND(Q67,0)</f>
        <v>27893</v>
      </c>
      <c r="K748" s="276">
        <f>ROUND(Q68,0)</f>
        <v>5262</v>
      </c>
      <c r="L748" s="276">
        <f>ROUND(Q69,0)</f>
        <v>1688</v>
      </c>
      <c r="M748" s="276">
        <f>ROUND(Q70,0)</f>
        <v>0</v>
      </c>
      <c r="N748" s="276">
        <f>ROUND(Q75,0)</f>
        <v>2744164</v>
      </c>
      <c r="O748" s="276">
        <f>ROUND(Q73,0)</f>
        <v>296113</v>
      </c>
      <c r="P748" s="276">
        <f>IF(Q76&gt;0,ROUND(Q76,0),0)</f>
        <v>1261</v>
      </c>
      <c r="Q748" s="276">
        <f>IF(Q77&gt;0,ROUND(Q77,0),0)</f>
        <v>0</v>
      </c>
      <c r="R748" s="276">
        <f>IF(Q78&gt;0,ROUND(Q78,0),0)</f>
        <v>1174</v>
      </c>
      <c r="S748" s="276">
        <f>IF(Q79&gt;0,ROUND(Q79,0),0)</f>
        <v>0</v>
      </c>
      <c r="T748" s="278">
        <f>IF(Q80&gt;0,ROUND(Q80,2),0)</f>
        <v>5.13</v>
      </c>
      <c r="U748" s="276"/>
      <c r="V748" s="277"/>
      <c r="W748" s="276"/>
      <c r="X748" s="276"/>
      <c r="Y748" s="276">
        <f t="shared" si="21"/>
        <v>311660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147*2021*7040*A</v>
      </c>
      <c r="B749" s="276">
        <f>ROUND(R59,0)</f>
        <v>119033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888778</v>
      </c>
      <c r="G749" s="276">
        <f>ROUND(R64,0)</f>
        <v>6933</v>
      </c>
      <c r="H749" s="276">
        <f>ROUND(R65,0)</f>
        <v>0</v>
      </c>
      <c r="I749" s="276">
        <f>ROUND(R66,0)</f>
        <v>8620</v>
      </c>
      <c r="J749" s="276">
        <f>ROUND(R67,0)</f>
        <v>0</v>
      </c>
      <c r="K749" s="276">
        <f>ROUND(R68,0)</f>
        <v>13132</v>
      </c>
      <c r="L749" s="276">
        <f>ROUND(R69,0)</f>
        <v>285</v>
      </c>
      <c r="M749" s="276">
        <f>ROUND(R70,0)</f>
        <v>0</v>
      </c>
      <c r="N749" s="276">
        <f>ROUND(R75,0)</f>
        <v>4355946</v>
      </c>
      <c r="O749" s="276">
        <f>ROUND(R73,0)</f>
        <v>903686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220707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147*2021*7050*A</v>
      </c>
      <c r="B750" s="276"/>
      <c r="C750" s="278">
        <f>ROUND(S60,2)</f>
        <v>1.96</v>
      </c>
      <c r="D750" s="276">
        <f>ROUND(S61,0)</f>
        <v>63716</v>
      </c>
      <c r="E750" s="276">
        <f>ROUND(S62,0)</f>
        <v>29166</v>
      </c>
      <c r="F750" s="276">
        <f>ROUND(S63,0)</f>
        <v>0</v>
      </c>
      <c r="G750" s="276">
        <f>ROUND(S64,0)</f>
        <v>1217171</v>
      </c>
      <c r="H750" s="276">
        <f>ROUND(S65,0)</f>
        <v>0</v>
      </c>
      <c r="I750" s="276">
        <f>ROUND(S66,0)</f>
        <v>5808</v>
      </c>
      <c r="J750" s="276">
        <f>ROUND(S67,0)</f>
        <v>18328</v>
      </c>
      <c r="K750" s="276">
        <f>ROUND(S68,0)</f>
        <v>0</v>
      </c>
      <c r="L750" s="276">
        <f>ROUND(S69,0)</f>
        <v>11547</v>
      </c>
      <c r="M750" s="276">
        <f>ROUND(S70,0)</f>
        <v>14129</v>
      </c>
      <c r="N750" s="276">
        <f>ROUND(S75,0)</f>
        <v>5875557</v>
      </c>
      <c r="O750" s="276">
        <f>ROUND(S73,0)</f>
        <v>1098665</v>
      </c>
      <c r="P750" s="276">
        <f>IF(S76&gt;0,ROUND(S76,0),0)</f>
        <v>1628</v>
      </c>
      <c r="Q750" s="276">
        <f>IF(S77&gt;0,ROUND(S77,0),0)</f>
        <v>0</v>
      </c>
      <c r="R750" s="276">
        <f>IF(S78&gt;0,ROUND(S78,0),0)</f>
        <v>222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403997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147*2021*7060*A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147*2021*7070*A</v>
      </c>
      <c r="B752" s="276">
        <f>ROUND(U59,0)</f>
        <v>95490</v>
      </c>
      <c r="C752" s="278">
        <f>ROUND(U60,2)</f>
        <v>9.1</v>
      </c>
      <c r="D752" s="276">
        <f>ROUND(U61,0)</f>
        <v>624318</v>
      </c>
      <c r="E752" s="276">
        <f>ROUND(U62,0)</f>
        <v>153945</v>
      </c>
      <c r="F752" s="276">
        <f>ROUND(U63,0)</f>
        <v>133371</v>
      </c>
      <c r="G752" s="276">
        <f>ROUND(U64,0)</f>
        <v>1139505</v>
      </c>
      <c r="H752" s="276">
        <f>ROUND(U65,0)</f>
        <v>0</v>
      </c>
      <c r="I752" s="276">
        <f>ROUND(U66,0)</f>
        <v>214571</v>
      </c>
      <c r="J752" s="276">
        <f>ROUND(U67,0)</f>
        <v>52102</v>
      </c>
      <c r="K752" s="276">
        <f>ROUND(U68,0)</f>
        <v>36641</v>
      </c>
      <c r="L752" s="276">
        <f>ROUND(U69,0)</f>
        <v>50816</v>
      </c>
      <c r="M752" s="276">
        <f>ROUND(U70,0)</f>
        <v>150</v>
      </c>
      <c r="N752" s="276">
        <f>ROUND(U75,0)</f>
        <v>8016865</v>
      </c>
      <c r="O752" s="276">
        <f>ROUND(U73,0)</f>
        <v>1045795</v>
      </c>
      <c r="P752" s="276">
        <f>IF(U76&gt;0,ROUND(U76,0),0)</f>
        <v>1213</v>
      </c>
      <c r="Q752" s="276">
        <f>IF(U77&gt;0,ROUND(U77,0),0)</f>
        <v>0</v>
      </c>
      <c r="R752" s="276">
        <f>IF(U78&gt;0,ROUND(U78,0),0)</f>
        <v>552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569317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147*2021*7110*A</v>
      </c>
      <c r="B753" s="276">
        <f>ROUND(V59,0)</f>
        <v>2510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1172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208330</v>
      </c>
      <c r="O753" s="276">
        <f>ROUND(V73,0)</f>
        <v>12035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8095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147*2021*7120*A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147*2021*7130*A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147*2021*7140*A</v>
      </c>
      <c r="B756" s="276">
        <f>ROUND(Y59,0)</f>
        <v>18393</v>
      </c>
      <c r="C756" s="278">
        <f>ROUND(Y60,2)</f>
        <v>12.36</v>
      </c>
      <c r="D756" s="276">
        <f>ROUND(Y61,0)</f>
        <v>983634</v>
      </c>
      <c r="E756" s="276">
        <f>ROUND(Y62,0)</f>
        <v>243496</v>
      </c>
      <c r="F756" s="276">
        <f>ROUND(Y63,0)</f>
        <v>950236</v>
      </c>
      <c r="G756" s="276">
        <f>ROUND(Y64,0)</f>
        <v>413654</v>
      </c>
      <c r="H756" s="276">
        <f>ROUND(Y65,0)</f>
        <v>0</v>
      </c>
      <c r="I756" s="276">
        <f>ROUND(Y66,0)</f>
        <v>515959</v>
      </c>
      <c r="J756" s="276">
        <f>ROUND(Y67,0)</f>
        <v>591925</v>
      </c>
      <c r="K756" s="276">
        <f>ROUND(Y68,0)</f>
        <v>75950</v>
      </c>
      <c r="L756" s="276">
        <f>ROUND(Y69,0)</f>
        <v>9435</v>
      </c>
      <c r="M756" s="276">
        <f>ROUND(Y70,0)</f>
        <v>0</v>
      </c>
      <c r="N756" s="276">
        <f>ROUND(Y75,0)</f>
        <v>21314232</v>
      </c>
      <c r="O756" s="276">
        <f>ROUND(Y73,0)</f>
        <v>822867</v>
      </c>
      <c r="P756" s="276">
        <f>IF(Y76&gt;0,ROUND(Y76,0),0)</f>
        <v>5353</v>
      </c>
      <c r="Q756" s="276">
        <f>IF(Y77&gt;0,ROUND(Y77,0),0)</f>
        <v>0</v>
      </c>
      <c r="R756" s="276">
        <f>IF(Y78&gt;0,ROUND(Y78,0),0)</f>
        <v>651</v>
      </c>
      <c r="S756" s="276">
        <f>IF(Y79&gt;0,ROUND(Y79,0),0)</f>
        <v>934</v>
      </c>
      <c r="T756" s="278">
        <f>IF(Y80&gt;0,ROUND(Y80,2),0)</f>
        <v>0.34</v>
      </c>
      <c r="U756" s="276"/>
      <c r="V756" s="277"/>
      <c r="W756" s="276"/>
      <c r="X756" s="276"/>
      <c r="Y756" s="276">
        <f t="shared" si="21"/>
        <v>1273323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147*2021*7150*A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147*2021*7160*A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147*2021*7170*A</v>
      </c>
      <c r="B759" s="276"/>
      <c r="C759" s="278">
        <f>ROUND(AB60,2)</f>
        <v>2</v>
      </c>
      <c r="D759" s="276">
        <f>ROUND(AB61,0)</f>
        <v>202794</v>
      </c>
      <c r="E759" s="276">
        <f>ROUND(AB62,0)</f>
        <v>46808</v>
      </c>
      <c r="F759" s="276">
        <f>ROUND(AB63,0)</f>
        <v>75518</v>
      </c>
      <c r="G759" s="276">
        <f>ROUND(AB64,0)</f>
        <v>674920</v>
      </c>
      <c r="H759" s="276">
        <f>ROUND(AB65,0)</f>
        <v>0</v>
      </c>
      <c r="I759" s="276">
        <f>ROUND(AB66,0)</f>
        <v>10043</v>
      </c>
      <c r="J759" s="276">
        <f>ROUND(AB67,0)</f>
        <v>6489</v>
      </c>
      <c r="K759" s="276">
        <f>ROUND(AB68,0)</f>
        <v>3811</v>
      </c>
      <c r="L759" s="276">
        <f>ROUND(AB69,0)</f>
        <v>1859</v>
      </c>
      <c r="M759" s="276">
        <f>ROUND(AB70,0)</f>
        <v>273485</v>
      </c>
      <c r="N759" s="276">
        <f>ROUND(AB75,0)</f>
        <v>4132784</v>
      </c>
      <c r="O759" s="276">
        <f>ROUND(AB73,0)</f>
        <v>1493193</v>
      </c>
      <c r="P759" s="276">
        <f>IF(AB76&gt;0,ROUND(AB76,0),0)</f>
        <v>588</v>
      </c>
      <c r="Q759" s="276">
        <f>IF(AB77&gt;0,ROUND(AB77,0),0)</f>
        <v>0</v>
      </c>
      <c r="R759" s="276">
        <f>IF(AB78&gt;0,ROUND(AB78,0),0)</f>
        <v>145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253223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147*2021*7180*A</v>
      </c>
      <c r="B760" s="276">
        <f>ROUND(AC59,0)</f>
        <v>2874</v>
      </c>
      <c r="C760" s="278">
        <f>ROUND(AC60,2)</f>
        <v>2.59</v>
      </c>
      <c r="D760" s="276">
        <f>ROUND(AC61,0)</f>
        <v>285010</v>
      </c>
      <c r="E760" s="276">
        <f>ROUND(AC62,0)</f>
        <v>55540</v>
      </c>
      <c r="F760" s="276">
        <f>ROUND(AC63,0)</f>
        <v>0</v>
      </c>
      <c r="G760" s="276">
        <f>ROUND(AC64,0)</f>
        <v>64187</v>
      </c>
      <c r="H760" s="276">
        <f>ROUND(AC65,0)</f>
        <v>0</v>
      </c>
      <c r="I760" s="276">
        <f>ROUND(AC66,0)</f>
        <v>8494</v>
      </c>
      <c r="J760" s="276">
        <f>ROUND(AC67,0)</f>
        <v>8847</v>
      </c>
      <c r="K760" s="276">
        <f>ROUND(AC68,0)</f>
        <v>26852</v>
      </c>
      <c r="L760" s="276">
        <f>ROUND(AC69,0)</f>
        <v>2274</v>
      </c>
      <c r="M760" s="276">
        <f>ROUND(AC70,0)</f>
        <v>0</v>
      </c>
      <c r="N760" s="276">
        <f>ROUND(AC75,0)</f>
        <v>872263</v>
      </c>
      <c r="O760" s="276">
        <f>ROUND(AC73,0)</f>
        <v>339185</v>
      </c>
      <c r="P760" s="276">
        <f>IF(AC76&gt;0,ROUND(AC76,0),0)</f>
        <v>394</v>
      </c>
      <c r="Q760" s="276">
        <f>IF(AC77&gt;0,ROUND(AC77,0),0)</f>
        <v>0</v>
      </c>
      <c r="R760" s="276">
        <f>IF(AC78&gt;0,ROUND(AC78,0),0)</f>
        <v>420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96666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147*2021*7190*A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147*2021*7200*A</v>
      </c>
      <c r="B762" s="276">
        <f>ROUND(AE59,0)</f>
        <v>10563</v>
      </c>
      <c r="C762" s="278">
        <f>ROUND(AE60,2)</f>
        <v>6.51</v>
      </c>
      <c r="D762" s="276">
        <f>ROUND(AE61,0)</f>
        <v>492666</v>
      </c>
      <c r="E762" s="276">
        <f>ROUND(AE62,0)</f>
        <v>135570</v>
      </c>
      <c r="F762" s="276">
        <f>ROUND(AE63,0)</f>
        <v>488</v>
      </c>
      <c r="G762" s="276">
        <f>ROUND(AE64,0)</f>
        <v>28879</v>
      </c>
      <c r="H762" s="276">
        <f>ROUND(AE65,0)</f>
        <v>0</v>
      </c>
      <c r="I762" s="276">
        <f>ROUND(AE66,0)</f>
        <v>22209</v>
      </c>
      <c r="J762" s="276">
        <f>ROUND(AE67,0)</f>
        <v>40769</v>
      </c>
      <c r="K762" s="276">
        <f>ROUND(AE68,0)</f>
        <v>913</v>
      </c>
      <c r="L762" s="276">
        <f>ROUND(AE69,0)</f>
        <v>2514</v>
      </c>
      <c r="M762" s="276">
        <f>ROUND(AE70,0)</f>
        <v>20740</v>
      </c>
      <c r="N762" s="276">
        <f>ROUND(AE75,0)</f>
        <v>1825314</v>
      </c>
      <c r="O762" s="276">
        <f>ROUND(AE73,0)</f>
        <v>74765</v>
      </c>
      <c r="P762" s="276">
        <f>IF(AE76&gt;0,ROUND(AE76,0),0)</f>
        <v>2826</v>
      </c>
      <c r="Q762" s="276">
        <f>IF(AE77&gt;0,ROUND(AE77,0),0)</f>
        <v>0</v>
      </c>
      <c r="R762" s="276">
        <f>IF(AE78&gt;0,ROUND(AE78,0),0)</f>
        <v>128</v>
      </c>
      <c r="S762" s="276">
        <f>IF(AE79&gt;0,ROUND(AE79,0),0)</f>
        <v>0</v>
      </c>
      <c r="T762" s="278">
        <f>IF(AE80&gt;0,ROUND(AE80,2),0)</f>
        <v>0.05</v>
      </c>
      <c r="U762" s="276"/>
      <c r="V762" s="277"/>
      <c r="W762" s="276"/>
      <c r="X762" s="276"/>
      <c r="Y762" s="276">
        <f t="shared" si="21"/>
        <v>218176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147*2021*7220*A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147*2021*7230*A</v>
      </c>
      <c r="B764" s="276">
        <f>ROUND(AG59,0)</f>
        <v>9642</v>
      </c>
      <c r="C764" s="278">
        <f>ROUND(AG60,2)</f>
        <v>19.79</v>
      </c>
      <c r="D764" s="276">
        <f>ROUND(AG61,0)</f>
        <v>1532289</v>
      </c>
      <c r="E764" s="276">
        <f>ROUND(AG62,0)</f>
        <v>374500</v>
      </c>
      <c r="F764" s="276">
        <f>ROUND(AG63,0)</f>
        <v>2361331</v>
      </c>
      <c r="G764" s="276">
        <f>ROUND(AG64,0)</f>
        <v>217634</v>
      </c>
      <c r="H764" s="276">
        <f>ROUND(AG65,0)</f>
        <v>0</v>
      </c>
      <c r="I764" s="276">
        <f>ROUND(AG66,0)</f>
        <v>132527</v>
      </c>
      <c r="J764" s="276">
        <f>ROUND(AG67,0)</f>
        <v>166448</v>
      </c>
      <c r="K764" s="276">
        <f>ROUND(AG68,0)</f>
        <v>13011</v>
      </c>
      <c r="L764" s="276">
        <f>ROUND(AG69,0)</f>
        <v>11056</v>
      </c>
      <c r="M764" s="276">
        <f>ROUND(AG70,0)</f>
        <v>0</v>
      </c>
      <c r="N764" s="276">
        <f>ROUND(AG75,0)</f>
        <v>13965663</v>
      </c>
      <c r="O764" s="276">
        <f>ROUND(AG73,0)</f>
        <v>464725</v>
      </c>
      <c r="P764" s="276">
        <f>IF(AG76&gt;0,ROUND(AG76,0),0)</f>
        <v>3601</v>
      </c>
      <c r="Q764" s="276">
        <f>IF(AG77&gt;0,ROUND(AG77,0),0)</f>
        <v>0</v>
      </c>
      <c r="R764" s="276">
        <f>IF(AG78&gt;0,ROUND(AG78,0),0)</f>
        <v>5816</v>
      </c>
      <c r="S764" s="276">
        <f>IF(AG79&gt;0,ROUND(AG79,0),0)</f>
        <v>25233</v>
      </c>
      <c r="T764" s="278">
        <f>IF(AG80&gt;0,ROUND(AG80,2),0)</f>
        <v>10.35</v>
      </c>
      <c r="U764" s="276"/>
      <c r="V764" s="277"/>
      <c r="W764" s="276"/>
      <c r="X764" s="276"/>
      <c r="Y764" s="276">
        <f t="shared" si="21"/>
        <v>1364223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147*2021*7240*A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147*2021*7250*A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147*2021*7260*A</v>
      </c>
      <c r="B767" s="276">
        <f>ROUND(AJ59,0)</f>
        <v>0</v>
      </c>
      <c r="C767" s="278">
        <f>ROUND(AJ60,2)</f>
        <v>0.38</v>
      </c>
      <c r="D767" s="276">
        <f>ROUND(AJ61,0)</f>
        <v>31255</v>
      </c>
      <c r="E767" s="276">
        <f>ROUND(AJ62,0)</f>
        <v>7177</v>
      </c>
      <c r="F767" s="276">
        <f>ROUND(AJ63,0)</f>
        <v>0</v>
      </c>
      <c r="G767" s="276">
        <f>ROUND(AJ64,0)</f>
        <v>31165</v>
      </c>
      <c r="H767" s="276">
        <f>ROUND(AJ65,0)</f>
        <v>0</v>
      </c>
      <c r="I767" s="276">
        <f>ROUND(AJ66,0)</f>
        <v>54</v>
      </c>
      <c r="J767" s="276">
        <f>ROUND(AJ67,0)</f>
        <v>7629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87896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0.38</v>
      </c>
      <c r="U767" s="276"/>
      <c r="V767" s="277"/>
      <c r="W767" s="276"/>
      <c r="X767" s="276"/>
      <c r="Y767" s="276">
        <f t="shared" si="21"/>
        <v>14887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147*2021*7310*A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147*2021*7320*A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147*2021*7330*A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147*2021*7340*A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147*2021*7350*A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147*2021*7380*A</v>
      </c>
      <c r="B773" s="276">
        <f>ROUND(AP59,0)</f>
        <v>21696</v>
      </c>
      <c r="C773" s="278">
        <f>ROUND(AP60,2)</f>
        <v>41.37</v>
      </c>
      <c r="D773" s="276">
        <f>ROUND(AP61,0)</f>
        <v>4833489</v>
      </c>
      <c r="E773" s="276">
        <f>ROUND(AP62,0)</f>
        <v>905502</v>
      </c>
      <c r="F773" s="276">
        <f>ROUND(AP63,0)</f>
        <v>8609</v>
      </c>
      <c r="G773" s="276">
        <f>ROUND(AP64,0)</f>
        <v>214424</v>
      </c>
      <c r="H773" s="276">
        <f>ROUND(AP65,0)</f>
        <v>49815</v>
      </c>
      <c r="I773" s="276">
        <f>ROUND(AP66,0)</f>
        <v>286671</v>
      </c>
      <c r="J773" s="276">
        <f>ROUND(AP67,0)</f>
        <v>233122</v>
      </c>
      <c r="K773" s="276">
        <f>ROUND(AP68,0)</f>
        <v>14651</v>
      </c>
      <c r="L773" s="276">
        <f>ROUND(AP69,0)</f>
        <v>162107</v>
      </c>
      <c r="M773" s="276">
        <f>ROUND(AP70,0)</f>
        <v>176182</v>
      </c>
      <c r="N773" s="276">
        <f>ROUND(AP75,0)</f>
        <v>8162243</v>
      </c>
      <c r="O773" s="276">
        <f>ROUND(AP73,0)</f>
        <v>601971</v>
      </c>
      <c r="P773" s="276">
        <f>IF(AP76&gt;0,ROUND(AP76,0),0)</f>
        <v>15729</v>
      </c>
      <c r="Q773" s="276">
        <f>IF(AP77&gt;0,ROUND(AP77,0),0)</f>
        <v>0</v>
      </c>
      <c r="R773" s="276">
        <f>IF(AP78&gt;0,ROUND(AP78,0),0)</f>
        <v>2583</v>
      </c>
      <c r="S773" s="276">
        <f>IF(AP79&gt;0,ROUND(AP79,0),0)</f>
        <v>0</v>
      </c>
      <c r="T773" s="278">
        <f>IF(AP80&gt;0,ROUND(AP80,2),0)</f>
        <v>1.36</v>
      </c>
      <c r="U773" s="276"/>
      <c r="V773" s="277"/>
      <c r="W773" s="276"/>
      <c r="X773" s="276"/>
      <c r="Y773" s="276">
        <f t="shared" si="21"/>
        <v>1388260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147*2021*7390*A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147*2021*7400*A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147*2021*7410*A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147*2021*7420*A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147*2021*7430*A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147*2021*7490*A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147*2021*8200*A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147*2021*8310*A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147*2021*8320*A</v>
      </c>
      <c r="B782" s="276">
        <f>ROUND(AY59,0)</f>
        <v>10306</v>
      </c>
      <c r="C782" s="278">
        <f>ROUND(AY60,2)</f>
        <v>6.97</v>
      </c>
      <c r="D782" s="276">
        <f>ROUND(AY61,0)</f>
        <v>315524</v>
      </c>
      <c r="E782" s="276">
        <f>ROUND(AY62,0)</f>
        <v>99434</v>
      </c>
      <c r="F782" s="276">
        <f>ROUND(AY63,0)</f>
        <v>0</v>
      </c>
      <c r="G782" s="276">
        <f>ROUND(AY64,0)</f>
        <v>186676</v>
      </c>
      <c r="H782" s="276">
        <f>ROUND(AY65,0)</f>
        <v>0</v>
      </c>
      <c r="I782" s="276">
        <f>ROUND(AY66,0)</f>
        <v>9362</v>
      </c>
      <c r="J782" s="276">
        <f>ROUND(AY67,0)</f>
        <v>33316</v>
      </c>
      <c r="K782" s="276">
        <f>ROUND(AY68,0)</f>
        <v>0</v>
      </c>
      <c r="L782" s="276">
        <f>ROUND(AY69,0)</f>
        <v>1217</v>
      </c>
      <c r="M782" s="276">
        <f>ROUND(AY70,0)</f>
        <v>101307</v>
      </c>
      <c r="N782" s="276"/>
      <c r="O782" s="276"/>
      <c r="P782" s="276">
        <f>IF(AY76&gt;0,ROUND(AY76,0),0)</f>
        <v>2387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147*2021*8330*A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147*2021*8350*A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799</v>
      </c>
      <c r="H784" s="276">
        <f>ROUND(BA65,0)</f>
        <v>0</v>
      </c>
      <c r="I784" s="276">
        <f>ROUND(BA66,0)</f>
        <v>199635</v>
      </c>
      <c r="J784" s="276">
        <f>ROUND(BA67,0)</f>
        <v>5584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506</v>
      </c>
      <c r="Q784" s="276">
        <f>IF(BA77&gt;0,ROUND(BA77,0),0)</f>
        <v>0</v>
      </c>
      <c r="R784" s="276">
        <f>IF(BA78&gt;0,ROUND(BA78,0),0)</f>
        <v>457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147*2021*8360*A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147*2021*8370*A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147*2021*8420*A</v>
      </c>
      <c r="B787" s="276"/>
      <c r="C787" s="278">
        <f>ROUND(BD60,2)</f>
        <v>2</v>
      </c>
      <c r="D787" s="276">
        <f>ROUND(BD61,0)</f>
        <v>121017</v>
      </c>
      <c r="E787" s="276">
        <f>ROUND(BD62,0)</f>
        <v>37230</v>
      </c>
      <c r="F787" s="276">
        <f>ROUND(BD63,0)</f>
        <v>0</v>
      </c>
      <c r="G787" s="276">
        <f>ROUND(BD64,0)</f>
        <v>1901</v>
      </c>
      <c r="H787" s="276">
        <f>ROUND(BD65,0)</f>
        <v>0</v>
      </c>
      <c r="I787" s="276">
        <f>ROUND(BD66,0)</f>
        <v>6038</v>
      </c>
      <c r="J787" s="276">
        <f>ROUND(BD67,0)</f>
        <v>3785</v>
      </c>
      <c r="K787" s="276">
        <f>ROUND(BD68,0)</f>
        <v>0</v>
      </c>
      <c r="L787" s="276">
        <f>ROUND(BD69,0)</f>
        <v>300</v>
      </c>
      <c r="M787" s="276">
        <f>ROUND(BD70,0)</f>
        <v>0</v>
      </c>
      <c r="N787" s="276"/>
      <c r="O787" s="276"/>
      <c r="P787" s="276">
        <f>IF(BD76&gt;0,ROUND(BD76,0),0)</f>
        <v>343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147*2021*8430*A</v>
      </c>
      <c r="B788" s="276">
        <f>ROUND(BE59,0)</f>
        <v>82579</v>
      </c>
      <c r="C788" s="278">
        <f>ROUND(BE60,2)</f>
        <v>2.9</v>
      </c>
      <c r="D788" s="276">
        <f>ROUND(BE61,0)</f>
        <v>198774</v>
      </c>
      <c r="E788" s="276">
        <f>ROUND(BE62,0)</f>
        <v>54539</v>
      </c>
      <c r="F788" s="276">
        <f>ROUND(BE63,0)</f>
        <v>0</v>
      </c>
      <c r="G788" s="276">
        <f>ROUND(BE64,0)</f>
        <v>26502</v>
      </c>
      <c r="H788" s="276">
        <f>ROUND(BE65,0)</f>
        <v>345661</v>
      </c>
      <c r="I788" s="276">
        <f>ROUND(BE66,0)</f>
        <v>124615</v>
      </c>
      <c r="J788" s="276">
        <f>ROUND(BE67,0)</f>
        <v>323474</v>
      </c>
      <c r="K788" s="276">
        <f>ROUND(BE68,0)</f>
        <v>0</v>
      </c>
      <c r="L788" s="276">
        <f>ROUND(BE69,0)</f>
        <v>1790</v>
      </c>
      <c r="M788" s="276">
        <f>ROUND(BE70,0)</f>
        <v>0</v>
      </c>
      <c r="N788" s="276"/>
      <c r="O788" s="276"/>
      <c r="P788" s="276">
        <f>IF(BE76&gt;0,ROUND(BE76,0),0)</f>
        <v>24733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147*2021*8460*A</v>
      </c>
      <c r="B789" s="276"/>
      <c r="C789" s="278">
        <f>ROUND(BF60,2)</f>
        <v>11.02</v>
      </c>
      <c r="D789" s="276">
        <f>ROUND(BF61,0)</f>
        <v>421440</v>
      </c>
      <c r="E789" s="276">
        <f>ROUND(BF62,0)</f>
        <v>135321</v>
      </c>
      <c r="F789" s="276">
        <f>ROUND(BF63,0)</f>
        <v>0</v>
      </c>
      <c r="G789" s="276">
        <f>ROUND(BF64,0)</f>
        <v>38695</v>
      </c>
      <c r="H789" s="276">
        <f>ROUND(BF65,0)</f>
        <v>0</v>
      </c>
      <c r="I789" s="276">
        <f>ROUND(BF66,0)</f>
        <v>185</v>
      </c>
      <c r="J789" s="276">
        <f>ROUND(BF67,0)</f>
        <v>3863</v>
      </c>
      <c r="K789" s="276">
        <f>ROUND(BF68,0)</f>
        <v>0</v>
      </c>
      <c r="L789" s="276">
        <f>ROUND(BF69,0)</f>
        <v>1447</v>
      </c>
      <c r="M789" s="276">
        <f>ROUND(BF70,0)</f>
        <v>0</v>
      </c>
      <c r="N789" s="276"/>
      <c r="O789" s="276"/>
      <c r="P789" s="276">
        <f>IF(BF76&gt;0,ROUND(BF76,0),0)</f>
        <v>350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147*2021*8470*A</v>
      </c>
      <c r="B790" s="276"/>
      <c r="C790" s="278">
        <f>ROUND(BG60,2)</f>
        <v>0.54</v>
      </c>
      <c r="D790" s="276">
        <f>ROUND(BG61,0)</f>
        <v>33124</v>
      </c>
      <c r="E790" s="276">
        <f>ROUND(BG62,0)</f>
        <v>15205</v>
      </c>
      <c r="F790" s="276">
        <f>ROUND(BG63,0)</f>
        <v>0</v>
      </c>
      <c r="G790" s="276">
        <f>ROUND(BG64,0)</f>
        <v>22076</v>
      </c>
      <c r="H790" s="276">
        <f>ROUND(BG65,0)</f>
        <v>77102</v>
      </c>
      <c r="I790" s="276">
        <f>ROUND(BG66,0)</f>
        <v>19896</v>
      </c>
      <c r="J790" s="276">
        <f>ROUND(BG67,0)</f>
        <v>3223</v>
      </c>
      <c r="K790" s="276">
        <f>ROUND(BG68,0)</f>
        <v>1686</v>
      </c>
      <c r="L790" s="276">
        <f>ROUND(BG69,0)</f>
        <v>720</v>
      </c>
      <c r="M790" s="276">
        <f>ROUND(BG70,0)</f>
        <v>0</v>
      </c>
      <c r="N790" s="276"/>
      <c r="O790" s="276"/>
      <c r="P790" s="276">
        <f>IF(BG76&gt;0,ROUND(BG76,0),0)</f>
        <v>292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147*2021*8480*A</v>
      </c>
      <c r="B791" s="276"/>
      <c r="C791" s="278">
        <f>ROUND(BH60,2)</f>
        <v>4.4400000000000004</v>
      </c>
      <c r="D791" s="276">
        <f>ROUND(BH61,0)</f>
        <v>330081</v>
      </c>
      <c r="E791" s="276">
        <f>ROUND(BH62,0)</f>
        <v>92429</v>
      </c>
      <c r="F791" s="276">
        <f>ROUND(BH63,0)</f>
        <v>0</v>
      </c>
      <c r="G791" s="276">
        <f>ROUND(BH64,0)</f>
        <v>44611</v>
      </c>
      <c r="H791" s="276">
        <f>ROUND(BH65,0)</f>
        <v>0</v>
      </c>
      <c r="I791" s="276">
        <f>ROUND(BH66,0)</f>
        <v>320642</v>
      </c>
      <c r="J791" s="276">
        <f>ROUND(BH67,0)</f>
        <v>42235</v>
      </c>
      <c r="K791" s="276">
        <f>ROUND(BH68,0)</f>
        <v>0</v>
      </c>
      <c r="L791" s="276">
        <f>ROUND(BH69,0)</f>
        <v>7833</v>
      </c>
      <c r="M791" s="276">
        <f>ROUND(BH70,0)</f>
        <v>0</v>
      </c>
      <c r="N791" s="276"/>
      <c r="O791" s="276"/>
      <c r="P791" s="276">
        <f>IF(BH76&gt;0,ROUND(BH76,0),0)</f>
        <v>652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147*2021*8490*A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147*2021*8510*A</v>
      </c>
      <c r="B793" s="276"/>
      <c r="C793" s="278">
        <f>ROUND(BJ60,2)</f>
        <v>5.5</v>
      </c>
      <c r="D793" s="276">
        <f>ROUND(BJ61,0)</f>
        <v>503456</v>
      </c>
      <c r="E793" s="276">
        <f>ROUND(BJ62,0)</f>
        <v>118191</v>
      </c>
      <c r="F793" s="276">
        <f>ROUND(BJ63,0)</f>
        <v>75759</v>
      </c>
      <c r="G793" s="276">
        <f>ROUND(BJ64,0)</f>
        <v>13612</v>
      </c>
      <c r="H793" s="276">
        <f>ROUND(BJ65,0)</f>
        <v>0</v>
      </c>
      <c r="I793" s="276">
        <f>ROUND(BJ66,0)</f>
        <v>79846</v>
      </c>
      <c r="J793" s="276">
        <f>ROUND(BJ67,0)</f>
        <v>6787</v>
      </c>
      <c r="K793" s="276">
        <f>ROUND(BJ68,0)</f>
        <v>9807</v>
      </c>
      <c r="L793" s="276">
        <f>ROUND(BJ69,0)</f>
        <v>6206</v>
      </c>
      <c r="M793" s="276">
        <f>ROUND(BJ70,0)</f>
        <v>0</v>
      </c>
      <c r="N793" s="276"/>
      <c r="O793" s="276"/>
      <c r="P793" s="276">
        <f>IF(BJ76&gt;0,ROUND(BJ76,0),0)</f>
        <v>615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147*2021*8530*A</v>
      </c>
      <c r="B794" s="276"/>
      <c r="C794" s="278">
        <f>ROUND(BK60,2)</f>
        <v>12.37</v>
      </c>
      <c r="D794" s="276">
        <f>ROUND(BK61,0)</f>
        <v>554616</v>
      </c>
      <c r="E794" s="276">
        <f>ROUND(BK62,0)</f>
        <v>202053</v>
      </c>
      <c r="F794" s="276">
        <f>ROUND(BK63,0)</f>
        <v>72810</v>
      </c>
      <c r="G794" s="276">
        <f>ROUND(BK64,0)</f>
        <v>21599</v>
      </c>
      <c r="H794" s="276">
        <f>ROUND(BK65,0)</f>
        <v>0</v>
      </c>
      <c r="I794" s="276">
        <f>ROUND(BK66,0)</f>
        <v>184103</v>
      </c>
      <c r="J794" s="276">
        <f>ROUND(BK67,0)</f>
        <v>19347</v>
      </c>
      <c r="K794" s="276">
        <f>ROUND(BK68,0)</f>
        <v>16198</v>
      </c>
      <c r="L794" s="276">
        <f>ROUND(BK69,0)</f>
        <v>1040</v>
      </c>
      <c r="M794" s="276">
        <f>ROUND(BK70,0)</f>
        <v>0</v>
      </c>
      <c r="N794" s="276"/>
      <c r="O794" s="276"/>
      <c r="P794" s="276">
        <f>IF(BK76&gt;0,ROUND(BK76,0),0)</f>
        <v>1753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147*2021*8560*A</v>
      </c>
      <c r="B795" s="276"/>
      <c r="C795" s="278">
        <f>ROUND(BL60,2)</f>
        <v>4.9800000000000004</v>
      </c>
      <c r="D795" s="276">
        <f>ROUND(BL61,0)</f>
        <v>192319</v>
      </c>
      <c r="E795" s="276">
        <f>ROUND(BL62,0)</f>
        <v>66297</v>
      </c>
      <c r="F795" s="276">
        <f>ROUND(BL63,0)</f>
        <v>0</v>
      </c>
      <c r="G795" s="276">
        <f>ROUND(BL64,0)</f>
        <v>10781</v>
      </c>
      <c r="H795" s="276">
        <f>ROUND(BL65,0)</f>
        <v>0</v>
      </c>
      <c r="I795" s="276">
        <f>ROUND(BL66,0)</f>
        <v>6038</v>
      </c>
      <c r="J795" s="276">
        <f>ROUND(BL67,0)</f>
        <v>2781</v>
      </c>
      <c r="K795" s="276">
        <f>ROUND(BL68,0)</f>
        <v>990</v>
      </c>
      <c r="L795" s="276">
        <f>ROUND(BL69,0)</f>
        <v>579</v>
      </c>
      <c r="M795" s="276">
        <f>ROUND(BL70,0)</f>
        <v>0</v>
      </c>
      <c r="N795" s="276"/>
      <c r="O795" s="276"/>
      <c r="P795" s="276">
        <f>IF(BL76&gt;0,ROUND(BL76,0),0)</f>
        <v>252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147*2021*8590*A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147*2021*8610*A</v>
      </c>
      <c r="B797" s="276"/>
      <c r="C797" s="278">
        <f>ROUND(BN60,2)</f>
        <v>4.43</v>
      </c>
      <c r="D797" s="276">
        <f>ROUND(BN61,0)</f>
        <v>681121</v>
      </c>
      <c r="E797" s="276">
        <f>ROUND(BN62,0)</f>
        <v>131270</v>
      </c>
      <c r="F797" s="276">
        <f>ROUND(BN63,0)</f>
        <v>27498</v>
      </c>
      <c r="G797" s="276">
        <f>ROUND(BN64,0)</f>
        <v>4022</v>
      </c>
      <c r="H797" s="276">
        <f>ROUND(BN65,0)</f>
        <v>105</v>
      </c>
      <c r="I797" s="276">
        <f>ROUND(BN66,0)</f>
        <v>129114</v>
      </c>
      <c r="J797" s="276">
        <f>ROUND(BN67,0)</f>
        <v>8807</v>
      </c>
      <c r="K797" s="276">
        <f>ROUND(BN68,0)</f>
        <v>6821</v>
      </c>
      <c r="L797" s="276">
        <f>ROUND(BN69,0)</f>
        <v>79114</v>
      </c>
      <c r="M797" s="276">
        <f>ROUND(BN70,0)</f>
        <v>0</v>
      </c>
      <c r="N797" s="276"/>
      <c r="O797" s="276"/>
      <c r="P797" s="276">
        <f>IF(BN76&gt;0,ROUND(BN76,0),0)</f>
        <v>798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147*2021*8620*A</v>
      </c>
      <c r="B798" s="276"/>
      <c r="C798" s="278">
        <f>ROUND(BO60,2)</f>
        <v>3.25</v>
      </c>
      <c r="D798" s="276">
        <f>ROUND(BO61,0)</f>
        <v>192645</v>
      </c>
      <c r="E798" s="276">
        <f>ROUND(BO62,0)</f>
        <v>52513</v>
      </c>
      <c r="F798" s="276">
        <f>ROUND(BO63,0)</f>
        <v>0</v>
      </c>
      <c r="G798" s="276">
        <f>ROUND(BO64,0)</f>
        <v>19504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1193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147*2021*8630*A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147*2021*8640*A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147*2021*8650*A</v>
      </c>
      <c r="B801" s="276"/>
      <c r="C801" s="278">
        <f>ROUND(BR60,2)</f>
        <v>2</v>
      </c>
      <c r="D801" s="276">
        <f>ROUND(BR61,0)</f>
        <v>192801</v>
      </c>
      <c r="E801" s="276">
        <f>ROUND(BR62,0)</f>
        <v>46091</v>
      </c>
      <c r="F801" s="276">
        <f>ROUND(BR63,0)</f>
        <v>7525</v>
      </c>
      <c r="G801" s="276">
        <f>ROUND(BR64,0)</f>
        <v>1121</v>
      </c>
      <c r="H801" s="276">
        <f>ROUND(BR65,0)</f>
        <v>0</v>
      </c>
      <c r="I801" s="276">
        <f>ROUND(BR66,0)</f>
        <v>10663</v>
      </c>
      <c r="J801" s="276">
        <f>ROUND(BR67,0)</f>
        <v>3565</v>
      </c>
      <c r="K801" s="276">
        <f>ROUND(BR68,0)</f>
        <v>0</v>
      </c>
      <c r="L801" s="276">
        <f>ROUND(BR69,0)</f>
        <v>55356</v>
      </c>
      <c r="M801" s="276">
        <f>ROUND(BR70,0)</f>
        <v>0</v>
      </c>
      <c r="N801" s="276"/>
      <c r="O801" s="276"/>
      <c r="P801" s="276">
        <f>IF(BR76&gt;0,ROUND(BR76,0),0)</f>
        <v>323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147*2021*8660*A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147*2021*8670*A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147*2021*8680*A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147*2021*8690*A</v>
      </c>
      <c r="B805" s="276"/>
      <c r="C805" s="278">
        <f>ROUND(BV60,2)</f>
        <v>7.91</v>
      </c>
      <c r="D805" s="276">
        <f>ROUND(BV61,0)</f>
        <v>403709</v>
      </c>
      <c r="E805" s="276">
        <f>ROUND(BV62,0)</f>
        <v>132073</v>
      </c>
      <c r="F805" s="276">
        <f>ROUND(BV63,0)</f>
        <v>0</v>
      </c>
      <c r="G805" s="276">
        <f>ROUND(BV64,0)</f>
        <v>1250</v>
      </c>
      <c r="H805" s="276">
        <f>ROUND(BV65,0)</f>
        <v>0</v>
      </c>
      <c r="I805" s="276">
        <f>ROUND(BV66,0)</f>
        <v>56478</v>
      </c>
      <c r="J805" s="276">
        <f>ROUND(BV67,0)</f>
        <v>16789</v>
      </c>
      <c r="K805" s="276">
        <f>ROUND(BV68,0)</f>
        <v>1544</v>
      </c>
      <c r="L805" s="276">
        <f>ROUND(BV69,0)</f>
        <v>201</v>
      </c>
      <c r="M805" s="276">
        <f>ROUND(BV70,0)</f>
        <v>10294</v>
      </c>
      <c r="N805" s="276"/>
      <c r="O805" s="276"/>
      <c r="P805" s="276">
        <f>IF(BV76&gt;0,ROUND(BV76,0),0)</f>
        <v>1508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147*2021*8700*A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147*2021*8710*A</v>
      </c>
      <c r="B807" s="276"/>
      <c r="C807" s="278">
        <f>ROUND(BX60,2)</f>
        <v>1.0900000000000001</v>
      </c>
      <c r="D807" s="276">
        <f>ROUND(BX61,0)</f>
        <v>85655</v>
      </c>
      <c r="E807" s="276">
        <f>ROUND(BX62,0)</f>
        <v>21918</v>
      </c>
      <c r="F807" s="276">
        <f>ROUND(BX63,0)</f>
        <v>0</v>
      </c>
      <c r="G807" s="276">
        <f>ROUND(BX64,0)</f>
        <v>215</v>
      </c>
      <c r="H807" s="276">
        <f>ROUND(BX65,0)</f>
        <v>0</v>
      </c>
      <c r="I807" s="276">
        <f>ROUND(BX66,0)</f>
        <v>1510</v>
      </c>
      <c r="J807" s="276">
        <f>ROUND(BX67,0)</f>
        <v>0</v>
      </c>
      <c r="K807" s="276">
        <f>ROUND(BX68,0)</f>
        <v>0</v>
      </c>
      <c r="L807" s="276">
        <f>ROUND(BX69,0)</f>
        <v>4730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147*2021*8720*A</v>
      </c>
      <c r="B808" s="276"/>
      <c r="C808" s="278">
        <f>ROUND(BY60,2)</f>
        <v>2.2200000000000002</v>
      </c>
      <c r="D808" s="276">
        <f>ROUND(BY61,0)</f>
        <v>261757</v>
      </c>
      <c r="E808" s="276">
        <f>ROUND(BY62,0)</f>
        <v>57773</v>
      </c>
      <c r="F808" s="276">
        <f>ROUND(BY63,0)</f>
        <v>0</v>
      </c>
      <c r="G808" s="276">
        <f>ROUND(BY64,0)</f>
        <v>250</v>
      </c>
      <c r="H808" s="276">
        <f>ROUND(BY65,0)</f>
        <v>0</v>
      </c>
      <c r="I808" s="276">
        <f>ROUND(BY66,0)</f>
        <v>1077</v>
      </c>
      <c r="J808" s="276">
        <f>ROUND(BY67,0)</f>
        <v>4834</v>
      </c>
      <c r="K808" s="276">
        <f>ROUND(BY68,0)</f>
        <v>0</v>
      </c>
      <c r="L808" s="276">
        <f>ROUND(BY69,0)</f>
        <v>-113</v>
      </c>
      <c r="M808" s="276">
        <f>ROUND(BY70,0)</f>
        <v>0</v>
      </c>
      <c r="N808" s="276"/>
      <c r="O808" s="276"/>
      <c r="P808" s="276">
        <f>IF(BY76&gt;0,ROUND(BY76,0),0)</f>
        <v>438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147*2021*8730*A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147*2021*8740*A</v>
      </c>
      <c r="B810" s="276"/>
      <c r="C810" s="278">
        <f>ROUND(CA60,2)</f>
        <v>0.01</v>
      </c>
      <c r="D810" s="276">
        <f>ROUND(CA61,0)</f>
        <v>1103</v>
      </c>
      <c r="E810" s="276">
        <f>ROUND(CA62,0)</f>
        <v>229</v>
      </c>
      <c r="F810" s="276">
        <f>ROUND(CA63,0)</f>
        <v>0</v>
      </c>
      <c r="G810" s="276">
        <f>ROUND(CA64,0)</f>
        <v>20408</v>
      </c>
      <c r="H810" s="276">
        <f>ROUND(CA65,0)</f>
        <v>0</v>
      </c>
      <c r="I810" s="276">
        <f>ROUND(CA66,0)</f>
        <v>44679</v>
      </c>
      <c r="J810" s="276">
        <f>ROUND(CA67,0)</f>
        <v>35347</v>
      </c>
      <c r="K810" s="276">
        <f>ROUND(CA68,0)</f>
        <v>0</v>
      </c>
      <c r="L810" s="276">
        <f>ROUND(CA69,0)</f>
        <v>4804</v>
      </c>
      <c r="M810" s="276">
        <f>ROUND(CA70,0)</f>
        <v>1325</v>
      </c>
      <c r="N810" s="276"/>
      <c r="O810" s="276"/>
      <c r="P810" s="276">
        <f>IF(CA76&gt;0,ROUND(CA76,0),0)</f>
        <v>2838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147*2021*8770*A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147*2021*8790*A</v>
      </c>
      <c r="B812" s="276"/>
      <c r="C812" s="278">
        <f>ROUND(CC60,2)</f>
        <v>0.09</v>
      </c>
      <c r="D812" s="276">
        <f>ROUND(CC61,0)</f>
        <v>24411</v>
      </c>
      <c r="E812" s="276">
        <f>ROUND(CC62,0)</f>
        <v>2098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147*2021*9000*A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689592</v>
      </c>
      <c r="V813" s="277">
        <f>ROUND(CD70,0)</f>
        <v>219977</v>
      </c>
      <c r="W813" s="276">
        <f>ROUND(CE72,0)</f>
        <v>1080075</v>
      </c>
      <c r="X813" s="276">
        <f>ROUND(C131,0)</f>
        <v>167483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217.84</v>
      </c>
      <c r="D815" s="277">
        <f t="shared" si="22"/>
        <v>18053147</v>
      </c>
      <c r="E815" s="277">
        <f t="shared" si="22"/>
        <v>4216382</v>
      </c>
      <c r="F815" s="277">
        <f t="shared" si="22"/>
        <v>5337531</v>
      </c>
      <c r="G815" s="277">
        <f t="shared" si="22"/>
        <v>5745151</v>
      </c>
      <c r="H815" s="277">
        <f t="shared" si="22"/>
        <v>472683</v>
      </c>
      <c r="I815" s="277">
        <f t="shared" si="22"/>
        <v>2655960</v>
      </c>
      <c r="J815" s="277">
        <f t="shared" si="22"/>
        <v>2121449</v>
      </c>
      <c r="K815" s="277">
        <f t="shared" si="22"/>
        <v>268383</v>
      </c>
      <c r="L815" s="277">
        <f>SUM(L734:L813)+SUM(U734:U813)</f>
        <v>1158674</v>
      </c>
      <c r="M815" s="277">
        <f>SUM(M734:M813)+SUM(V734:V813)</f>
        <v>817589</v>
      </c>
      <c r="N815" s="277">
        <f t="shared" ref="N815:Y815" si="23">SUM(N734:N813)</f>
        <v>85468964</v>
      </c>
      <c r="O815" s="277">
        <f t="shared" si="23"/>
        <v>13501349</v>
      </c>
      <c r="P815" s="277">
        <f t="shared" si="23"/>
        <v>82579</v>
      </c>
      <c r="Q815" s="277">
        <f t="shared" si="23"/>
        <v>10306</v>
      </c>
      <c r="R815" s="277">
        <f t="shared" si="23"/>
        <v>18669</v>
      </c>
      <c r="S815" s="277">
        <f t="shared" si="23"/>
        <v>188123</v>
      </c>
      <c r="T815" s="281">
        <f t="shared" si="23"/>
        <v>44.25</v>
      </c>
      <c r="U815" s="277">
        <f t="shared" si="23"/>
        <v>689592</v>
      </c>
      <c r="V815" s="277">
        <f t="shared" si="23"/>
        <v>219977</v>
      </c>
      <c r="W815" s="277">
        <f t="shared" si="23"/>
        <v>1080075</v>
      </c>
      <c r="X815" s="277">
        <f t="shared" si="23"/>
        <v>167483</v>
      </c>
      <c r="Y815" s="277">
        <f t="shared" si="23"/>
        <v>9066470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217.84200000000001</v>
      </c>
      <c r="D816" s="277">
        <f>CE61</f>
        <v>18053147.889999997</v>
      </c>
      <c r="E816" s="277">
        <f>CE62</f>
        <v>4216382</v>
      </c>
      <c r="F816" s="277">
        <f>CE63</f>
        <v>5337530.0599999996</v>
      </c>
      <c r="G816" s="277">
        <f>CE64</f>
        <v>5745148.8300000001</v>
      </c>
      <c r="H816" s="280">
        <f>CE65</f>
        <v>472682.81</v>
      </c>
      <c r="I816" s="280">
        <f>CE66</f>
        <v>2655962.1200000006</v>
      </c>
      <c r="J816" s="280">
        <f>CE67</f>
        <v>2121449</v>
      </c>
      <c r="K816" s="280">
        <f>CE68</f>
        <v>268381.41000000003</v>
      </c>
      <c r="L816" s="280">
        <f>CE69</f>
        <v>1158671.6499999999</v>
      </c>
      <c r="M816" s="280">
        <f>CE70</f>
        <v>817589.73300000001</v>
      </c>
      <c r="N816" s="277">
        <f>CE75</f>
        <v>85468963.310000002</v>
      </c>
      <c r="O816" s="277">
        <f>CE73</f>
        <v>13501349.460000001</v>
      </c>
      <c r="P816" s="277">
        <f>CE76</f>
        <v>82579</v>
      </c>
      <c r="Q816" s="277">
        <f>CE77</f>
        <v>10306</v>
      </c>
      <c r="R816" s="277">
        <f>CE78</f>
        <v>18668.63</v>
      </c>
      <c r="S816" s="277">
        <f>CE79</f>
        <v>188123</v>
      </c>
      <c r="T816" s="281">
        <f>CE80</f>
        <v>44.25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9066468.7300000004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18053147.969999999</v>
      </c>
      <c r="E817" s="180">
        <f>C379</f>
        <v>4216384.6500000004</v>
      </c>
      <c r="F817" s="180">
        <f>C380</f>
        <v>5337530</v>
      </c>
      <c r="G817" s="240">
        <f>C381</f>
        <v>5745149</v>
      </c>
      <c r="H817" s="240">
        <f>C382</f>
        <v>472683</v>
      </c>
      <c r="I817" s="240">
        <f>C383</f>
        <v>2655962</v>
      </c>
      <c r="J817" s="240">
        <f>C384</f>
        <v>2105373</v>
      </c>
      <c r="K817" s="240">
        <f>C385</f>
        <v>268381.40999999997</v>
      </c>
      <c r="L817" s="240">
        <f>C386+C387+C388+C389</f>
        <v>1454054.92</v>
      </c>
      <c r="M817" s="240">
        <f>C370</f>
        <v>817590.17</v>
      </c>
      <c r="N817" s="180">
        <f>D361</f>
        <v>85468963</v>
      </c>
      <c r="O817" s="180">
        <f>C359</f>
        <v>13501349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" transitionEvaluation="1" transitionEntry="1" codeName="Sheet10">
    <pageSetUpPr autoPageBreaks="0" fitToPage="1"/>
  </sheetPr>
  <dimension ref="A1:CF816"/>
  <sheetViews>
    <sheetView showGridLines="0" topLeftCell="A34" zoomScale="75" workbookViewId="0">
      <selection activeCell="CA79" sqref="CA79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>
        <v>3949360.79</v>
      </c>
      <c r="C47" s="300"/>
      <c r="D47" s="300"/>
      <c r="E47" s="300">
        <v>484861.82</v>
      </c>
      <c r="F47" s="300">
        <v>29398.87</v>
      </c>
      <c r="G47" s="300"/>
      <c r="H47" s="300"/>
      <c r="I47" s="300"/>
      <c r="J47" s="300"/>
      <c r="K47" s="300"/>
      <c r="L47" s="300"/>
      <c r="M47" s="300"/>
      <c r="N47" s="300"/>
      <c r="O47" s="300">
        <v>151544.85</v>
      </c>
      <c r="P47" s="300">
        <v>197314.44</v>
      </c>
      <c r="Q47" s="300">
        <v>121520.34</v>
      </c>
      <c r="R47" s="300">
        <v>0</v>
      </c>
      <c r="S47" s="300">
        <v>28811.26</v>
      </c>
      <c r="T47" s="300"/>
      <c r="U47" s="300">
        <v>149359.82</v>
      </c>
      <c r="V47" s="300"/>
      <c r="W47" s="300"/>
      <c r="X47" s="300"/>
      <c r="Y47" s="300">
        <v>190751.11</v>
      </c>
      <c r="Z47" s="300"/>
      <c r="AA47" s="300"/>
      <c r="AB47" s="300">
        <v>43746.14</v>
      </c>
      <c r="AC47" s="300">
        <v>60150.1</v>
      </c>
      <c r="AD47" s="300"/>
      <c r="AE47" s="300">
        <v>133425.12</v>
      </c>
      <c r="AF47" s="300">
        <v>0</v>
      </c>
      <c r="AG47" s="300">
        <v>308942.88</v>
      </c>
      <c r="AH47" s="300"/>
      <c r="AI47" s="300"/>
      <c r="AJ47" s="300"/>
      <c r="AK47" s="300"/>
      <c r="AL47" s="300"/>
      <c r="AM47" s="300"/>
      <c r="AN47" s="300"/>
      <c r="AO47" s="300"/>
      <c r="AP47" s="300">
        <v>836376.83</v>
      </c>
      <c r="AQ47" s="300"/>
      <c r="AR47" s="300"/>
      <c r="AS47" s="300"/>
      <c r="AT47" s="300"/>
      <c r="AU47" s="300"/>
      <c r="AV47" s="300"/>
      <c r="AW47" s="300"/>
      <c r="AX47" s="300"/>
      <c r="AY47" s="300">
        <v>97474.66</v>
      </c>
      <c r="AZ47" s="300"/>
      <c r="BA47" s="300"/>
      <c r="BB47" s="300"/>
      <c r="BC47" s="300"/>
      <c r="BD47" s="300">
        <v>35694.43</v>
      </c>
      <c r="BE47" s="300">
        <v>55816.5</v>
      </c>
      <c r="BF47" s="300">
        <v>125629.13</v>
      </c>
      <c r="BG47" s="300">
        <v>16340.15</v>
      </c>
      <c r="BH47" s="300">
        <v>81816.759999999995</v>
      </c>
      <c r="BI47" s="300"/>
      <c r="BJ47" s="300">
        <v>106822.74</v>
      </c>
      <c r="BK47" s="300">
        <v>205122.53</v>
      </c>
      <c r="BL47" s="300">
        <v>92486.71</v>
      </c>
      <c r="BM47" s="300"/>
      <c r="BN47" s="300">
        <v>117262.95</v>
      </c>
      <c r="BO47" s="300">
        <v>38298.1</v>
      </c>
      <c r="BP47" s="300"/>
      <c r="BQ47" s="300"/>
      <c r="BR47" s="300">
        <v>44482.34</v>
      </c>
      <c r="BS47" s="300"/>
      <c r="BT47" s="300"/>
      <c r="BU47" s="300"/>
      <c r="BV47" s="300">
        <v>115112.07</v>
      </c>
      <c r="BW47" s="300"/>
      <c r="BX47" s="300">
        <v>21663.46</v>
      </c>
      <c r="BY47" s="300">
        <v>56055.73</v>
      </c>
      <c r="BZ47" s="300"/>
      <c r="CA47" s="300">
        <v>881.9</v>
      </c>
      <c r="CB47" s="300"/>
      <c r="CC47" s="300">
        <v>2197.0500000000002</v>
      </c>
      <c r="CD47" s="295"/>
      <c r="CE47" s="295">
        <f>SUM(C47:CC47)</f>
        <v>3949360.7899999991</v>
      </c>
      <c r="CF47" s="2"/>
    </row>
    <row r="48" spans="1:84" ht="12.65" customHeight="1" x14ac:dyDescent="0.3">
      <c r="A48" s="295" t="s">
        <v>205</v>
      </c>
      <c r="B48" s="299">
        <v>560.61</v>
      </c>
      <c r="C48" s="301">
        <f>ROUND(((B48/CE61)*C61),0)</f>
        <v>0</v>
      </c>
      <c r="D48" s="301">
        <f>ROUND(((B48/CE61)*D61),0)</f>
        <v>0</v>
      </c>
      <c r="E48" s="295">
        <f>ROUND(((B48/CE61)*E61),0)</f>
        <v>69</v>
      </c>
      <c r="F48" s="295">
        <f>ROUND(((B48/CE61)*F61),0)</f>
        <v>8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22</v>
      </c>
      <c r="P48" s="295">
        <f>ROUND(((B48/CE61)*P61),0)</f>
        <v>27</v>
      </c>
      <c r="Q48" s="295">
        <f>ROUND(((B48/CE61)*Q61),0)</f>
        <v>18</v>
      </c>
      <c r="R48" s="295">
        <f>ROUND(((B48/CE61)*R61),0)</f>
        <v>0</v>
      </c>
      <c r="S48" s="295">
        <f>ROUND(((B48/CE61)*S61),0)</f>
        <v>2</v>
      </c>
      <c r="T48" s="295">
        <f>ROUND(((B48/CE61)*T61),0)</f>
        <v>0</v>
      </c>
      <c r="U48" s="295">
        <f>ROUND(((B48/CE61)*U61),0)</f>
        <v>19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27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7</v>
      </c>
      <c r="AC48" s="295">
        <f>ROUND(((B48/CE61)*AC61),0)</f>
        <v>8</v>
      </c>
      <c r="AD48" s="295">
        <f>ROUND(((B48/CE61)*AD61),0)</f>
        <v>0</v>
      </c>
      <c r="AE48" s="295">
        <f>ROUND(((B48/CE61)*AE61),0)</f>
        <v>15</v>
      </c>
      <c r="AF48" s="295">
        <f>ROUND(((B48/CE61)*AF61),0)</f>
        <v>0</v>
      </c>
      <c r="AG48" s="295">
        <f>ROUND(((B48/CE61)*AG61),0)</f>
        <v>47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151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10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4</v>
      </c>
      <c r="BE48" s="295">
        <f>ROUND(((B48/CE61)*BE61),0)</f>
        <v>7</v>
      </c>
      <c r="BF48" s="295">
        <f>ROUND(((B48/CE61)*BF61),0)</f>
        <v>11</v>
      </c>
      <c r="BG48" s="295">
        <f>ROUND(((B48/CE61)*BG61),0)</f>
        <v>1</v>
      </c>
      <c r="BH48" s="295">
        <f>ROUND(((B48/CE61)*BH61),0)</f>
        <v>10</v>
      </c>
      <c r="BI48" s="295">
        <f>ROUND(((B48/CE61)*BI61),0)</f>
        <v>0</v>
      </c>
      <c r="BJ48" s="295">
        <f>ROUND(((B48/CE61)*BJ61),0)</f>
        <v>16</v>
      </c>
      <c r="BK48" s="295">
        <f>ROUND(((B48/CE61)*BK61),0)</f>
        <v>18</v>
      </c>
      <c r="BL48" s="295">
        <f>ROUND(((B48/CE61)*BL61),0)</f>
        <v>5</v>
      </c>
      <c r="BM48" s="295">
        <f>ROUND(((B48/CE61)*BM61),0)</f>
        <v>0</v>
      </c>
      <c r="BN48" s="295">
        <f>ROUND(((B48/CE61)*BN61),0)</f>
        <v>22</v>
      </c>
      <c r="BO48" s="295">
        <f>ROUND(((B48/CE61)*BO61),0)</f>
        <v>9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6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13</v>
      </c>
      <c r="BW48" s="295">
        <f>ROUND(((B48/CE61)*BW61),0)</f>
        <v>0</v>
      </c>
      <c r="BX48" s="295">
        <f>ROUND(((B48/CE61)*BX61),0)</f>
        <v>3</v>
      </c>
      <c r="BY48" s="295">
        <f>ROUND(((B48/CE61)*BY61),0)</f>
        <v>7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1</v>
      </c>
      <c r="CD48" s="295"/>
      <c r="CE48" s="295">
        <f>SUM(C48:CD48)</f>
        <v>563</v>
      </c>
      <c r="CF48" s="2"/>
    </row>
    <row r="49" spans="1:84" ht="12.65" customHeight="1" x14ac:dyDescent="0.3">
      <c r="A49" s="295" t="s">
        <v>206</v>
      </c>
      <c r="B49" s="295">
        <f>B47+B48</f>
        <v>3949921.4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>
        <v>1133585</v>
      </c>
      <c r="C51" s="300"/>
      <c r="D51" s="300"/>
      <c r="E51" s="300">
        <v>39667</v>
      </c>
      <c r="F51" s="300"/>
      <c r="G51" s="300"/>
      <c r="H51" s="300"/>
      <c r="I51" s="300"/>
      <c r="J51" s="300">
        <v>659</v>
      </c>
      <c r="K51" s="300"/>
      <c r="L51" s="300"/>
      <c r="M51" s="300"/>
      <c r="N51" s="300"/>
      <c r="O51" s="300">
        <v>14042</v>
      </c>
      <c r="P51" s="300">
        <v>281134</v>
      </c>
      <c r="Q51" s="300">
        <v>14014</v>
      </c>
      <c r="R51" s="300"/>
      <c r="S51" s="300">
        <v>687</v>
      </c>
      <c r="T51" s="300"/>
      <c r="U51" s="300">
        <v>30019</v>
      </c>
      <c r="V51" s="300"/>
      <c r="W51" s="300"/>
      <c r="X51" s="300"/>
      <c r="Y51" s="300">
        <v>452939</v>
      </c>
      <c r="Z51" s="300"/>
      <c r="AA51" s="300"/>
      <c r="AB51" s="300"/>
      <c r="AC51" s="300">
        <v>1175</v>
      </c>
      <c r="AD51" s="300"/>
      <c r="AE51" s="300"/>
      <c r="AF51" s="300"/>
      <c r="AG51" s="300">
        <v>142094.72</v>
      </c>
      <c r="AH51" s="300"/>
      <c r="AI51" s="300"/>
      <c r="AJ51" s="300"/>
      <c r="AK51" s="300"/>
      <c r="AL51" s="300"/>
      <c r="AM51" s="300"/>
      <c r="AN51" s="300"/>
      <c r="AO51" s="300"/>
      <c r="AP51" s="300">
        <v>46773</v>
      </c>
      <c r="AQ51" s="300"/>
      <c r="AR51" s="300"/>
      <c r="AS51" s="300"/>
      <c r="AT51" s="300"/>
      <c r="AU51" s="300"/>
      <c r="AV51" s="300"/>
      <c r="AW51" s="300"/>
      <c r="AX51" s="300"/>
      <c r="AY51" s="300">
        <v>6991</v>
      </c>
      <c r="AZ51" s="300"/>
      <c r="BA51" s="300"/>
      <c r="BB51" s="300"/>
      <c r="BC51" s="300"/>
      <c r="BD51" s="300"/>
      <c r="BE51" s="300">
        <f>15291.48+33340.06</f>
        <v>48631.539999999994</v>
      </c>
      <c r="BF51" s="300">
        <v>0</v>
      </c>
      <c r="BG51" s="300"/>
      <c r="BH51" s="300">
        <v>40802</v>
      </c>
      <c r="BI51" s="300"/>
      <c r="BJ51" s="300">
        <v>9507</v>
      </c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>
        <v>412</v>
      </c>
      <c r="BW51" s="300"/>
      <c r="BX51" s="300"/>
      <c r="BY51" s="300"/>
      <c r="BZ51" s="300"/>
      <c r="CA51" s="300">
        <v>4037</v>
      </c>
      <c r="CB51" s="300"/>
      <c r="CC51" s="300"/>
      <c r="CD51" s="295"/>
      <c r="CE51" s="295">
        <f>SUM(C51:CD51)</f>
        <v>1133584.26</v>
      </c>
      <c r="CF51" s="2"/>
    </row>
    <row r="52" spans="1:84" ht="12.65" customHeight="1" x14ac:dyDescent="0.3">
      <c r="A52" s="302" t="s">
        <v>208</v>
      </c>
      <c r="B52" s="300">
        <v>898349.98</v>
      </c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69634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1545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19190</v>
      </c>
      <c r="P52" s="295">
        <f>ROUND((B52/(CE76+CF76)*P76),0)</f>
        <v>44983</v>
      </c>
      <c r="Q52" s="295">
        <f>ROUND((B52/(CE76+CF76)*Q76),0)</f>
        <v>13174</v>
      </c>
      <c r="R52" s="295">
        <f>ROUND((B52/(CE76+CF76)*R76),0)</f>
        <v>0</v>
      </c>
      <c r="S52" s="295">
        <f>ROUND((B52/(CE76+CF76)*S76),0)</f>
        <v>17710</v>
      </c>
      <c r="T52" s="295">
        <f>ROUND((B52/(CE76+CF76)*T76),0)</f>
        <v>0</v>
      </c>
      <c r="U52" s="295">
        <f>ROUND((B52/(CE76+CF76)*U76),0)</f>
        <v>13196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58168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6397</v>
      </c>
      <c r="AC52" s="295">
        <f>ROUND((B52/(CE76+CF76)*AC76),0)</f>
        <v>4286</v>
      </c>
      <c r="AD52" s="295">
        <f>ROUND((B52/(CE76+CF76)*AD76),0)</f>
        <v>0</v>
      </c>
      <c r="AE52" s="295">
        <f>ROUND((B52/(CE76+CF76)*AE76),0)</f>
        <v>32027</v>
      </c>
      <c r="AF52" s="295">
        <f>ROUND((B52/(CE76+CF76)*AF76),0)</f>
        <v>0</v>
      </c>
      <c r="AG52" s="295">
        <f>ROUND((B52/(CE76+CF76)*AG76),0)</f>
        <v>39174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171111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25576</v>
      </c>
      <c r="AZ52" s="295">
        <f>ROUND((B52/(CE76+CF76)*AZ76),0)</f>
        <v>0</v>
      </c>
      <c r="BA52" s="295">
        <f>ROUND((B52/(CE76+CF76)*BA76),0)</f>
        <v>5505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3731</v>
      </c>
      <c r="BE52" s="295">
        <f>ROUND((B52/(CE76+CF76)*BE76),0)</f>
        <v>269062</v>
      </c>
      <c r="BF52" s="295">
        <f>ROUND((B52/(CE76+CF76)*BF76),0)</f>
        <v>3808</v>
      </c>
      <c r="BG52" s="295">
        <f>ROUND((B52/(CE76+CF76)*BG76),0)</f>
        <v>3177</v>
      </c>
      <c r="BH52" s="295">
        <f>ROUND((B52/(CE76+CF76)*BH76),0)</f>
        <v>7093</v>
      </c>
      <c r="BI52" s="295">
        <f>ROUND((B52/(CE76+CF76)*BI76),0)</f>
        <v>0</v>
      </c>
      <c r="BJ52" s="295">
        <f>ROUND((B52/(CE76+CF76)*BJ76),0)</f>
        <v>6690</v>
      </c>
      <c r="BK52" s="295">
        <f>ROUND((B52/(CE76+CF76)*BK76),0)</f>
        <v>19070</v>
      </c>
      <c r="BL52" s="295">
        <f>ROUND((B52/(CE76+CF76)*BL76),0)</f>
        <v>2741</v>
      </c>
      <c r="BM52" s="295">
        <f>ROUND((B52/(CE76+CF76)*BM76),0)</f>
        <v>0</v>
      </c>
      <c r="BN52" s="295">
        <f>ROUND((B52/(CE76+CF76)*BN76),0)</f>
        <v>7626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3514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16405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2883</v>
      </c>
      <c r="BZ52" s="295">
        <f>ROUND((B52/(CE76+CF76)*BZ76),0)</f>
        <v>0</v>
      </c>
      <c r="CA52" s="295">
        <f>ROUND((B52/(CE76+CF76)*CA76),0)</f>
        <v>30874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898350</v>
      </c>
      <c r="CF52" s="2"/>
    </row>
    <row r="53" spans="1:84" ht="12.65" customHeight="1" x14ac:dyDescent="0.3">
      <c r="A53" s="295" t="s">
        <v>206</v>
      </c>
      <c r="B53" s="295">
        <f>B51+B52</f>
        <v>2031934.98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300"/>
      <c r="D59" s="300"/>
      <c r="E59" s="300">
        <v>1734</v>
      </c>
      <c r="F59" s="300"/>
      <c r="G59" s="300"/>
      <c r="H59" s="300"/>
      <c r="I59" s="300"/>
      <c r="J59" s="300">
        <v>377</v>
      </c>
      <c r="K59" s="300"/>
      <c r="L59" s="300"/>
      <c r="M59" s="300"/>
      <c r="N59" s="300"/>
      <c r="O59" s="300">
        <v>266</v>
      </c>
      <c r="P59" s="306">
        <v>105339</v>
      </c>
      <c r="Q59" s="306">
        <v>118412</v>
      </c>
      <c r="R59" s="306">
        <v>117096</v>
      </c>
      <c r="S59" s="248"/>
      <c r="T59" s="248"/>
      <c r="U59" s="307">
        <v>78116</v>
      </c>
      <c r="V59" s="306">
        <v>2196</v>
      </c>
      <c r="W59" s="306"/>
      <c r="X59" s="306"/>
      <c r="Y59" s="306">
        <v>15720</v>
      </c>
      <c r="Z59" s="306"/>
      <c r="AA59" s="306"/>
      <c r="AB59" s="248"/>
      <c r="AC59" s="306">
        <v>2938</v>
      </c>
      <c r="AD59" s="306"/>
      <c r="AE59" s="306">
        <v>10175</v>
      </c>
      <c r="AF59" s="306"/>
      <c r="AG59" s="306">
        <v>8307</v>
      </c>
      <c r="AH59" s="306"/>
      <c r="AI59" s="306"/>
      <c r="AJ59" s="306"/>
      <c r="AK59" s="306"/>
      <c r="AL59" s="306"/>
      <c r="AM59" s="306"/>
      <c r="AN59" s="306"/>
      <c r="AO59" s="306"/>
      <c r="AP59" s="306">
        <v>19595</v>
      </c>
      <c r="AQ59" s="306"/>
      <c r="AR59" s="306"/>
      <c r="AS59" s="306"/>
      <c r="AT59" s="306"/>
      <c r="AU59" s="306"/>
      <c r="AV59" s="248"/>
      <c r="AW59" s="248"/>
      <c r="AX59" s="248"/>
      <c r="AY59" s="306">
        <v>8264</v>
      </c>
      <c r="AZ59" s="306"/>
      <c r="BA59" s="248"/>
      <c r="BB59" s="248"/>
      <c r="BC59" s="248"/>
      <c r="BD59" s="248"/>
      <c r="BE59" s="306">
        <v>82579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">
      <c r="A60" s="308" t="s">
        <v>234</v>
      </c>
      <c r="B60" s="295"/>
      <c r="C60" s="309"/>
      <c r="D60" s="187"/>
      <c r="E60" s="187">
        <v>25.62</v>
      </c>
      <c r="F60" s="223">
        <v>2.17</v>
      </c>
      <c r="G60" s="187"/>
      <c r="H60" s="187"/>
      <c r="I60" s="187"/>
      <c r="J60" s="223"/>
      <c r="K60" s="187"/>
      <c r="L60" s="187"/>
      <c r="M60" s="187"/>
      <c r="N60" s="187"/>
      <c r="O60" s="187">
        <v>6.99</v>
      </c>
      <c r="P60" s="310">
        <v>10.93</v>
      </c>
      <c r="Q60" s="310">
        <v>5.93</v>
      </c>
      <c r="R60" s="310"/>
      <c r="S60" s="310">
        <v>2.04</v>
      </c>
      <c r="T60" s="310"/>
      <c r="U60" s="310">
        <v>8.82</v>
      </c>
      <c r="V60" s="310"/>
      <c r="W60" s="310"/>
      <c r="X60" s="310"/>
      <c r="Y60" s="310">
        <v>10.35</v>
      </c>
      <c r="Z60" s="310"/>
      <c r="AA60" s="310"/>
      <c r="AB60" s="310">
        <v>2.1</v>
      </c>
      <c r="AC60" s="310">
        <v>2.85</v>
      </c>
      <c r="AD60" s="310"/>
      <c r="AE60" s="310">
        <v>7.17</v>
      </c>
      <c r="AF60" s="310"/>
      <c r="AG60" s="310">
        <v>15.45</v>
      </c>
      <c r="AH60" s="310"/>
      <c r="AI60" s="310"/>
      <c r="AJ60" s="310"/>
      <c r="AK60" s="310"/>
      <c r="AL60" s="310"/>
      <c r="AM60" s="310"/>
      <c r="AN60" s="310"/>
      <c r="AO60" s="310"/>
      <c r="AP60" s="310">
        <v>42.54</v>
      </c>
      <c r="AQ60" s="310"/>
      <c r="AR60" s="310"/>
      <c r="AS60" s="310"/>
      <c r="AT60" s="310"/>
      <c r="AU60" s="310"/>
      <c r="AV60" s="310"/>
      <c r="AW60" s="310"/>
      <c r="AX60" s="310"/>
      <c r="AY60" s="310">
        <v>7.15</v>
      </c>
      <c r="AZ60" s="310"/>
      <c r="BA60" s="310"/>
      <c r="BB60" s="310"/>
      <c r="BC60" s="310"/>
      <c r="BD60" s="310">
        <v>2.1800000000000002</v>
      </c>
      <c r="BE60" s="310">
        <v>3.47</v>
      </c>
      <c r="BF60" s="310">
        <v>10.65</v>
      </c>
      <c r="BG60" s="310">
        <v>0.59</v>
      </c>
      <c r="BH60" s="310">
        <v>3.92</v>
      </c>
      <c r="BI60" s="310"/>
      <c r="BJ60" s="310">
        <v>5.27</v>
      </c>
      <c r="BK60" s="310">
        <v>13.59</v>
      </c>
      <c r="BL60" s="310">
        <v>6.9</v>
      </c>
      <c r="BM60" s="310"/>
      <c r="BN60" s="310">
        <v>4.58</v>
      </c>
      <c r="BO60" s="310">
        <v>2.27</v>
      </c>
      <c r="BP60" s="310"/>
      <c r="BQ60" s="310"/>
      <c r="BR60" s="310">
        <v>2.04</v>
      </c>
      <c r="BS60" s="310"/>
      <c r="BT60" s="310"/>
      <c r="BU60" s="310"/>
      <c r="BV60" s="310">
        <v>7.85</v>
      </c>
      <c r="BW60" s="310"/>
      <c r="BX60" s="310">
        <v>1.1599999999999999</v>
      </c>
      <c r="BY60" s="310">
        <v>2.63</v>
      </c>
      <c r="BZ60" s="310"/>
      <c r="CA60" s="310">
        <v>0.04</v>
      </c>
      <c r="CB60" s="310"/>
      <c r="CC60" s="310">
        <v>0.1</v>
      </c>
      <c r="CD60" s="305" t="s">
        <v>221</v>
      </c>
      <c r="CE60" s="311">
        <f t="shared" ref="CE60:CE70" si="0">SUM(C60:CD60)</f>
        <v>217.35</v>
      </c>
      <c r="CF60" s="2"/>
    </row>
    <row r="61" spans="1:84" ht="12.65" customHeight="1" x14ac:dyDescent="0.3">
      <c r="A61" s="302" t="s">
        <v>235</v>
      </c>
      <c r="B61" s="295"/>
      <c r="C61" s="300"/>
      <c r="D61" s="300"/>
      <c r="E61" s="300">
        <v>2040674.65</v>
      </c>
      <c r="F61" s="185">
        <v>226936.84</v>
      </c>
      <c r="G61" s="300"/>
      <c r="H61" s="300"/>
      <c r="I61" s="185"/>
      <c r="J61" s="185"/>
      <c r="K61" s="185"/>
      <c r="L61" s="185"/>
      <c r="M61" s="300"/>
      <c r="N61" s="300"/>
      <c r="O61" s="300">
        <v>655451.92000000004</v>
      </c>
      <c r="P61" s="185">
        <v>791921.59</v>
      </c>
      <c r="Q61" s="185">
        <v>529514.81999999995</v>
      </c>
      <c r="R61" s="185">
        <v>0</v>
      </c>
      <c r="S61" s="185">
        <v>53682.93</v>
      </c>
      <c r="T61" s="185"/>
      <c r="U61" s="185">
        <v>567128.80000000005</v>
      </c>
      <c r="V61" s="185"/>
      <c r="W61" s="185"/>
      <c r="X61" s="185"/>
      <c r="Y61" s="185">
        <v>796204.56</v>
      </c>
      <c r="Z61" s="185"/>
      <c r="AA61" s="185"/>
      <c r="AB61" s="185">
        <v>194445.67</v>
      </c>
      <c r="AC61" s="185">
        <v>234854.01</v>
      </c>
      <c r="AD61" s="185"/>
      <c r="AE61" s="185">
        <v>458318.19</v>
      </c>
      <c r="AF61" s="185"/>
      <c r="AG61" s="185">
        <v>1403640.18</v>
      </c>
      <c r="AH61" s="185"/>
      <c r="AI61" s="185"/>
      <c r="AJ61" s="185"/>
      <c r="AK61" s="185"/>
      <c r="AL61" s="185"/>
      <c r="AM61" s="185"/>
      <c r="AN61" s="185"/>
      <c r="AO61" s="185"/>
      <c r="AP61" s="185">
        <v>4496279.9800000004</v>
      </c>
      <c r="AQ61" s="185"/>
      <c r="AR61" s="185"/>
      <c r="AS61" s="185"/>
      <c r="AT61" s="185"/>
      <c r="AU61" s="185"/>
      <c r="AV61" s="185"/>
      <c r="AW61" s="185"/>
      <c r="AX61" s="185"/>
      <c r="AY61" s="185">
        <v>284980.28000000003</v>
      </c>
      <c r="AZ61" s="185"/>
      <c r="BA61" s="185">
        <v>0</v>
      </c>
      <c r="BB61" s="185"/>
      <c r="BC61" s="185"/>
      <c r="BD61" s="185">
        <v>115644.11</v>
      </c>
      <c r="BE61" s="185">
        <v>204750.89</v>
      </c>
      <c r="BF61" s="185">
        <v>329253.87</v>
      </c>
      <c r="BG61" s="185">
        <v>32529.56</v>
      </c>
      <c r="BH61" s="185">
        <v>283757.51</v>
      </c>
      <c r="BI61" s="185"/>
      <c r="BJ61" s="185">
        <v>472230.25</v>
      </c>
      <c r="BK61" s="185">
        <v>540901.13</v>
      </c>
      <c r="BL61" s="185">
        <v>158877.63</v>
      </c>
      <c r="BM61" s="185"/>
      <c r="BN61" s="185">
        <v>640547.93999999994</v>
      </c>
      <c r="BO61" s="185">
        <v>268114.46999999997</v>
      </c>
      <c r="BP61" s="185"/>
      <c r="BQ61" s="185"/>
      <c r="BR61" s="185">
        <v>188301.92</v>
      </c>
      <c r="BS61" s="185"/>
      <c r="BT61" s="185"/>
      <c r="BU61" s="185"/>
      <c r="BV61" s="185">
        <v>372786.57</v>
      </c>
      <c r="BW61" s="185"/>
      <c r="BX61" s="185">
        <v>82860.58</v>
      </c>
      <c r="BY61" s="185">
        <v>221742.59</v>
      </c>
      <c r="BZ61" s="185"/>
      <c r="CA61" s="185">
        <v>4146.26</v>
      </c>
      <c r="CB61" s="185"/>
      <c r="CC61" s="185">
        <v>25380.57</v>
      </c>
      <c r="CD61" s="305" t="s">
        <v>221</v>
      </c>
      <c r="CE61" s="295">
        <f t="shared" si="0"/>
        <v>16675860.270000001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484931</v>
      </c>
      <c r="F62" s="295">
        <f t="shared" si="1"/>
        <v>29407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151567</v>
      </c>
      <c r="P62" s="295">
        <f t="shared" si="1"/>
        <v>197341</v>
      </c>
      <c r="Q62" s="295">
        <f t="shared" si="1"/>
        <v>121538</v>
      </c>
      <c r="R62" s="295">
        <f t="shared" si="1"/>
        <v>0</v>
      </c>
      <c r="S62" s="295">
        <f t="shared" si="1"/>
        <v>28813</v>
      </c>
      <c r="T62" s="295">
        <f t="shared" si="1"/>
        <v>0</v>
      </c>
      <c r="U62" s="295">
        <f t="shared" si="1"/>
        <v>149379</v>
      </c>
      <c r="V62" s="295">
        <f t="shared" si="1"/>
        <v>0</v>
      </c>
      <c r="W62" s="295">
        <f t="shared" si="1"/>
        <v>0</v>
      </c>
      <c r="X62" s="295">
        <f t="shared" si="1"/>
        <v>0</v>
      </c>
      <c r="Y62" s="295">
        <f t="shared" si="1"/>
        <v>190778</v>
      </c>
      <c r="Z62" s="295">
        <f t="shared" si="1"/>
        <v>0</v>
      </c>
      <c r="AA62" s="295">
        <f t="shared" si="1"/>
        <v>0</v>
      </c>
      <c r="AB62" s="295">
        <f t="shared" si="1"/>
        <v>43753</v>
      </c>
      <c r="AC62" s="295">
        <f t="shared" si="1"/>
        <v>60158</v>
      </c>
      <c r="AD62" s="295">
        <f t="shared" si="1"/>
        <v>0</v>
      </c>
      <c r="AE62" s="295">
        <f t="shared" si="1"/>
        <v>133440</v>
      </c>
      <c r="AF62" s="295">
        <f t="shared" si="1"/>
        <v>0</v>
      </c>
      <c r="AG62" s="295">
        <f t="shared" si="1"/>
        <v>308990</v>
      </c>
      <c r="AH62" s="295">
        <f t="shared" si="1"/>
        <v>0</v>
      </c>
      <c r="AI62" s="295">
        <f t="shared" si="1"/>
        <v>0</v>
      </c>
      <c r="AJ62" s="295">
        <f t="shared" si="1"/>
        <v>0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836528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0</v>
      </c>
      <c r="AX62" s="295">
        <f t="shared" si="1"/>
        <v>0</v>
      </c>
      <c r="AY62" s="295">
        <f>ROUND(AY47+AY48,0)</f>
        <v>97485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0</v>
      </c>
      <c r="BD62" s="295">
        <f t="shared" si="1"/>
        <v>35698</v>
      </c>
      <c r="BE62" s="295">
        <f t="shared" si="1"/>
        <v>55824</v>
      </c>
      <c r="BF62" s="295">
        <f t="shared" si="1"/>
        <v>125640</v>
      </c>
      <c r="BG62" s="295">
        <f t="shared" si="1"/>
        <v>16341</v>
      </c>
      <c r="BH62" s="295">
        <f t="shared" si="1"/>
        <v>81827</v>
      </c>
      <c r="BI62" s="295">
        <f t="shared" si="1"/>
        <v>0</v>
      </c>
      <c r="BJ62" s="295">
        <f t="shared" si="1"/>
        <v>106839</v>
      </c>
      <c r="BK62" s="295">
        <f t="shared" si="1"/>
        <v>205141</v>
      </c>
      <c r="BL62" s="295">
        <f t="shared" si="1"/>
        <v>92492</v>
      </c>
      <c r="BM62" s="295">
        <f t="shared" si="1"/>
        <v>0</v>
      </c>
      <c r="BN62" s="295">
        <f t="shared" si="1"/>
        <v>117285</v>
      </c>
      <c r="BO62" s="295">
        <f t="shared" ref="BO62:CC62" si="2">ROUND(BO47+BO48,0)</f>
        <v>38307</v>
      </c>
      <c r="BP62" s="295">
        <f t="shared" si="2"/>
        <v>0</v>
      </c>
      <c r="BQ62" s="295">
        <f t="shared" si="2"/>
        <v>0</v>
      </c>
      <c r="BR62" s="295">
        <f t="shared" si="2"/>
        <v>44488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115125</v>
      </c>
      <c r="BW62" s="295">
        <f t="shared" si="2"/>
        <v>0</v>
      </c>
      <c r="BX62" s="295">
        <f t="shared" si="2"/>
        <v>21666</v>
      </c>
      <c r="BY62" s="295">
        <f t="shared" si="2"/>
        <v>56063</v>
      </c>
      <c r="BZ62" s="295">
        <f t="shared" si="2"/>
        <v>0</v>
      </c>
      <c r="CA62" s="295">
        <f t="shared" si="2"/>
        <v>882</v>
      </c>
      <c r="CB62" s="295">
        <f t="shared" si="2"/>
        <v>0</v>
      </c>
      <c r="CC62" s="295">
        <f t="shared" si="2"/>
        <v>2198</v>
      </c>
      <c r="CD62" s="305" t="s">
        <v>221</v>
      </c>
      <c r="CE62" s="295">
        <f t="shared" si="0"/>
        <v>3949924</v>
      </c>
      <c r="CF62" s="2"/>
    </row>
    <row r="63" spans="1:84" ht="12.65" customHeight="1" x14ac:dyDescent="0.3">
      <c r="A63" s="302" t="s">
        <v>236</v>
      </c>
      <c r="B63" s="295"/>
      <c r="C63" s="300"/>
      <c r="D63" s="300"/>
      <c r="E63" s="300">
        <v>101349.07</v>
      </c>
      <c r="F63" s="185">
        <v>75600</v>
      </c>
      <c r="G63" s="300"/>
      <c r="H63" s="300"/>
      <c r="I63" s="185"/>
      <c r="J63" s="185"/>
      <c r="K63" s="185"/>
      <c r="L63" s="185"/>
      <c r="M63" s="300"/>
      <c r="N63" s="300"/>
      <c r="O63" s="300">
        <v>246174.06</v>
      </c>
      <c r="P63" s="185">
        <v>0</v>
      </c>
      <c r="Q63" s="185">
        <v>0</v>
      </c>
      <c r="R63" s="185">
        <v>865100.77</v>
      </c>
      <c r="S63" s="185">
        <v>0</v>
      </c>
      <c r="T63" s="185"/>
      <c r="U63" s="185">
        <v>87272.6</v>
      </c>
      <c r="V63" s="185"/>
      <c r="W63" s="185"/>
      <c r="X63" s="185"/>
      <c r="Y63" s="185">
        <v>908930.63</v>
      </c>
      <c r="Z63" s="185"/>
      <c r="AA63" s="185"/>
      <c r="AB63" s="185">
        <v>87009.36</v>
      </c>
      <c r="AC63" s="185">
        <v>0</v>
      </c>
      <c r="AD63" s="185"/>
      <c r="AE63" s="185">
        <v>0</v>
      </c>
      <c r="AF63" s="185"/>
      <c r="AG63" s="185">
        <v>2244659.48</v>
      </c>
      <c r="AH63" s="185"/>
      <c r="AI63" s="185"/>
      <c r="AJ63" s="185"/>
      <c r="AK63" s="185"/>
      <c r="AL63" s="185"/>
      <c r="AM63" s="185"/>
      <c r="AN63" s="185"/>
      <c r="AO63" s="185"/>
      <c r="AP63" s="185">
        <v>32655.599999999999</v>
      </c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68019.27</v>
      </c>
      <c r="BK63" s="185">
        <v>90235.82</v>
      </c>
      <c r="BL63" s="185"/>
      <c r="BM63" s="185"/>
      <c r="BN63" s="185">
        <v>30985</v>
      </c>
      <c r="BO63" s="185"/>
      <c r="BP63" s="185"/>
      <c r="BQ63" s="185"/>
      <c r="BR63" s="185">
        <v>3618</v>
      </c>
      <c r="BS63" s="185"/>
      <c r="BT63" s="185"/>
      <c r="BU63" s="185"/>
      <c r="BV63" s="185"/>
      <c r="BW63" s="185"/>
      <c r="BX63" s="185"/>
      <c r="BY63" s="185"/>
      <c r="BZ63" s="185"/>
      <c r="CA63" s="185">
        <v>0</v>
      </c>
      <c r="CB63" s="185"/>
      <c r="CC63" s="185"/>
      <c r="CD63" s="305" t="s">
        <v>221</v>
      </c>
      <c r="CE63" s="295">
        <f t="shared" si="0"/>
        <v>4841609.6599999992</v>
      </c>
      <c r="CF63" s="2"/>
    </row>
    <row r="64" spans="1:84" ht="12.65" customHeight="1" x14ac:dyDescent="0.3">
      <c r="A64" s="302" t="s">
        <v>237</v>
      </c>
      <c r="B64" s="295"/>
      <c r="C64" s="300"/>
      <c r="D64" s="300"/>
      <c r="E64" s="185">
        <v>124125.39</v>
      </c>
      <c r="F64" s="185"/>
      <c r="G64" s="300"/>
      <c r="H64" s="300"/>
      <c r="I64" s="185"/>
      <c r="J64" s="185"/>
      <c r="K64" s="185"/>
      <c r="L64" s="185"/>
      <c r="M64" s="300"/>
      <c r="N64" s="300"/>
      <c r="O64" s="300">
        <v>78545.73</v>
      </c>
      <c r="P64" s="185">
        <v>933870.52</v>
      </c>
      <c r="Q64" s="185">
        <v>25800.57</v>
      </c>
      <c r="R64" s="185">
        <v>8850.7800000000007</v>
      </c>
      <c r="S64" s="185">
        <v>1208105.9099999999</v>
      </c>
      <c r="T64" s="185"/>
      <c r="U64" s="185">
        <v>767531.98</v>
      </c>
      <c r="V64" s="185"/>
      <c r="W64" s="185"/>
      <c r="X64" s="185"/>
      <c r="Y64" s="185">
        <v>372856.41</v>
      </c>
      <c r="Z64" s="185"/>
      <c r="AA64" s="185"/>
      <c r="AB64" s="185">
        <v>595436.34</v>
      </c>
      <c r="AC64" s="185">
        <v>36498.25</v>
      </c>
      <c r="AD64" s="185"/>
      <c r="AE64" s="185">
        <v>6397</v>
      </c>
      <c r="AF64" s="185"/>
      <c r="AG64" s="185">
        <v>182624.12</v>
      </c>
      <c r="AH64" s="185"/>
      <c r="AI64" s="185"/>
      <c r="AJ64" s="185"/>
      <c r="AK64" s="185"/>
      <c r="AL64" s="185"/>
      <c r="AM64" s="185"/>
      <c r="AN64" s="185"/>
      <c r="AO64" s="185"/>
      <c r="AP64" s="185">
        <v>219624.03</v>
      </c>
      <c r="AQ64" s="185"/>
      <c r="AR64" s="185"/>
      <c r="AS64" s="185"/>
      <c r="AT64" s="185"/>
      <c r="AU64" s="185"/>
      <c r="AV64" s="185"/>
      <c r="AW64" s="185"/>
      <c r="AX64" s="185"/>
      <c r="AY64" s="185">
        <v>171566.53</v>
      </c>
      <c r="AZ64" s="185"/>
      <c r="BA64" s="185">
        <v>1216.8699999999999</v>
      </c>
      <c r="BB64" s="185"/>
      <c r="BC64" s="185"/>
      <c r="BD64" s="185">
        <v>348.86</v>
      </c>
      <c r="BE64" s="185">
        <v>45193.26</v>
      </c>
      <c r="BF64" s="185">
        <v>31762.41</v>
      </c>
      <c r="BG64" s="185"/>
      <c r="BH64" s="185">
        <v>27769.03</v>
      </c>
      <c r="BI64" s="185"/>
      <c r="BJ64" s="185">
        <v>15880.15</v>
      </c>
      <c r="BK64" s="185">
        <v>21755.78</v>
      </c>
      <c r="BL64" s="185">
        <v>17236.07</v>
      </c>
      <c r="BM64" s="185"/>
      <c r="BN64" s="185">
        <v>13054.2</v>
      </c>
      <c r="BO64" s="185">
        <v>7585.64</v>
      </c>
      <c r="BP64" s="185"/>
      <c r="BQ64" s="185"/>
      <c r="BR64" s="185">
        <v>855.62</v>
      </c>
      <c r="BS64" s="185"/>
      <c r="BT64" s="185"/>
      <c r="BU64" s="185"/>
      <c r="BV64" s="185">
        <v>283.45</v>
      </c>
      <c r="BW64" s="185"/>
      <c r="BX64" s="185"/>
      <c r="BY64" s="185">
        <v>268.04000000000002</v>
      </c>
      <c r="BZ64" s="185"/>
      <c r="CA64" s="185">
        <v>10866.58</v>
      </c>
      <c r="CB64" s="185"/>
      <c r="CC64" s="185"/>
      <c r="CD64" s="305" t="s">
        <v>221</v>
      </c>
      <c r="CE64" s="295">
        <f t="shared" si="0"/>
        <v>4925909.5200000023</v>
      </c>
      <c r="CF64" s="2"/>
    </row>
    <row r="65" spans="1:84" ht="12.65" customHeight="1" x14ac:dyDescent="0.3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0</v>
      </c>
      <c r="AF65" s="185"/>
      <c r="AG65" s="185">
        <v>0</v>
      </c>
      <c r="AH65" s="185"/>
      <c r="AI65" s="185"/>
      <c r="AJ65" s="185"/>
      <c r="AK65" s="185"/>
      <c r="AL65" s="185"/>
      <c r="AM65" s="185"/>
      <c r="AN65" s="185"/>
      <c r="AO65" s="185"/>
      <c r="AP65" s="185">
        <v>39462.269999999997</v>
      </c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666.62</v>
      </c>
      <c r="BB65" s="185"/>
      <c r="BC65" s="185"/>
      <c r="BD65" s="185"/>
      <c r="BE65" s="185">
        <f>333784.14+144</f>
        <v>333928.14</v>
      </c>
      <c r="BF65" s="185"/>
      <c r="BG65" s="185">
        <v>80034.570000000007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5" t="s">
        <v>221</v>
      </c>
      <c r="CE65" s="295">
        <f t="shared" si="0"/>
        <v>454091.60000000003</v>
      </c>
      <c r="CF65" s="2"/>
    </row>
    <row r="66" spans="1:84" ht="12.65" customHeight="1" x14ac:dyDescent="0.3">
      <c r="A66" s="302" t="s">
        <v>239</v>
      </c>
      <c r="B66" s="295"/>
      <c r="C66" s="300"/>
      <c r="D66" s="300"/>
      <c r="E66" s="300">
        <v>113907.01</v>
      </c>
      <c r="F66" s="300"/>
      <c r="G66" s="300"/>
      <c r="H66" s="300"/>
      <c r="I66" s="300"/>
      <c r="J66" s="300"/>
      <c r="K66" s="185"/>
      <c r="L66" s="185"/>
      <c r="M66" s="300"/>
      <c r="N66" s="300"/>
      <c r="O66" s="185">
        <v>29090.959999999999</v>
      </c>
      <c r="P66" s="185">
        <v>117238.93</v>
      </c>
      <c r="Q66" s="185">
        <v>2315.37</v>
      </c>
      <c r="R66" s="185">
        <v>16172.69</v>
      </c>
      <c r="S66" s="300">
        <v>2875.96</v>
      </c>
      <c r="T66" s="300"/>
      <c r="U66" s="185">
        <v>151951.89000000001</v>
      </c>
      <c r="V66" s="185"/>
      <c r="W66" s="185"/>
      <c r="X66" s="185"/>
      <c r="Y66" s="185">
        <v>484327.26</v>
      </c>
      <c r="Z66" s="185"/>
      <c r="AA66" s="185"/>
      <c r="AB66" s="185">
        <v>11782.39</v>
      </c>
      <c r="AC66" s="185">
        <v>7432.08</v>
      </c>
      <c r="AD66" s="185"/>
      <c r="AE66" s="185">
        <v>24006.69</v>
      </c>
      <c r="AF66" s="185"/>
      <c r="AG66" s="185">
        <v>136549.79999999999</v>
      </c>
      <c r="AH66" s="185"/>
      <c r="AI66" s="185"/>
      <c r="AJ66" s="185"/>
      <c r="AK66" s="185"/>
      <c r="AL66" s="185"/>
      <c r="AM66" s="185"/>
      <c r="AN66" s="185"/>
      <c r="AO66" s="185"/>
      <c r="AP66" s="185">
        <v>298133.36</v>
      </c>
      <c r="AQ66" s="185"/>
      <c r="AR66" s="185"/>
      <c r="AS66" s="185"/>
      <c r="AT66" s="185"/>
      <c r="AU66" s="185"/>
      <c r="AV66" s="185"/>
      <c r="AW66" s="185"/>
      <c r="AX66" s="185"/>
      <c r="AY66" s="185">
        <v>6487.82</v>
      </c>
      <c r="AZ66" s="185"/>
      <c r="BA66" s="185">
        <v>167778.21</v>
      </c>
      <c r="BB66" s="185"/>
      <c r="BC66" s="185"/>
      <c r="BD66" s="185">
        <v>6038.28</v>
      </c>
      <c r="BE66" s="185">
        <v>71937.259999999995</v>
      </c>
      <c r="BF66" s="185">
        <v>918.26</v>
      </c>
      <c r="BG66" s="185">
        <v>12131.9</v>
      </c>
      <c r="BH66" s="185">
        <v>368557.64</v>
      </c>
      <c r="BI66" s="185"/>
      <c r="BJ66" s="185">
        <v>56189.57</v>
      </c>
      <c r="BK66" s="185">
        <v>130323.09</v>
      </c>
      <c r="BL66" s="185">
        <v>6038.28</v>
      </c>
      <c r="BM66" s="185"/>
      <c r="BN66" s="185">
        <v>91902.15</v>
      </c>
      <c r="BO66" s="185"/>
      <c r="BP66" s="185"/>
      <c r="BQ66" s="185"/>
      <c r="BR66" s="185">
        <v>6590.41</v>
      </c>
      <c r="BS66" s="185"/>
      <c r="BT66" s="185"/>
      <c r="BU66" s="185"/>
      <c r="BV66" s="185">
        <v>93927.1</v>
      </c>
      <c r="BW66" s="185"/>
      <c r="BX66" s="185">
        <v>1509.6</v>
      </c>
      <c r="BY66" s="185">
        <v>225</v>
      </c>
      <c r="BZ66" s="185"/>
      <c r="CA66" s="185">
        <v>59491.44</v>
      </c>
      <c r="CB66" s="185"/>
      <c r="CC66" s="185"/>
      <c r="CD66" s="305" t="s">
        <v>221</v>
      </c>
      <c r="CE66" s="295">
        <f t="shared" si="0"/>
        <v>2475830.4000000004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109301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2204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33232</v>
      </c>
      <c r="P67" s="295">
        <f t="shared" si="3"/>
        <v>326117</v>
      </c>
      <c r="Q67" s="295">
        <f t="shared" si="3"/>
        <v>27188</v>
      </c>
      <c r="R67" s="295">
        <f t="shared" si="3"/>
        <v>0</v>
      </c>
      <c r="S67" s="295">
        <f t="shared" si="3"/>
        <v>18397</v>
      </c>
      <c r="T67" s="295">
        <f t="shared" si="3"/>
        <v>0</v>
      </c>
      <c r="U67" s="295">
        <f t="shared" si="3"/>
        <v>43215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511107</v>
      </c>
      <c r="Z67" s="295">
        <f t="shared" si="3"/>
        <v>0</v>
      </c>
      <c r="AA67" s="295">
        <f t="shared" si="3"/>
        <v>0</v>
      </c>
      <c r="AB67" s="295">
        <f t="shared" si="3"/>
        <v>6397</v>
      </c>
      <c r="AC67" s="295">
        <f t="shared" si="3"/>
        <v>5461</v>
      </c>
      <c r="AD67" s="295">
        <f t="shared" si="3"/>
        <v>0</v>
      </c>
      <c r="AE67" s="295">
        <f t="shared" si="3"/>
        <v>32027</v>
      </c>
      <c r="AF67" s="295">
        <f t="shared" si="3"/>
        <v>0</v>
      </c>
      <c r="AG67" s="295">
        <f t="shared" si="3"/>
        <v>181269</v>
      </c>
      <c r="AH67" s="295">
        <f t="shared" si="3"/>
        <v>0</v>
      </c>
      <c r="AI67" s="295">
        <f t="shared" si="3"/>
        <v>0</v>
      </c>
      <c r="AJ67" s="295">
        <f t="shared" si="3"/>
        <v>0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217884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32567</v>
      </c>
      <c r="AZ67" s="295">
        <f>ROUND(AZ51+AZ52,0)</f>
        <v>0</v>
      </c>
      <c r="BA67" s="295">
        <f>ROUND(BA51+BA52,0)</f>
        <v>5505</v>
      </c>
      <c r="BB67" s="295">
        <f t="shared" si="3"/>
        <v>0</v>
      </c>
      <c r="BC67" s="295">
        <f t="shared" si="3"/>
        <v>0</v>
      </c>
      <c r="BD67" s="295">
        <f t="shared" si="3"/>
        <v>3731</v>
      </c>
      <c r="BE67" s="295">
        <f t="shared" si="3"/>
        <v>317694</v>
      </c>
      <c r="BF67" s="295">
        <f t="shared" si="3"/>
        <v>3808</v>
      </c>
      <c r="BG67" s="295">
        <f t="shared" si="3"/>
        <v>3177</v>
      </c>
      <c r="BH67" s="295">
        <f t="shared" si="3"/>
        <v>47895</v>
      </c>
      <c r="BI67" s="295">
        <f t="shared" si="3"/>
        <v>0</v>
      </c>
      <c r="BJ67" s="295">
        <f t="shared" si="3"/>
        <v>16197</v>
      </c>
      <c r="BK67" s="295">
        <f t="shared" si="3"/>
        <v>19070</v>
      </c>
      <c r="BL67" s="295">
        <f t="shared" si="3"/>
        <v>2741</v>
      </c>
      <c r="BM67" s="295">
        <f t="shared" si="3"/>
        <v>0</v>
      </c>
      <c r="BN67" s="295">
        <f t="shared" si="3"/>
        <v>7626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3514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16817</v>
      </c>
      <c r="BW67" s="295">
        <f t="shared" si="4"/>
        <v>0</v>
      </c>
      <c r="BX67" s="295">
        <f t="shared" si="4"/>
        <v>0</v>
      </c>
      <c r="BY67" s="295">
        <f t="shared" si="4"/>
        <v>2883</v>
      </c>
      <c r="BZ67" s="295">
        <f t="shared" si="4"/>
        <v>0</v>
      </c>
      <c r="CA67" s="295">
        <f t="shared" si="4"/>
        <v>34911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2031935</v>
      </c>
      <c r="CF67" s="2"/>
    </row>
    <row r="68" spans="1:84" ht="12.65" customHeight="1" x14ac:dyDescent="0.3">
      <c r="A68" s="302" t="s">
        <v>240</v>
      </c>
      <c r="B68" s="295"/>
      <c r="C68" s="300"/>
      <c r="D68" s="300"/>
      <c r="E68" s="300">
        <v>29832.21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>
        <v>6946.8</v>
      </c>
      <c r="P68" s="185">
        <v>5187.2700000000004</v>
      </c>
      <c r="Q68" s="185">
        <v>5109.78</v>
      </c>
      <c r="R68" s="185">
        <v>12286.89</v>
      </c>
      <c r="S68" s="185">
        <v>0</v>
      </c>
      <c r="T68" s="185"/>
      <c r="U68" s="185">
        <v>38059.81</v>
      </c>
      <c r="V68" s="185"/>
      <c r="W68" s="185"/>
      <c r="X68" s="185"/>
      <c r="Y68" s="185">
        <v>75122.460000000006</v>
      </c>
      <c r="Z68" s="185"/>
      <c r="AA68" s="185"/>
      <c r="AB68" s="185">
        <v>4264.6499999999996</v>
      </c>
      <c r="AC68" s="185">
        <v>21431.57</v>
      </c>
      <c r="AD68" s="185"/>
      <c r="AE68" s="185">
        <v>866.07</v>
      </c>
      <c r="AF68" s="185"/>
      <c r="AG68" s="185">
        <v>13383.7</v>
      </c>
      <c r="AH68" s="185"/>
      <c r="AI68" s="185"/>
      <c r="AJ68" s="185"/>
      <c r="AK68" s="185"/>
      <c r="AL68" s="185"/>
      <c r="AM68" s="185"/>
      <c r="AN68" s="185"/>
      <c r="AO68" s="185"/>
      <c r="AP68" s="185">
        <v>13962.04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0</v>
      </c>
      <c r="BF68" s="185"/>
      <c r="BG68" s="185">
        <v>2247.84</v>
      </c>
      <c r="BH68" s="185">
        <v>9000</v>
      </c>
      <c r="BI68" s="185"/>
      <c r="BJ68" s="185">
        <v>9121.89</v>
      </c>
      <c r="BK68" s="185">
        <v>16452.599999999999</v>
      </c>
      <c r="BL68" s="185">
        <v>927.75</v>
      </c>
      <c r="BM68" s="185"/>
      <c r="BN68" s="185">
        <v>7110.88</v>
      </c>
      <c r="BO68" s="185"/>
      <c r="BP68" s="185"/>
      <c r="BQ68" s="185"/>
      <c r="BR68" s="185"/>
      <c r="BS68" s="185"/>
      <c r="BT68" s="185"/>
      <c r="BU68" s="185"/>
      <c r="BV68" s="185">
        <v>1159.68</v>
      </c>
      <c r="BW68" s="185"/>
      <c r="BX68" s="185"/>
      <c r="BY68" s="185"/>
      <c r="BZ68" s="185"/>
      <c r="CA68" s="185"/>
      <c r="CB68" s="185"/>
      <c r="CC68" s="185"/>
      <c r="CD68" s="305" t="s">
        <v>221</v>
      </c>
      <c r="CE68" s="295">
        <f t="shared" si="0"/>
        <v>272473.89</v>
      </c>
      <c r="CF68" s="2"/>
    </row>
    <row r="69" spans="1:84" ht="12.65" customHeight="1" x14ac:dyDescent="0.3">
      <c r="A69" s="302" t="s">
        <v>241</v>
      </c>
      <c r="B69" s="295"/>
      <c r="C69" s="300"/>
      <c r="D69" s="300"/>
      <c r="E69" s="185">
        <v>3052.36</v>
      </c>
      <c r="F69" s="185">
        <v>3600</v>
      </c>
      <c r="G69" s="300"/>
      <c r="H69" s="300"/>
      <c r="I69" s="185"/>
      <c r="J69" s="185"/>
      <c r="K69" s="185"/>
      <c r="L69" s="185"/>
      <c r="M69" s="300"/>
      <c r="N69" s="300"/>
      <c r="O69" s="300">
        <v>3755.57</v>
      </c>
      <c r="P69" s="185">
        <v>15707.53</v>
      </c>
      <c r="Q69" s="185">
        <v>38.6</v>
      </c>
      <c r="R69" s="224">
        <v>0</v>
      </c>
      <c r="S69" s="185">
        <v>9742.25</v>
      </c>
      <c r="T69" s="300"/>
      <c r="U69" s="185">
        <v>29144.66</v>
      </c>
      <c r="V69" s="185"/>
      <c r="W69" s="300"/>
      <c r="X69" s="185"/>
      <c r="Y69" s="185">
        <v>5595.7</v>
      </c>
      <c r="Z69" s="185"/>
      <c r="AA69" s="185"/>
      <c r="AB69" s="185">
        <v>2056.29</v>
      </c>
      <c r="AC69" s="185">
        <v>2111.83</v>
      </c>
      <c r="AD69" s="185"/>
      <c r="AE69" s="185">
        <v>6199.69</v>
      </c>
      <c r="AF69" s="185"/>
      <c r="AG69" s="185">
        <v>1664.65</v>
      </c>
      <c r="AH69" s="185"/>
      <c r="AI69" s="185"/>
      <c r="AJ69" s="185"/>
      <c r="AK69" s="185"/>
      <c r="AL69" s="185"/>
      <c r="AM69" s="185"/>
      <c r="AN69" s="185"/>
      <c r="AO69" s="300"/>
      <c r="AP69" s="185">
        <v>239024.19</v>
      </c>
      <c r="AQ69" s="300"/>
      <c r="AR69" s="300"/>
      <c r="AS69" s="300"/>
      <c r="AT69" s="300"/>
      <c r="AU69" s="185"/>
      <c r="AV69" s="185"/>
      <c r="AW69" s="185"/>
      <c r="AX69" s="185"/>
      <c r="AY69" s="185">
        <v>843.63</v>
      </c>
      <c r="AZ69" s="185"/>
      <c r="BA69" s="185"/>
      <c r="BB69" s="185"/>
      <c r="BC69" s="185"/>
      <c r="BD69" s="185">
        <v>369.42</v>
      </c>
      <c r="BE69" s="185">
        <v>1096.07</v>
      </c>
      <c r="BF69" s="185">
        <v>388.53</v>
      </c>
      <c r="BG69" s="185"/>
      <c r="BH69" s="224">
        <v>3421.53</v>
      </c>
      <c r="BI69" s="185"/>
      <c r="BJ69" s="185">
        <v>8162.42</v>
      </c>
      <c r="BK69" s="185">
        <v>1230.6199999999999</v>
      </c>
      <c r="BL69" s="185">
        <v>-20.94</v>
      </c>
      <c r="BM69" s="185"/>
      <c r="BN69" s="185">
        <v>67463.62</v>
      </c>
      <c r="BO69" s="185">
        <f>124.19</f>
        <v>124.19</v>
      </c>
      <c r="BP69" s="185"/>
      <c r="BQ69" s="185"/>
      <c r="BR69" s="185">
        <v>62147.12</v>
      </c>
      <c r="BS69" s="185"/>
      <c r="BT69" s="185"/>
      <c r="BU69" s="185"/>
      <c r="BV69" s="185">
        <v>756.07</v>
      </c>
      <c r="BW69" s="185"/>
      <c r="BX69" s="185">
        <v>4664.83</v>
      </c>
      <c r="BY69" s="185">
        <v>677.07</v>
      </c>
      <c r="BZ69" s="185"/>
      <c r="CA69" s="185">
        <v>-254.53</v>
      </c>
      <c r="CB69" s="185"/>
      <c r="CC69" s="185">
        <v>466.35</v>
      </c>
      <c r="CD69" s="312">
        <v>524601.13</v>
      </c>
      <c r="CE69" s="295">
        <f t="shared" si="0"/>
        <v>997830.45</v>
      </c>
      <c r="CF69" s="2"/>
    </row>
    <row r="70" spans="1:84" ht="12.65" customHeight="1" x14ac:dyDescent="0.3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>
        <v>0</v>
      </c>
      <c r="P70" s="300"/>
      <c r="Q70" s="300"/>
      <c r="R70" s="300"/>
      <c r="S70" s="300">
        <v>8033.88</v>
      </c>
      <c r="T70" s="300"/>
      <c r="U70" s="185">
        <v>6650</v>
      </c>
      <c r="V70" s="300"/>
      <c r="W70" s="300"/>
      <c r="X70" s="185"/>
      <c r="Y70" s="185"/>
      <c r="Z70" s="185"/>
      <c r="AA70" s="185"/>
      <c r="AB70" s="185">
        <v>461004.44</v>
      </c>
      <c r="AC70" s="185">
        <v>0</v>
      </c>
      <c r="AD70" s="185"/>
      <c r="AE70" s="185">
        <v>13692.68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172802.98</v>
      </c>
      <c r="AQ70" s="185"/>
      <c r="AR70" s="185"/>
      <c r="AS70" s="185"/>
      <c r="AT70" s="185"/>
      <c r="AU70" s="185"/>
      <c r="AV70" s="185"/>
      <c r="AW70" s="185"/>
      <c r="AX70" s="185"/>
      <c r="AY70" s="185">
        <v>114386.4</v>
      </c>
      <c r="AZ70" s="185"/>
      <c r="BA70" s="185"/>
      <c r="BB70" s="185"/>
      <c r="BC70" s="185"/>
      <c r="BD70" s="185"/>
      <c r="BE70" s="185"/>
      <c r="BF70" s="185"/>
      <c r="BG70" s="185">
        <v>1597.5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13379.9</v>
      </c>
      <c r="BW70" s="185"/>
      <c r="BX70" s="185"/>
      <c r="BY70" s="185"/>
      <c r="BZ70" s="185"/>
      <c r="CA70" s="185">
        <v>250</v>
      </c>
      <c r="CB70" s="185"/>
      <c r="CC70" s="185"/>
      <c r="CD70" s="312">
        <v>172984.44</v>
      </c>
      <c r="CE70" s="295">
        <f t="shared" si="0"/>
        <v>964782.22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3007172.6899999995</v>
      </c>
      <c r="F71" s="295">
        <f t="shared" si="5"/>
        <v>335543.83999999997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2204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1204764.04</v>
      </c>
      <c r="P71" s="295">
        <f t="shared" si="5"/>
        <v>2387383.84</v>
      </c>
      <c r="Q71" s="295">
        <f t="shared" si="5"/>
        <v>711505.1399999999</v>
      </c>
      <c r="R71" s="295">
        <f t="shared" si="5"/>
        <v>902411.13</v>
      </c>
      <c r="S71" s="295">
        <f t="shared" si="5"/>
        <v>1313583.17</v>
      </c>
      <c r="T71" s="295">
        <f t="shared" si="5"/>
        <v>0</v>
      </c>
      <c r="U71" s="295">
        <f t="shared" si="5"/>
        <v>1827033.74</v>
      </c>
      <c r="V71" s="295">
        <f t="shared" si="5"/>
        <v>0</v>
      </c>
      <c r="W71" s="295">
        <f t="shared" si="5"/>
        <v>0</v>
      </c>
      <c r="X71" s="295">
        <f t="shared" si="5"/>
        <v>0</v>
      </c>
      <c r="Y71" s="295">
        <f t="shared" si="5"/>
        <v>3344922.0200000005</v>
      </c>
      <c r="Z71" s="295">
        <f t="shared" si="5"/>
        <v>0</v>
      </c>
      <c r="AA71" s="295">
        <f t="shared" si="5"/>
        <v>0</v>
      </c>
      <c r="AB71" s="295">
        <f t="shared" si="5"/>
        <v>484140.26000000007</v>
      </c>
      <c r="AC71" s="295">
        <f t="shared" si="5"/>
        <v>367946.74000000005</v>
      </c>
      <c r="AD71" s="295">
        <f t="shared" si="5"/>
        <v>0</v>
      </c>
      <c r="AE71" s="295">
        <f t="shared" si="5"/>
        <v>647561.95999999973</v>
      </c>
      <c r="AF71" s="295">
        <f t="shared" si="5"/>
        <v>0</v>
      </c>
      <c r="AG71" s="295">
        <f t="shared" si="5"/>
        <v>4472780.9300000006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0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6220750.4900000002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0</v>
      </c>
      <c r="AX71" s="295">
        <f t="shared" si="6"/>
        <v>0</v>
      </c>
      <c r="AY71" s="295">
        <f t="shared" si="6"/>
        <v>479543.86</v>
      </c>
      <c r="AZ71" s="295">
        <f t="shared" si="6"/>
        <v>0</v>
      </c>
      <c r="BA71" s="295">
        <f t="shared" si="6"/>
        <v>175166.69999999998</v>
      </c>
      <c r="BB71" s="295">
        <f t="shared" si="6"/>
        <v>0</v>
      </c>
      <c r="BC71" s="295">
        <f t="shared" si="6"/>
        <v>0</v>
      </c>
      <c r="BD71" s="295">
        <f t="shared" si="6"/>
        <v>161829.66999999998</v>
      </c>
      <c r="BE71" s="295">
        <f t="shared" si="6"/>
        <v>1030423.62</v>
      </c>
      <c r="BF71" s="295">
        <f t="shared" si="6"/>
        <v>491771.07</v>
      </c>
      <c r="BG71" s="295">
        <f t="shared" si="6"/>
        <v>144864.37</v>
      </c>
      <c r="BH71" s="295">
        <f t="shared" si="6"/>
        <v>822227.71000000008</v>
      </c>
      <c r="BI71" s="295">
        <f t="shared" si="6"/>
        <v>0</v>
      </c>
      <c r="BJ71" s="295">
        <f t="shared" si="6"/>
        <v>752639.55</v>
      </c>
      <c r="BK71" s="295">
        <f t="shared" si="6"/>
        <v>1025110.0399999999</v>
      </c>
      <c r="BL71" s="295">
        <f t="shared" si="6"/>
        <v>278291.79000000004</v>
      </c>
      <c r="BM71" s="295">
        <f t="shared" si="6"/>
        <v>0</v>
      </c>
      <c r="BN71" s="295">
        <f t="shared" si="6"/>
        <v>975974.78999999992</v>
      </c>
      <c r="BO71" s="295">
        <f t="shared" si="6"/>
        <v>314131.3</v>
      </c>
      <c r="BP71" s="295">
        <f t="shared" ref="BP71:CC71" si="7">SUM(BP61:BP69)-BP70</f>
        <v>0</v>
      </c>
      <c r="BQ71" s="295">
        <f t="shared" si="7"/>
        <v>0</v>
      </c>
      <c r="BR71" s="295">
        <f t="shared" si="7"/>
        <v>309515.07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587474.97</v>
      </c>
      <c r="BW71" s="295">
        <f t="shared" si="7"/>
        <v>0</v>
      </c>
      <c r="BX71" s="295">
        <f t="shared" si="7"/>
        <v>110701.01000000001</v>
      </c>
      <c r="BY71" s="295">
        <f t="shared" si="7"/>
        <v>281858.69999999995</v>
      </c>
      <c r="BZ71" s="295">
        <f t="shared" si="7"/>
        <v>0</v>
      </c>
      <c r="CA71" s="295">
        <f t="shared" si="7"/>
        <v>109792.75</v>
      </c>
      <c r="CB71" s="295">
        <f t="shared" si="7"/>
        <v>0</v>
      </c>
      <c r="CC71" s="295">
        <f t="shared" si="7"/>
        <v>28044.92</v>
      </c>
      <c r="CD71" s="301">
        <f>CD69-CD70</f>
        <v>351616.69</v>
      </c>
      <c r="CE71" s="295">
        <f>SUM(CE61:CE69)-CE70</f>
        <v>35660682.570000015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12">
        <v>1045047.69</v>
      </c>
      <c r="CF72" s="2"/>
    </row>
    <row r="73" spans="1:84" ht="12.65" customHeight="1" x14ac:dyDescent="0.3">
      <c r="A73" s="302" t="s">
        <v>245</v>
      </c>
      <c r="B73" s="295"/>
      <c r="C73" s="300"/>
      <c r="D73" s="300"/>
      <c r="E73" s="185">
        <f>2207491.67-20338.03+8000</f>
        <v>2195153.64</v>
      </c>
      <c r="F73" s="185">
        <f>392907+1615</f>
        <v>394522</v>
      </c>
      <c r="G73" s="300"/>
      <c r="H73" s="300"/>
      <c r="I73" s="185"/>
      <c r="J73" s="185">
        <v>420774</v>
      </c>
      <c r="K73" s="185"/>
      <c r="L73" s="185"/>
      <c r="M73" s="300"/>
      <c r="N73" s="300"/>
      <c r="O73" s="300">
        <v>1460870.4</v>
      </c>
      <c r="P73" s="185">
        <v>1384104.21</v>
      </c>
      <c r="Q73" s="185">
        <v>256558</v>
      </c>
      <c r="R73" s="185">
        <v>541085.54</v>
      </c>
      <c r="S73" s="185">
        <f>1466610.88+36.25</f>
        <v>1466647.13</v>
      </c>
      <c r="T73" s="185"/>
      <c r="U73" s="185">
        <f>1053106.8+251</f>
        <v>1053357.8</v>
      </c>
      <c r="V73" s="185"/>
      <c r="W73" s="185"/>
      <c r="X73" s="185"/>
      <c r="Y73" s="185">
        <f>629094.87+965</f>
        <v>630059.87</v>
      </c>
      <c r="Z73" s="185"/>
      <c r="AA73" s="185"/>
      <c r="AB73" s="185">
        <f>994605.92+937.5</f>
        <v>995543.42</v>
      </c>
      <c r="AC73" s="185">
        <v>294018</v>
      </c>
      <c r="AD73" s="185"/>
      <c r="AE73" s="185">
        <f>53760+953</f>
        <v>54713</v>
      </c>
      <c r="AF73" s="185"/>
      <c r="AG73" s="185">
        <v>450839.78</v>
      </c>
      <c r="AH73" s="185"/>
      <c r="AI73" s="185"/>
      <c r="AJ73" s="185"/>
      <c r="AK73" s="185"/>
      <c r="AL73" s="185"/>
      <c r="AM73" s="185"/>
      <c r="AN73" s="185"/>
      <c r="AO73" s="185"/>
      <c r="AP73" s="185">
        <f>761875.2+334</f>
        <v>762209.2</v>
      </c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12360455.989999998</v>
      </c>
      <c r="CF73" s="2"/>
    </row>
    <row r="74" spans="1:84" ht="12.65" customHeight="1" x14ac:dyDescent="0.3">
      <c r="A74" s="302" t="s">
        <v>246</v>
      </c>
      <c r="B74" s="295"/>
      <c r="C74" s="300"/>
      <c r="D74" s="300"/>
      <c r="E74" s="185">
        <f>1142272.79-226091.53+19846</f>
        <v>936027.26</v>
      </c>
      <c r="F74" s="185">
        <v>390472</v>
      </c>
      <c r="G74" s="300"/>
      <c r="H74" s="300"/>
      <c r="I74" s="300"/>
      <c r="J74" s="185">
        <v>1288</v>
      </c>
      <c r="K74" s="185"/>
      <c r="L74" s="185"/>
      <c r="M74" s="300"/>
      <c r="N74" s="300"/>
      <c r="O74" s="300">
        <v>169333.06</v>
      </c>
      <c r="P74" s="185">
        <v>4868742.78</v>
      </c>
      <c r="Q74" s="185">
        <v>1691584.78</v>
      </c>
      <c r="R74" s="185">
        <v>1846120.01</v>
      </c>
      <c r="S74" s="185">
        <v>4330058.4800000004</v>
      </c>
      <c r="T74" s="185"/>
      <c r="U74" s="185">
        <f>5627594.47</f>
        <v>5627594.4699999997</v>
      </c>
      <c r="V74" s="185"/>
      <c r="W74" s="185"/>
      <c r="X74" s="185"/>
      <c r="Y74" s="185">
        <v>17453879</v>
      </c>
      <c r="Z74" s="185"/>
      <c r="AA74" s="185"/>
      <c r="AB74" s="185">
        <v>2338590.2400000002</v>
      </c>
      <c r="AC74" s="185">
        <v>692385.38</v>
      </c>
      <c r="AD74" s="185"/>
      <c r="AE74" s="185">
        <v>1661184.16</v>
      </c>
      <c r="AF74" s="185"/>
      <c r="AG74" s="185">
        <v>12132030.029999999</v>
      </c>
      <c r="AH74" s="185"/>
      <c r="AI74" s="185"/>
      <c r="AJ74" s="185"/>
      <c r="AK74" s="185"/>
      <c r="AL74" s="185"/>
      <c r="AM74" s="185"/>
      <c r="AN74" s="185"/>
      <c r="AO74" s="185"/>
      <c r="AP74" s="185">
        <v>7669390.5999999996</v>
      </c>
      <c r="AQ74" s="185"/>
      <c r="AR74" s="185"/>
      <c r="AS74" s="185"/>
      <c r="AT74" s="185"/>
      <c r="AU74" s="185"/>
      <c r="AV74" s="185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61808680.250000007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0</v>
      </c>
      <c r="D75" s="295">
        <f t="shared" si="9"/>
        <v>0</v>
      </c>
      <c r="E75" s="295">
        <f t="shared" si="9"/>
        <v>3131180.9000000004</v>
      </c>
      <c r="F75" s="295">
        <f t="shared" si="9"/>
        <v>784994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422062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1630203.46</v>
      </c>
      <c r="P75" s="295">
        <f t="shared" si="9"/>
        <v>6252846.9900000002</v>
      </c>
      <c r="Q75" s="295">
        <f t="shared" si="9"/>
        <v>1948142.78</v>
      </c>
      <c r="R75" s="295">
        <f t="shared" si="9"/>
        <v>2387205.5499999998</v>
      </c>
      <c r="S75" s="295">
        <f t="shared" si="9"/>
        <v>5796705.6100000003</v>
      </c>
      <c r="T75" s="295">
        <f t="shared" si="9"/>
        <v>0</v>
      </c>
      <c r="U75" s="295">
        <f t="shared" si="9"/>
        <v>6680952.2699999996</v>
      </c>
      <c r="V75" s="295">
        <f t="shared" si="9"/>
        <v>0</v>
      </c>
      <c r="W75" s="295">
        <f t="shared" si="9"/>
        <v>0</v>
      </c>
      <c r="X75" s="295">
        <f t="shared" si="9"/>
        <v>0</v>
      </c>
      <c r="Y75" s="295">
        <f t="shared" si="9"/>
        <v>18083938.870000001</v>
      </c>
      <c r="Z75" s="295">
        <f t="shared" si="9"/>
        <v>0</v>
      </c>
      <c r="AA75" s="295">
        <f t="shared" si="9"/>
        <v>0</v>
      </c>
      <c r="AB75" s="295">
        <f t="shared" si="9"/>
        <v>3334133.66</v>
      </c>
      <c r="AC75" s="295">
        <f t="shared" si="9"/>
        <v>986403.38</v>
      </c>
      <c r="AD75" s="295">
        <f t="shared" si="9"/>
        <v>0</v>
      </c>
      <c r="AE75" s="295">
        <f t="shared" si="9"/>
        <v>1715897.16</v>
      </c>
      <c r="AF75" s="295">
        <f t="shared" si="9"/>
        <v>0</v>
      </c>
      <c r="AG75" s="295">
        <f t="shared" si="9"/>
        <v>12582869.809999999</v>
      </c>
      <c r="AH75" s="295">
        <f t="shared" si="9"/>
        <v>0</v>
      </c>
      <c r="AI75" s="295">
        <f t="shared" si="9"/>
        <v>0</v>
      </c>
      <c r="AJ75" s="295">
        <f t="shared" si="9"/>
        <v>0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8431599.7999999989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74169136.239999995</v>
      </c>
      <c r="CF75" s="2"/>
    </row>
    <row r="76" spans="1:84" ht="12.65" customHeight="1" x14ac:dyDescent="0.3">
      <c r="A76" s="302" t="s">
        <v>248</v>
      </c>
      <c r="B76" s="295"/>
      <c r="C76" s="300"/>
      <c r="D76" s="300"/>
      <c r="E76" s="306">
        <f>4958+1058+188+97+100</f>
        <v>6401</v>
      </c>
      <c r="F76" s="306"/>
      <c r="G76" s="300"/>
      <c r="H76" s="300"/>
      <c r="I76" s="306"/>
      <c r="J76" s="306">
        <v>142</v>
      </c>
      <c r="K76" s="306"/>
      <c r="L76" s="306"/>
      <c r="M76" s="306"/>
      <c r="N76" s="306"/>
      <c r="O76" s="306">
        <v>1764</v>
      </c>
      <c r="P76" s="306">
        <f>4085+50</f>
        <v>4135</v>
      </c>
      <c r="Q76" s="306">
        <v>1211</v>
      </c>
      <c r="R76" s="306"/>
      <c r="S76" s="306">
        <v>1628</v>
      </c>
      <c r="T76" s="306"/>
      <c r="U76" s="306">
        <v>1213</v>
      </c>
      <c r="V76" s="306"/>
      <c r="W76" s="306"/>
      <c r="X76" s="306"/>
      <c r="Y76" s="306">
        <v>5347</v>
      </c>
      <c r="Z76" s="306"/>
      <c r="AA76" s="306"/>
      <c r="AB76" s="306">
        <v>588</v>
      </c>
      <c r="AC76" s="306">
        <v>394</v>
      </c>
      <c r="AD76" s="306"/>
      <c r="AE76" s="306">
        <v>2944</v>
      </c>
      <c r="AF76" s="306"/>
      <c r="AG76" s="306">
        <v>3601</v>
      </c>
      <c r="AH76" s="306"/>
      <c r="AI76" s="306"/>
      <c r="AJ76" s="306"/>
      <c r="AK76" s="306"/>
      <c r="AL76" s="306"/>
      <c r="AM76" s="306"/>
      <c r="AN76" s="306"/>
      <c r="AO76" s="306"/>
      <c r="AP76" s="306">
        <f>15629+100</f>
        <v>15729</v>
      </c>
      <c r="AQ76" s="306"/>
      <c r="AR76" s="306"/>
      <c r="AS76" s="306"/>
      <c r="AT76" s="306"/>
      <c r="AU76" s="306"/>
      <c r="AV76" s="306"/>
      <c r="AW76" s="306"/>
      <c r="AX76" s="306"/>
      <c r="AY76" s="306">
        <f>1395+651+305</f>
        <v>2351</v>
      </c>
      <c r="AZ76" s="306"/>
      <c r="BA76" s="306">
        <v>506</v>
      </c>
      <c r="BB76" s="306"/>
      <c r="BC76" s="306"/>
      <c r="BD76" s="306">
        <v>343</v>
      </c>
      <c r="BE76" s="306">
        <f>1822+8854+1689+12368</f>
        <v>24733</v>
      </c>
      <c r="BF76" s="306">
        <f>156+194</f>
        <v>350</v>
      </c>
      <c r="BG76" s="306">
        <v>292</v>
      </c>
      <c r="BH76" s="306">
        <f>436+216</f>
        <v>652</v>
      </c>
      <c r="BI76" s="306"/>
      <c r="BJ76" s="306">
        <f>138+477</f>
        <v>615</v>
      </c>
      <c r="BK76" s="306">
        <f>82+1671</f>
        <v>1753</v>
      </c>
      <c r="BL76" s="306">
        <v>252</v>
      </c>
      <c r="BM76" s="306"/>
      <c r="BN76" s="306">
        <v>701</v>
      </c>
      <c r="BO76" s="306"/>
      <c r="BP76" s="306"/>
      <c r="BQ76" s="306"/>
      <c r="BR76" s="306">
        <v>323</v>
      </c>
      <c r="BS76" s="306"/>
      <c r="BT76" s="306"/>
      <c r="BU76" s="306"/>
      <c r="BV76" s="306">
        <v>1508</v>
      </c>
      <c r="BW76" s="306"/>
      <c r="BX76" s="306"/>
      <c r="BY76" s="306">
        <f>148+117</f>
        <v>265</v>
      </c>
      <c r="BZ76" s="306"/>
      <c r="CA76" s="306">
        <f>31+2807</f>
        <v>2838</v>
      </c>
      <c r="CB76" s="306"/>
      <c r="CC76" s="306"/>
      <c r="CD76" s="305" t="s">
        <v>221</v>
      </c>
      <c r="CE76" s="295">
        <f t="shared" si="8"/>
        <v>82579</v>
      </c>
      <c r="CF76" s="295">
        <f>BE59-CE76</f>
        <v>0</v>
      </c>
    </row>
    <row r="77" spans="1:84" ht="12.65" customHeight="1" x14ac:dyDescent="0.3">
      <c r="A77" s="302" t="s">
        <v>249</v>
      </c>
      <c r="B77" s="295"/>
      <c r="C77" s="300"/>
      <c r="D77" s="300"/>
      <c r="E77" s="300">
        <v>6198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>
        <v>2066</v>
      </c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8264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/>
      <c r="D78" s="300"/>
      <c r="E78" s="300">
        <v>4930.25</v>
      </c>
      <c r="F78" s="300"/>
      <c r="G78" s="300"/>
      <c r="H78" s="300"/>
      <c r="I78" s="300"/>
      <c r="J78" s="300"/>
      <c r="K78" s="300"/>
      <c r="L78" s="300"/>
      <c r="M78" s="300"/>
      <c r="N78" s="300"/>
      <c r="O78" s="300">
        <v>1274.6400000000001</v>
      </c>
      <c r="P78" s="300">
        <v>1371</v>
      </c>
      <c r="Q78" s="300">
        <v>1149.01</v>
      </c>
      <c r="R78" s="300"/>
      <c r="S78" s="300">
        <v>348.85</v>
      </c>
      <c r="T78" s="300"/>
      <c r="U78" s="300">
        <v>584.26</v>
      </c>
      <c r="V78" s="300"/>
      <c r="W78" s="300"/>
      <c r="X78" s="300"/>
      <c r="Y78" s="300">
        <v>691.6</v>
      </c>
      <c r="Z78" s="300"/>
      <c r="AA78" s="300"/>
      <c r="AB78" s="300">
        <v>171.99</v>
      </c>
      <c r="AC78" s="300">
        <v>297.62</v>
      </c>
      <c r="AD78" s="300"/>
      <c r="AE78" s="300">
        <v>273.22000000000003</v>
      </c>
      <c r="AF78" s="300"/>
      <c r="AG78" s="300">
        <v>5240.0600000000004</v>
      </c>
      <c r="AH78" s="300"/>
      <c r="AI78" s="300"/>
      <c r="AJ78" s="300"/>
      <c r="AK78" s="300"/>
      <c r="AL78" s="300"/>
      <c r="AM78" s="300"/>
      <c r="AN78" s="300"/>
      <c r="AO78" s="300"/>
      <c r="AP78" s="300">
        <v>2067.5</v>
      </c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>
        <v>569.63</v>
      </c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18969.63</v>
      </c>
      <c r="CF78" s="295"/>
    </row>
    <row r="79" spans="1:84" ht="12.65" customHeight="1" x14ac:dyDescent="0.3">
      <c r="A79" s="302" t="s">
        <v>251</v>
      </c>
      <c r="B79" s="295"/>
      <c r="C79" s="313"/>
      <c r="D79" s="313"/>
      <c r="E79" s="300">
        <v>89694.8</v>
      </c>
      <c r="F79" s="300"/>
      <c r="G79" s="300"/>
      <c r="H79" s="300"/>
      <c r="I79" s="300"/>
      <c r="J79" s="300"/>
      <c r="K79" s="300"/>
      <c r="L79" s="300"/>
      <c r="M79" s="300"/>
      <c r="N79" s="300"/>
      <c r="O79" s="300">
        <v>9201.67</v>
      </c>
      <c r="P79" s="300">
        <v>49912.62</v>
      </c>
      <c r="Q79" s="300"/>
      <c r="R79" s="300"/>
      <c r="S79" s="300"/>
      <c r="T79" s="300"/>
      <c r="U79" s="300"/>
      <c r="V79" s="300"/>
      <c r="W79" s="300"/>
      <c r="X79" s="300"/>
      <c r="Y79" s="300">
        <v>599.08000000000004</v>
      </c>
      <c r="Z79" s="300"/>
      <c r="AA79" s="300"/>
      <c r="AB79" s="300"/>
      <c r="AC79" s="300"/>
      <c r="AD79" s="300"/>
      <c r="AE79" s="300"/>
      <c r="AF79" s="300"/>
      <c r="AG79" s="300">
        <v>23184.77</v>
      </c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172592.93999999997</v>
      </c>
      <c r="CF79" s="295">
        <f>BA59</f>
        <v>0</v>
      </c>
    </row>
    <row r="80" spans="1:84" ht="12.65" customHeight="1" x14ac:dyDescent="0.3">
      <c r="A80" s="302" t="s">
        <v>252</v>
      </c>
      <c r="B80" s="295"/>
      <c r="C80" s="187"/>
      <c r="D80" s="187"/>
      <c r="E80" s="187">
        <v>14.43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6.18</v>
      </c>
      <c r="P80" s="187">
        <v>3.15</v>
      </c>
      <c r="Q80" s="187">
        <v>4.26</v>
      </c>
      <c r="R80" s="187"/>
      <c r="S80" s="187"/>
      <c r="T80" s="187"/>
      <c r="U80" s="187"/>
      <c r="V80" s="187"/>
      <c r="W80" s="187"/>
      <c r="X80" s="187"/>
      <c r="Y80" s="187">
        <v>0.24</v>
      </c>
      <c r="Z80" s="187"/>
      <c r="AA80" s="187"/>
      <c r="AB80" s="187"/>
      <c r="AC80" s="187"/>
      <c r="AD80" s="187"/>
      <c r="AE80" s="187"/>
      <c r="AF80" s="187"/>
      <c r="AG80" s="187">
        <v>7.48</v>
      </c>
      <c r="AH80" s="187"/>
      <c r="AI80" s="187"/>
      <c r="AJ80" s="187"/>
      <c r="AK80" s="187"/>
      <c r="AL80" s="187"/>
      <c r="AM80" s="187"/>
      <c r="AN80" s="187"/>
      <c r="AO80" s="187"/>
      <c r="AP80" s="187">
        <v>11.9</v>
      </c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14"/>
      <c r="BV80" s="314"/>
      <c r="BW80" s="314"/>
      <c r="BX80" s="314"/>
      <c r="BY80" s="314"/>
      <c r="BZ80" s="314"/>
      <c r="CA80" s="314"/>
      <c r="CB80" s="314"/>
      <c r="CC80" s="305" t="s">
        <v>221</v>
      </c>
      <c r="CD80" s="305" t="s">
        <v>221</v>
      </c>
      <c r="CE80" s="315">
        <f t="shared" si="8"/>
        <v>47.639999999999993</v>
      </c>
      <c r="CF80" s="315"/>
    </row>
    <row r="81" spans="1:84" ht="21" customHeight="1" x14ac:dyDescent="0.3">
      <c r="A81" s="316" t="s">
        <v>253</v>
      </c>
      <c r="B81" s="316"/>
      <c r="C81" s="316"/>
      <c r="D81" s="316"/>
      <c r="E81" s="3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7"/>
      <c r="C82" s="318" t="s">
        <v>1267</v>
      </c>
      <c r="D82" s="319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7" t="s">
        <v>256</v>
      </c>
      <c r="C83" s="320" t="s">
        <v>1268</v>
      </c>
      <c r="D83" s="319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7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7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7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7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7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7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7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7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7" t="s">
        <v>256</v>
      </c>
      <c r="C92" s="270" t="s">
        <v>1277</v>
      </c>
      <c r="D92" s="319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7" t="s">
        <v>256</v>
      </c>
      <c r="C93" s="270" t="s">
        <v>1278</v>
      </c>
      <c r="D93" s="319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6" t="s">
        <v>265</v>
      </c>
      <c r="B95" s="316"/>
      <c r="C95" s="316"/>
      <c r="D95" s="316"/>
      <c r="E95" s="3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21" t="s">
        <v>266</v>
      </c>
      <c r="B96" s="321"/>
      <c r="C96" s="321"/>
      <c r="D96" s="321"/>
      <c r="E96" s="32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7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7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7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21" t="s">
        <v>269</v>
      </c>
      <c r="B100" s="321"/>
      <c r="C100" s="321"/>
      <c r="D100" s="321"/>
      <c r="E100" s="32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7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7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21" t="s">
        <v>271</v>
      </c>
      <c r="B103" s="321"/>
      <c r="C103" s="321"/>
      <c r="D103" s="321"/>
      <c r="E103" s="32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7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7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7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7"/>
      <c r="C107" s="322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3" t="s">
        <v>275</v>
      </c>
      <c r="B108" s="316"/>
      <c r="C108" s="316"/>
      <c r="D108" s="316"/>
      <c r="E108" s="31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7"/>
      <c r="C109" s="322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7" t="s">
        <v>256</v>
      </c>
      <c r="C111" s="324">
        <v>712</v>
      </c>
      <c r="D111" s="299">
        <v>1726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7" t="s">
        <v>256</v>
      </c>
      <c r="C112" s="324">
        <v>1</v>
      </c>
      <c r="D112" s="299">
        <v>8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7" t="s">
        <v>256</v>
      </c>
      <c r="C113" s="324"/>
      <c r="D113" s="299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7" t="s">
        <v>256</v>
      </c>
      <c r="C114" s="324">
        <v>266</v>
      </c>
      <c r="D114" s="299">
        <v>377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7" t="s">
        <v>256</v>
      </c>
      <c r="C116" s="324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7" t="s">
        <v>256</v>
      </c>
      <c r="C117" s="324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7" t="s">
        <v>256</v>
      </c>
      <c r="C118" s="324">
        <v>25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7" t="s">
        <v>256</v>
      </c>
      <c r="C119" s="324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7" t="s">
        <v>256</v>
      </c>
      <c r="C120" s="324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7" t="s">
        <v>256</v>
      </c>
      <c r="C121" s="324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7" t="s">
        <v>256</v>
      </c>
      <c r="C122" s="324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7" t="s">
        <v>256</v>
      </c>
      <c r="C123" s="324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7"/>
      <c r="C124" s="324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7" t="s">
        <v>256</v>
      </c>
      <c r="C125" s="324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7" t="s">
        <v>256</v>
      </c>
      <c r="C126" s="324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7" t="s">
        <v>256</v>
      </c>
      <c r="C128" s="324">
        <v>44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7" t="s">
        <v>256</v>
      </c>
      <c r="C129" s="324">
        <v>6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7" t="s">
        <v>256</v>
      </c>
      <c r="C131" s="324">
        <v>13092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6" t="s">
        <v>1239</v>
      </c>
      <c r="B136" s="323"/>
      <c r="C136" s="323"/>
      <c r="D136" s="323"/>
      <c r="E136" s="32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5" t="s">
        <v>295</v>
      </c>
      <c r="B137" s="326" t="s">
        <v>296</v>
      </c>
      <c r="C137" s="327" t="s">
        <v>297</v>
      </c>
      <c r="D137" s="326" t="s">
        <v>132</v>
      </c>
      <c r="E137" s="326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299">
        <f>215+29-1</f>
        <v>243</v>
      </c>
      <c r="C138" s="324">
        <f>78+207</f>
        <v>285</v>
      </c>
      <c r="D138" s="299">
        <v>184</v>
      </c>
      <c r="E138" s="295">
        <f>SUM(B138:D138)</f>
        <v>712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299">
        <f>636+99-8</f>
        <v>727</v>
      </c>
      <c r="C139" s="324">
        <f>162+429</f>
        <v>591</v>
      </c>
      <c r="D139" s="299">
        <v>408</v>
      </c>
      <c r="E139" s="295">
        <f>SUM(B139:D139)</f>
        <v>1726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299">
        <f>10839+1801</f>
        <v>12640</v>
      </c>
      <c r="C140" s="299">
        <f>1864+9068</f>
        <v>10932</v>
      </c>
      <c r="D140" s="299">
        <f>36339-12640-10932</f>
        <v>12767</v>
      </c>
      <c r="E140" s="295">
        <f>SUM(B140:D140)</f>
        <v>36339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299">
        <f>804732.21+3782700.15</f>
        <v>4587432.3599999994</v>
      </c>
      <c r="C141" s="324">
        <f>1440405.96+3206609.41</f>
        <v>4647015.37</v>
      </c>
      <c r="D141" s="299">
        <f>12347364.24-4587432.36-4647015.37</f>
        <v>3112916.51</v>
      </c>
      <c r="E141" s="295">
        <f>SUM(B141:D141)</f>
        <v>12347364.24</v>
      </c>
      <c r="F141" s="3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299">
        <f>3084465.57+293816.43+18673622.22+1542521.44</f>
        <v>23594425.66</v>
      </c>
      <c r="C142" s="299">
        <f>3693548.65+177457.56+13211089.23+1171600.38</f>
        <v>18253695.82</v>
      </c>
      <c r="D142" s="299">
        <v>19960558.77</v>
      </c>
      <c r="E142" s="295">
        <f>SUM(B142:D142)</f>
        <v>61808680.25</v>
      </c>
      <c r="F142" s="3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5" t="s">
        <v>299</v>
      </c>
      <c r="B143" s="326" t="s">
        <v>296</v>
      </c>
      <c r="C143" s="327" t="s">
        <v>297</v>
      </c>
      <c r="D143" s="326" t="s">
        <v>132</v>
      </c>
      <c r="E143" s="326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299">
        <v>1</v>
      </c>
      <c r="C144" s="324"/>
      <c r="D144" s="299"/>
      <c r="E144" s="295">
        <f>SUM(B144:D144)</f>
        <v>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299">
        <v>8</v>
      </c>
      <c r="C145" s="324"/>
      <c r="D145" s="299"/>
      <c r="E145" s="295">
        <f>SUM(B145:D145)</f>
        <v>8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299"/>
      <c r="C146" s="324"/>
      <c r="D146" s="299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299">
        <v>13091.75</v>
      </c>
      <c r="C147" s="324"/>
      <c r="D147" s="299"/>
      <c r="E147" s="295">
        <f>SUM(B147:D147)</f>
        <v>13091.75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299"/>
      <c r="C148" s="324"/>
      <c r="D148" s="299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5" t="s">
        <v>300</v>
      </c>
      <c r="B149" s="326" t="s">
        <v>296</v>
      </c>
      <c r="C149" s="327" t="s">
        <v>297</v>
      </c>
      <c r="D149" s="326" t="s">
        <v>132</v>
      </c>
      <c r="E149" s="326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9"/>
      <c r="D155" s="330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5" t="s">
        <v>301</v>
      </c>
      <c r="B156" s="326" t="s">
        <v>302</v>
      </c>
      <c r="C156" s="327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299">
        <v>11278983.26</v>
      </c>
      <c r="C157" s="299">
        <v>3750579.18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30"/>
      <c r="C158" s="329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9"/>
      <c r="D159" s="330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9"/>
      <c r="D160" s="330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9"/>
      <c r="D161" s="330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9"/>
      <c r="D162" s="330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3" t="s">
        <v>305</v>
      </c>
      <c r="B163" s="316"/>
      <c r="C163" s="316"/>
      <c r="D163" s="316"/>
      <c r="E163" s="31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">
      <c r="A164" s="321" t="s">
        <v>306</v>
      </c>
      <c r="B164" s="321"/>
      <c r="C164" s="321"/>
      <c r="D164" s="321"/>
      <c r="E164" s="32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">
      <c r="A165" s="295" t="s">
        <v>307</v>
      </c>
      <c r="B165" s="317" t="s">
        <v>256</v>
      </c>
      <c r="C165" s="324">
        <v>1138277.3400000001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">
      <c r="A166" s="295" t="s">
        <v>308</v>
      </c>
      <c r="B166" s="317" t="s">
        <v>256</v>
      </c>
      <c r="C166" s="324">
        <v>61644.21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">
      <c r="A167" s="301" t="s">
        <v>309</v>
      </c>
      <c r="B167" s="317" t="s">
        <v>256</v>
      </c>
      <c r="C167" s="324">
        <v>260935.88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">
      <c r="A168" s="295" t="s">
        <v>310</v>
      </c>
      <c r="B168" s="317" t="s">
        <v>256</v>
      </c>
      <c r="C168" s="324">
        <v>2138744.79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">
      <c r="A169" s="295" t="s">
        <v>311</v>
      </c>
      <c r="B169" s="317" t="s">
        <v>256</v>
      </c>
      <c r="C169" s="324">
        <v>39677.24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">
      <c r="A170" s="295" t="s">
        <v>312</v>
      </c>
      <c r="B170" s="317" t="s">
        <v>256</v>
      </c>
      <c r="C170" s="324">
        <v>265615.14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">
      <c r="A171" s="295" t="s">
        <v>313</v>
      </c>
      <c r="B171" s="317" t="s">
        <v>256</v>
      </c>
      <c r="C171" s="324">
        <v>23629.02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">
      <c r="A172" s="295" t="s">
        <v>313</v>
      </c>
      <c r="B172" s="317" t="s">
        <v>256</v>
      </c>
      <c r="C172" s="324">
        <v>21397.78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">
      <c r="A173" s="295" t="s">
        <v>203</v>
      </c>
      <c r="B173" s="295"/>
      <c r="C173" s="303"/>
      <c r="D173" s="295">
        <f>SUM(C165:C172)</f>
        <v>3949921.4000000004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">
      <c r="A174" s="321" t="s">
        <v>314</v>
      </c>
      <c r="B174" s="321"/>
      <c r="C174" s="321"/>
      <c r="D174" s="321"/>
      <c r="E174" s="32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">
      <c r="A175" s="295" t="s">
        <v>315</v>
      </c>
      <c r="B175" s="317" t="s">
        <v>256</v>
      </c>
      <c r="C175" s="324">
        <v>2600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">
      <c r="A176" s="295" t="s">
        <v>316</v>
      </c>
      <c r="B176" s="317" t="s">
        <v>256</v>
      </c>
      <c r="C176" s="324">
        <v>269873.89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">
      <c r="A177" s="295" t="s">
        <v>203</v>
      </c>
      <c r="B177" s="295"/>
      <c r="C177" s="303"/>
      <c r="D177" s="295">
        <f>SUM(C175:C176)</f>
        <v>272473.89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">
      <c r="A178" s="321" t="s">
        <v>317</v>
      </c>
      <c r="B178" s="321"/>
      <c r="C178" s="321"/>
      <c r="D178" s="321"/>
      <c r="E178" s="32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">
      <c r="A179" s="295" t="s">
        <v>318</v>
      </c>
      <c r="B179" s="317" t="s">
        <v>256</v>
      </c>
      <c r="C179" s="324">
        <v>373522.75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">
      <c r="A180" s="295" t="s">
        <v>319</v>
      </c>
      <c r="B180" s="317" t="s">
        <v>256</v>
      </c>
      <c r="C180" s="324">
        <v>147973.76999999999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">
      <c r="A181" s="295" t="s">
        <v>203</v>
      </c>
      <c r="B181" s="295"/>
      <c r="C181" s="303"/>
      <c r="D181" s="295">
        <f>SUM(C179:C180)</f>
        <v>521496.52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">
      <c r="A182" s="321" t="s">
        <v>320</v>
      </c>
      <c r="B182" s="321"/>
      <c r="C182" s="321"/>
      <c r="D182" s="321"/>
      <c r="E182" s="32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">
      <c r="A183" s="295" t="s">
        <v>321</v>
      </c>
      <c r="B183" s="317" t="s">
        <v>256</v>
      </c>
      <c r="C183" s="324">
        <v>34619.67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">
      <c r="A184" s="295" t="s">
        <v>322</v>
      </c>
      <c r="B184" s="317" t="s">
        <v>256</v>
      </c>
      <c r="C184" s="324">
        <v>179368.21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">
      <c r="A185" s="295" t="s">
        <v>132</v>
      </c>
      <c r="B185" s="317" t="s">
        <v>256</v>
      </c>
      <c r="C185" s="324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">
      <c r="A186" s="295" t="s">
        <v>203</v>
      </c>
      <c r="B186" s="295"/>
      <c r="C186" s="303"/>
      <c r="D186" s="295">
        <f>SUM(C183:C185)</f>
        <v>213987.88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">
      <c r="A187" s="321" t="s">
        <v>323</v>
      </c>
      <c r="B187" s="321"/>
      <c r="C187" s="321"/>
      <c r="D187" s="321"/>
      <c r="E187" s="32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">
      <c r="A188" s="295" t="s">
        <v>324</v>
      </c>
      <c r="B188" s="317" t="s">
        <v>256</v>
      </c>
      <c r="C188" s="324">
        <v>285796.57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">
      <c r="A189" s="295" t="s">
        <v>325</v>
      </c>
      <c r="B189" s="317" t="s">
        <v>256</v>
      </c>
      <c r="C189" s="324"/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">
      <c r="A190" s="295" t="s">
        <v>203</v>
      </c>
      <c r="B190" s="295"/>
      <c r="C190" s="303"/>
      <c r="D190" s="295">
        <f>SUM(C188:C189)</f>
        <v>285796.57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6" t="s">
        <v>326</v>
      </c>
      <c r="B192" s="316"/>
      <c r="C192" s="316"/>
      <c r="D192" s="316"/>
      <c r="E192" s="31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3" t="s">
        <v>327</v>
      </c>
      <c r="B193" s="316"/>
      <c r="C193" s="316"/>
      <c r="D193" s="316"/>
      <c r="E193" s="31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146305.63</v>
      </c>
      <c r="C195" s="189"/>
      <c r="D195" s="174"/>
      <c r="E195" s="295">
        <f t="shared" ref="E195:E203" si="10">SUM(B195:C195)-D195</f>
        <v>146305.63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1128015.8799999999</v>
      </c>
      <c r="C196" s="189">
        <v>-25506.15</v>
      </c>
      <c r="D196" s="174"/>
      <c r="E196" s="295">
        <f t="shared" si="10"/>
        <v>1102509.73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v>7901929</v>
      </c>
      <c r="C197" s="189">
        <v>15659.86</v>
      </c>
      <c r="D197" s="174"/>
      <c r="E197" s="295">
        <f t="shared" si="10"/>
        <v>7917588.8600000003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>
        <v>5860084.0899999999</v>
      </c>
      <c r="C198" s="189">
        <v>25605.16</v>
      </c>
      <c r="D198" s="174"/>
      <c r="E198" s="295">
        <f t="shared" si="10"/>
        <v>5885689.25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290017.28999999998</v>
      </c>
      <c r="C199" s="189">
        <v>8742.51</v>
      </c>
      <c r="D199" s="174">
        <v>772.92</v>
      </c>
      <c r="E199" s="295">
        <f t="shared" si="10"/>
        <v>297986.88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174">
        <v>10880522.08</v>
      </c>
      <c r="C200" s="189">
        <f>440804.92+20604.91</f>
        <v>461409.82999999996</v>
      </c>
      <c r="D200" s="174">
        <v>1004209.34</v>
      </c>
      <c r="E200" s="295">
        <f t="shared" si="10"/>
        <v>10337722.57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174"/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/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>
        <v>54217.53</v>
      </c>
      <c r="C203" s="189">
        <v>51092.5</v>
      </c>
      <c r="D203" s="174">
        <v>54217.53</v>
      </c>
      <c r="E203" s="295">
        <f t="shared" si="10"/>
        <v>51092.5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26261091.5</v>
      </c>
      <c r="C204" s="303">
        <f>SUM(C195:C203)</f>
        <v>537003.71</v>
      </c>
      <c r="D204" s="295">
        <f>SUM(D195:D203)</f>
        <v>1059199.79</v>
      </c>
      <c r="E204" s="295">
        <f>SUM(E195:E203)</f>
        <v>25738895.420000002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3" t="s">
        <v>341</v>
      </c>
      <c r="B206" s="323"/>
      <c r="C206" s="323"/>
      <c r="D206" s="323"/>
      <c r="E206" s="32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30"/>
      <c r="C208" s="329"/>
      <c r="D208" s="330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299">
        <v>831003.19</v>
      </c>
      <c r="C209" s="324">
        <f>31366.55-8606.88</f>
        <v>22759.67</v>
      </c>
      <c r="D209" s="299"/>
      <c r="E209" s="295">
        <f t="shared" ref="E209:E216" si="11">SUM(B209:C209)-D209</f>
        <v>853762.86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299">
        <v>4582787.43</v>
      </c>
      <c r="C210" s="324">
        <v>279098.75</v>
      </c>
      <c r="D210" s="299"/>
      <c r="E210" s="295">
        <f t="shared" si="11"/>
        <v>4861886.18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299">
        <v>2888371.21</v>
      </c>
      <c r="C211" s="324">
        <v>289538.90000000002</v>
      </c>
      <c r="D211" s="299"/>
      <c r="E211" s="295">
        <f t="shared" si="11"/>
        <v>3177910.11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299">
        <v>165881.47</v>
      </c>
      <c r="C212" s="324">
        <v>11923.18</v>
      </c>
      <c r="D212" s="299">
        <v>772.92</v>
      </c>
      <c r="E212" s="295">
        <f t="shared" si="11"/>
        <v>177031.72999999998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299">
        <v>6664790.0300000003</v>
      </c>
      <c r="C213" s="324">
        <f>691250.17+710629.16</f>
        <v>1401879.33</v>
      </c>
      <c r="D213" s="299">
        <v>995384.62</v>
      </c>
      <c r="E213" s="295">
        <f t="shared" si="11"/>
        <v>7071284.7400000002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299"/>
      <c r="C214" s="324"/>
      <c r="D214" s="299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299"/>
      <c r="C215" s="324"/>
      <c r="D215" s="299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299"/>
      <c r="C216" s="324"/>
      <c r="D216" s="299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15132833.329999998</v>
      </c>
      <c r="C217" s="303">
        <f>SUM(C208:C216)</f>
        <v>2005199.83</v>
      </c>
      <c r="D217" s="295">
        <f>SUM(D208:D216)</f>
        <v>996157.54</v>
      </c>
      <c r="E217" s="295">
        <f>SUM(E208:E216)</f>
        <v>16141875.620000001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6" t="s">
        <v>342</v>
      </c>
      <c r="B219" s="316"/>
      <c r="C219" s="316"/>
      <c r="D219" s="316"/>
      <c r="E219" s="31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6"/>
      <c r="B220" s="348" t="s">
        <v>1254</v>
      </c>
      <c r="C220" s="348"/>
      <c r="D220" s="316"/>
      <c r="E220" s="31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31" t="s">
        <v>1254</v>
      </c>
      <c r="B221" s="316"/>
      <c r="C221" s="324">
        <f>1207974.28+23538.32</f>
        <v>1231512.6000000001</v>
      </c>
      <c r="D221" s="317">
        <f>C221</f>
        <v>1231512.6000000001</v>
      </c>
      <c r="E221" s="31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21" t="s">
        <v>343</v>
      </c>
      <c r="B222" s="321"/>
      <c r="C222" s="321"/>
      <c r="D222" s="321"/>
      <c r="E222" s="32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7" t="s">
        <v>256</v>
      </c>
      <c r="C223" s="324">
        <f>2014770.14+13612266.31</f>
        <v>15627036.450000001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7" t="s">
        <v>256</v>
      </c>
      <c r="C224" s="324">
        <f>3046526.2-357558.74+9292292.23</f>
        <v>11981259.690000001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7" t="s">
        <v>256</v>
      </c>
      <c r="C225" s="324">
        <f>1219688.79-56314.95</f>
        <v>1163373.8400000001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7" t="s">
        <v>256</v>
      </c>
      <c r="C226" s="324">
        <v>357702.24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7" t="s">
        <v>256</v>
      </c>
      <c r="C227" s="324">
        <f>3947900.11+24723.9-115570.01+316.1</f>
        <v>3857370.1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7" t="s">
        <v>256</v>
      </c>
      <c r="C228" s="324"/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32986742.32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21" t="s">
        <v>351</v>
      </c>
      <c r="B230" s="321"/>
      <c r="C230" s="321"/>
      <c r="D230" s="321"/>
      <c r="E230" s="32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7" t="s">
        <v>256</v>
      </c>
      <c r="C231" s="324">
        <v>2155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7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7" t="s">
        <v>256</v>
      </c>
      <c r="C233" s="324">
        <v>240539.05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7" t="s">
        <v>256</v>
      </c>
      <c r="C234" s="324">
        <v>1034144.28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1274683.33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21" t="s">
        <v>356</v>
      </c>
      <c r="B237" s="321"/>
      <c r="C237" s="321"/>
      <c r="D237" s="321"/>
      <c r="E237" s="32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7" t="s">
        <v>256</v>
      </c>
      <c r="C238" s="324">
        <f>3989674.8+206682.75</f>
        <v>4196357.55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7" t="s">
        <v>256</v>
      </c>
      <c r="C239" s="324">
        <f>56839.94+64226.62</f>
        <v>121066.56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4317424.1099999994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39810362.359999999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6" t="s">
        <v>360</v>
      </c>
      <c r="B248" s="316"/>
      <c r="C248" s="316"/>
      <c r="D248" s="316"/>
      <c r="E248" s="3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21" t="s">
        <v>361</v>
      </c>
      <c r="B249" s="321"/>
      <c r="C249" s="321"/>
      <c r="D249" s="321"/>
      <c r="E249" s="32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7" t="s">
        <v>256</v>
      </c>
      <c r="C250" s="324">
        <v>16071007.82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7" t="s">
        <v>256</v>
      </c>
      <c r="C251" s="324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7" t="s">
        <v>256</v>
      </c>
      <c r="C252" s="324">
        <v>14860946.66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7" t="s">
        <v>256</v>
      </c>
      <c r="C253" s="324">
        <v>9406949.5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7" t="s">
        <v>256</v>
      </c>
      <c r="C254" s="324">
        <v>593589.56000000006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7" t="s">
        <v>256</v>
      </c>
      <c r="C255" s="324">
        <v>170240.61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7" t="s">
        <v>256</v>
      </c>
      <c r="C256" s="324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7" t="s">
        <v>256</v>
      </c>
      <c r="C257" s="324">
        <v>829927.72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7" t="s">
        <v>256</v>
      </c>
      <c r="C258" s="324">
        <v>192693.77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7" t="s">
        <v>256</v>
      </c>
      <c r="C259" s="324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23311456.640000001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21" t="s">
        <v>372</v>
      </c>
      <c r="B261" s="321"/>
      <c r="C261" s="321"/>
      <c r="D261" s="321"/>
      <c r="E261" s="32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7" t="s">
        <v>256</v>
      </c>
      <c r="C262" s="324">
        <v>716352.59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7" t="s">
        <v>256</v>
      </c>
      <c r="C263" s="324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7" t="s">
        <v>256</v>
      </c>
      <c r="C264" s="324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716352.59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21" t="s">
        <v>375</v>
      </c>
      <c r="B266" s="321"/>
      <c r="C266" s="321"/>
      <c r="D266" s="321"/>
      <c r="E266" s="32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7" t="s">
        <v>256</v>
      </c>
      <c r="C267" s="324">
        <v>146305.63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7" t="s">
        <v>256</v>
      </c>
      <c r="C268" s="324">
        <v>1102509.73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7" t="s">
        <v>256</v>
      </c>
      <c r="C269" s="324">
        <v>7917589.3899999997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7" t="s">
        <v>256</v>
      </c>
      <c r="C270" s="324">
        <v>5885689.25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7" t="s">
        <v>256</v>
      </c>
      <c r="C271" s="324">
        <v>297986.88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7" t="s">
        <v>256</v>
      </c>
      <c r="C272" s="324">
        <v>10337722.27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7" t="s">
        <v>256</v>
      </c>
      <c r="C273" s="324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7" t="s">
        <v>256</v>
      </c>
      <c r="C274" s="324">
        <v>51092.5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25738895.649999999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7" t="s">
        <v>256</v>
      </c>
      <c r="C276" s="324">
        <v>16141875.619999999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9597020.0299999993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21" t="s">
        <v>382</v>
      </c>
      <c r="B278" s="321"/>
      <c r="C278" s="321"/>
      <c r="D278" s="321"/>
      <c r="E278" s="32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7" t="s">
        <v>256</v>
      </c>
      <c r="C279" s="324">
        <v>1583839.38</v>
      </c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7" t="s">
        <v>256</v>
      </c>
      <c r="C280" s="324">
        <v>1332592.8999999999</v>
      </c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7" t="s">
        <v>256</v>
      </c>
      <c r="C281" s="324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7" t="s">
        <v>256</v>
      </c>
      <c r="C282" s="324"/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251246.47999999998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21" t="s">
        <v>387</v>
      </c>
      <c r="B285" s="321"/>
      <c r="C285" s="321"/>
      <c r="D285" s="321"/>
      <c r="E285" s="32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7" t="s">
        <v>256</v>
      </c>
      <c r="C286" s="324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7" t="s">
        <v>256</v>
      </c>
      <c r="C287" s="324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7" t="s">
        <v>256</v>
      </c>
      <c r="C288" s="324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7" t="s">
        <v>256</v>
      </c>
      <c r="C289" s="324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33876075.739999995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6" t="s">
        <v>394</v>
      </c>
      <c r="B302" s="316"/>
      <c r="C302" s="316"/>
      <c r="D302" s="316"/>
      <c r="E302" s="3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21" t="s">
        <v>395</v>
      </c>
      <c r="B303" s="321"/>
      <c r="C303" s="321"/>
      <c r="D303" s="321"/>
      <c r="E303" s="32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7" t="s">
        <v>256</v>
      </c>
      <c r="C304" s="324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7" t="s">
        <v>256</v>
      </c>
      <c r="C305" s="324">
        <v>736481.36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7" t="s">
        <v>256</v>
      </c>
      <c r="C306" s="324">
        <v>1507054.27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7" t="s">
        <v>256</v>
      </c>
      <c r="C307" s="324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7" t="s">
        <v>256</v>
      </c>
      <c r="C308" s="324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7" t="s">
        <v>256</v>
      </c>
      <c r="C309" s="324">
        <v>9798756.4399999995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7" t="s">
        <v>256</v>
      </c>
      <c r="C310" s="324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7" t="s">
        <v>256</v>
      </c>
      <c r="C311" s="324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7" t="s">
        <v>256</v>
      </c>
      <c r="C312" s="324">
        <v>23521.67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7" t="s">
        <v>256</v>
      </c>
      <c r="C313" s="324">
        <v>4929517.8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3"/>
      <c r="D314" s="295">
        <f>SUM(C304:C313)</f>
        <v>16995331.539999999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21" t="s">
        <v>406</v>
      </c>
      <c r="B315" s="321"/>
      <c r="C315" s="321"/>
      <c r="D315" s="321"/>
      <c r="E315" s="32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7" t="s">
        <v>256</v>
      </c>
      <c r="C316" s="324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7" t="s">
        <v>256</v>
      </c>
      <c r="C317" s="324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7" t="s">
        <v>256</v>
      </c>
      <c r="C318" s="324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21" t="s">
        <v>411</v>
      </c>
      <c r="B320" s="321"/>
      <c r="C320" s="321"/>
      <c r="D320" s="321"/>
      <c r="E320" s="32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7" t="s">
        <v>256</v>
      </c>
      <c r="C321" s="324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7" t="s">
        <v>256</v>
      </c>
      <c r="C322" s="324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7" t="s">
        <v>256</v>
      </c>
      <c r="C323" s="324">
        <f>3786075.34+4201016.65</f>
        <v>7987091.9900000002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7" t="s">
        <v>256</v>
      </c>
      <c r="C324" s="324">
        <f>1961963.73+728501.15</f>
        <v>2690464.88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7" t="s">
        <v>256</v>
      </c>
      <c r="C325" s="324"/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7" t="s">
        <v>256</v>
      </c>
      <c r="C326" s="324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7" t="s">
        <v>256</v>
      </c>
      <c r="C327" s="324"/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3"/>
      <c r="D328" s="295">
        <f>SUM(C321:C327)</f>
        <v>10677556.870000001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3"/>
      <c r="D329" s="295">
        <f>C313</f>
        <v>4929517.8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3"/>
      <c r="D330" s="295">
        <f>D328-D329</f>
        <v>5748039.0700000012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7" t="s">
        <v>256</v>
      </c>
      <c r="C332" s="332">
        <v>11132705.130000001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7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7" t="s">
        <v>256</v>
      </c>
      <c r="C334" s="33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7" t="s">
        <v>256</v>
      </c>
      <c r="C335" s="33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7" t="s">
        <v>256</v>
      </c>
      <c r="C336" s="33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7" t="s">
        <v>256</v>
      </c>
      <c r="C337" s="324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7" t="s">
        <v>256</v>
      </c>
      <c r="C338" s="324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33876075.740000002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33876075.739999995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6" t="s">
        <v>426</v>
      </c>
      <c r="B357" s="316"/>
      <c r="C357" s="316"/>
      <c r="D357" s="316"/>
      <c r="E357" s="31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21" t="s">
        <v>427</v>
      </c>
      <c r="B358" s="321"/>
      <c r="C358" s="321"/>
      <c r="D358" s="321"/>
      <c r="E358" s="32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7" t="s">
        <v>256</v>
      </c>
      <c r="C359" s="324">
        <f>12347364.24+13091.75</f>
        <v>12360455.99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7" t="s">
        <v>256</v>
      </c>
      <c r="C360" s="324">
        <f>5091777.59+56716902.66</f>
        <v>61808680.25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74169136.239999995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21" t="s">
        <v>431</v>
      </c>
      <c r="B362" s="321"/>
      <c r="C362" s="321"/>
      <c r="D362" s="321"/>
      <c r="E362" s="32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21"/>
      <c r="C363" s="324">
        <v>1207974.28</v>
      </c>
      <c r="D363" s="295"/>
      <c r="E363" s="32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7" t="s">
        <v>256</v>
      </c>
      <c r="C364" s="324">
        <f>4464874.24+683.01+29234051.03+779408.18+1726294.11+23538.32-107001.87</f>
        <v>36121847.020000003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7" t="s">
        <v>256</v>
      </c>
      <c r="C365" s="324">
        <v>1274683.33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7" t="s">
        <v>256</v>
      </c>
      <c r="C366" s="324">
        <v>1205857.73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39810362.359999999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34358773.879999995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21" t="s">
        <v>436</v>
      </c>
      <c r="B369" s="321"/>
      <c r="C369" s="321"/>
      <c r="D369" s="321"/>
      <c r="E369" s="32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7" t="s">
        <v>256</v>
      </c>
      <c r="C370" s="324">
        <v>964782.22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7" t="s">
        <v>256</v>
      </c>
      <c r="C371" s="324">
        <v>1069966.8899999999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2034749.1099999999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36393522.989999995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21" t="s">
        <v>441</v>
      </c>
      <c r="B377" s="321"/>
      <c r="C377" s="321"/>
      <c r="D377" s="321"/>
      <c r="E377" s="32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7" t="s">
        <v>256</v>
      </c>
      <c r="C378" s="324">
        <v>16675860.27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7" t="s">
        <v>256</v>
      </c>
      <c r="C379" s="324">
        <v>3949921.4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7" t="s">
        <v>256</v>
      </c>
      <c r="C380" s="324">
        <v>4841609.66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7" t="s">
        <v>256</v>
      </c>
      <c r="C381" s="324">
        <v>4925909.8499999996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7" t="s">
        <v>256</v>
      </c>
      <c r="C382" s="324">
        <v>454092.04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7" t="s">
        <v>256</v>
      </c>
      <c r="C383" s="324">
        <v>2475830.4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7" t="s">
        <v>256</v>
      </c>
      <c r="C384" s="324">
        <v>2015874.61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7" t="s">
        <v>256</v>
      </c>
      <c r="C385" s="324">
        <v>272473.89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7" t="s">
        <v>256</v>
      </c>
      <c r="C386" s="324">
        <v>521496.52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7" t="s">
        <v>256</v>
      </c>
      <c r="C387" s="324">
        <f>34619.67-4.89+179373.1</f>
        <v>213987.88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7" t="s">
        <v>256</v>
      </c>
      <c r="C388" s="324">
        <v>285796.57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7" t="s">
        <v>256</v>
      </c>
      <c r="C389" s="324">
        <f>66786.34+33205.22+3062.45+2051.07+62390.44+94850.53</f>
        <v>262346.05000000005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36895199.140000001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-501676.15000000596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7" t="s">
        <v>256</v>
      </c>
      <c r="C392" s="324">
        <f>13998.6+762684.64+181852.73-8574.72-16060.08-325.22+733.84</f>
        <v>934309.79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432633.63999999408</v>
      </c>
      <c r="E393" s="295"/>
      <c r="F393" s="33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7" t="s">
        <v>256</v>
      </c>
      <c r="C394" s="324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7" t="s">
        <v>256</v>
      </c>
      <c r="C395" s="324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432633.63999999408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4" t="s">
        <v>459</v>
      </c>
      <c r="D411" s="2"/>
      <c r="E411" s="33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Mid Valley Hospital   H-0     FYE 12/31/2020</v>
      </c>
      <c r="B412" s="2"/>
      <c r="C412" s="2"/>
      <c r="D412" s="2"/>
      <c r="E412" s="33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4" t="s">
        <v>461</v>
      </c>
      <c r="C413" s="334" t="s">
        <v>1242</v>
      </c>
      <c r="D413" s="334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712</v>
      </c>
      <c r="C414" s="2">
        <f>E138</f>
        <v>712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1726</v>
      </c>
      <c r="C415" s="2">
        <f>E139</f>
        <v>1726</v>
      </c>
      <c r="D415" s="2">
        <f>SUM(C59:H59)+N59</f>
        <v>1734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1</v>
      </c>
      <c r="C417" s="2">
        <f>E144</f>
        <v>1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8</v>
      </c>
      <c r="C418" s="2">
        <f>E145</f>
        <v>8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6"/>
      <c r="B422" s="336"/>
      <c r="C422" s="33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266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377</v>
      </c>
      <c r="C424" s="2"/>
      <c r="D424" s="2">
        <f>J59</f>
        <v>377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6"/>
      <c r="B425" s="336"/>
      <c r="C425" s="336"/>
      <c r="D425" s="336"/>
      <c r="E425" s="2"/>
      <c r="F425" s="336"/>
      <c r="G425" s="33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4" t="s">
        <v>471</v>
      </c>
      <c r="C426" s="334" t="s">
        <v>462</v>
      </c>
      <c r="D426" s="334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16675860.27</v>
      </c>
      <c r="C427" s="2">
        <f t="shared" ref="C427:C434" si="13">CE61</f>
        <v>16675860.270000001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3949921.4</v>
      </c>
      <c r="C428" s="2">
        <f t="shared" si="13"/>
        <v>3949924</v>
      </c>
      <c r="D428" s="2">
        <f>D173</f>
        <v>3949921.4000000004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4841609.66</v>
      </c>
      <c r="C429" s="2">
        <f t="shared" si="13"/>
        <v>4841609.6599999992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4925909.8499999996</v>
      </c>
      <c r="C430" s="2">
        <f t="shared" si="13"/>
        <v>4925909.5200000023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454092.04</v>
      </c>
      <c r="C431" s="2">
        <f t="shared" si="13"/>
        <v>454091.60000000003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2475830.4</v>
      </c>
      <c r="C432" s="2">
        <f t="shared" si="13"/>
        <v>2475830.4000000004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2015874.61</v>
      </c>
      <c r="C433" s="2">
        <f t="shared" si="13"/>
        <v>2031935</v>
      </c>
      <c r="D433" s="2">
        <f>C217</f>
        <v>2005199.83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272473.89</v>
      </c>
      <c r="C434" s="2">
        <f t="shared" si="13"/>
        <v>272473.89</v>
      </c>
      <c r="D434" s="2">
        <f>D177</f>
        <v>272473.89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521496.52</v>
      </c>
      <c r="C435" s="2"/>
      <c r="D435" s="2">
        <f>D181</f>
        <v>521496.52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213987.88</v>
      </c>
      <c r="C436" s="2"/>
      <c r="D436" s="2">
        <f>D186</f>
        <v>213987.88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285796.57</v>
      </c>
      <c r="C437" s="2"/>
      <c r="D437" s="2">
        <f>D190</f>
        <v>285796.57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1021280.97</v>
      </c>
      <c r="C438" s="2">
        <f>CD69</f>
        <v>524601.13</v>
      </c>
      <c r="D438" s="2">
        <f>D181+D186+D190</f>
        <v>1021280.97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262346.05000000005</v>
      </c>
      <c r="C439" s="2">
        <f>SUM(C69:CC69)</f>
        <v>473229.32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1283627.02</v>
      </c>
      <c r="C440" s="2">
        <f>CE69</f>
        <v>997830.45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36895199.140000001</v>
      </c>
      <c r="C441" s="2">
        <f>SUM(C427:C437)+C440</f>
        <v>36625464.790000014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6"/>
      <c r="B442" s="336"/>
      <c r="C442" s="336"/>
      <c r="D442" s="336"/>
      <c r="E442" s="2"/>
      <c r="F442" s="336"/>
      <c r="G442" s="33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4" t="s">
        <v>480</v>
      </c>
      <c r="C443" s="334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1231512.6000000001</v>
      </c>
      <c r="C444" s="2">
        <f>C363</f>
        <v>1207974.28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32986742.32</v>
      </c>
      <c r="C445" s="2">
        <f>C364</f>
        <v>36121847.020000003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1274683.33</v>
      </c>
      <c r="C446" s="2">
        <f>C365</f>
        <v>1274683.33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4317424.1099999994</v>
      </c>
      <c r="C447" s="2">
        <f>C366</f>
        <v>1205857.73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39810362.359999999</v>
      </c>
      <c r="C448" s="2">
        <f>D367</f>
        <v>39810362.359999999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6"/>
      <c r="B449" s="336"/>
      <c r="C449" s="336"/>
      <c r="D449" s="336"/>
      <c r="E449" s="2"/>
      <c r="F449" s="336"/>
      <c r="G449" s="33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4" t="s">
        <v>482</v>
      </c>
      <c r="C450" s="336"/>
      <c r="D450" s="336"/>
      <c r="E450" s="2"/>
      <c r="F450" s="336"/>
      <c r="G450" s="33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4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4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8" t="s">
        <v>484</v>
      </c>
      <c r="B453" s="2">
        <f>C231</f>
        <v>2155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240539.05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1034144.28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6"/>
      <c r="B456" s="336"/>
      <c r="C456" s="336"/>
      <c r="D456" s="336"/>
      <c r="E456" s="2"/>
      <c r="F456" s="336"/>
      <c r="G456" s="33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4" t="s">
        <v>471</v>
      </c>
      <c r="C457" s="334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964782.22</v>
      </c>
      <c r="C458" s="2">
        <f>CE70</f>
        <v>964782.22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1069966.8899999999</v>
      </c>
      <c r="C459" s="2">
        <f>CE72</f>
        <v>1045047.69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6"/>
      <c r="B460" s="336"/>
      <c r="C460" s="336"/>
      <c r="D460" s="336"/>
      <c r="E460" s="2"/>
      <c r="F460" s="336"/>
      <c r="G460" s="33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4"/>
      <c r="C461" s="334"/>
      <c r="D461" s="334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4" t="s">
        <v>471</v>
      </c>
      <c r="C462" s="334" t="s">
        <v>486</v>
      </c>
      <c r="D462" s="334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12360455.99</v>
      </c>
      <c r="C463" s="2">
        <f>CE73</f>
        <v>12360455.989999998</v>
      </c>
      <c r="D463" s="2">
        <f>E141+E147+E153</f>
        <v>12360455.99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61808680.25</v>
      </c>
      <c r="C464" s="2">
        <f>CE74</f>
        <v>61808680.250000007</v>
      </c>
      <c r="D464" s="2">
        <f>E142+E148+E154</f>
        <v>61808680.25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74169136.239999995</v>
      </c>
      <c r="C465" s="2">
        <f>CE75</f>
        <v>74169136.239999995</v>
      </c>
      <c r="D465" s="2">
        <f>D463+D464</f>
        <v>74169136.239999995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6"/>
      <c r="B466" s="336"/>
      <c r="C466" s="336"/>
      <c r="D466" s="336"/>
      <c r="E466" s="2"/>
      <c r="F466" s="336"/>
      <c r="G466" s="33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4" t="s">
        <v>492</v>
      </c>
      <c r="C467" s="334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146305.63</v>
      </c>
      <c r="C468" s="2">
        <f>E195</f>
        <v>146305.63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1102509.73</v>
      </c>
      <c r="C469" s="2">
        <f>E196</f>
        <v>1102509.73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7917589.3899999997</v>
      </c>
      <c r="C470" s="2">
        <f>E197</f>
        <v>7917588.8600000003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5885689.25</v>
      </c>
      <c r="C471" s="2">
        <f>E198</f>
        <v>5885689.25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297986.88</v>
      </c>
      <c r="C472" s="2">
        <f>E199</f>
        <v>297986.88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10337722.27</v>
      </c>
      <c r="C473" s="2">
        <f>SUM(E200:E201)</f>
        <v>10337722.57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51092.5</v>
      </c>
      <c r="C475" s="2">
        <f>E203</f>
        <v>51092.5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25738895.649999999</v>
      </c>
      <c r="C476" s="2">
        <f>E204</f>
        <v>25738895.420000002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16141875.619999999</v>
      </c>
      <c r="C478" s="2">
        <f>E217</f>
        <v>16141875.620000001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33876075.739999995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33876075.740000002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8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8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8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7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8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147</v>
      </c>
      <c r="B493" s="338" t="e">
        <f>RIGHT(#REF!,4)</f>
        <v>#REF!</v>
      </c>
      <c r="C493" s="338" t="str">
        <f>RIGHT(C82,4)</f>
        <v>2020</v>
      </c>
      <c r="D493" s="338" t="e">
        <f>RIGHT(#REF!,4)</f>
        <v>#REF!</v>
      </c>
      <c r="E493" s="338" t="str">
        <f>RIGHT(C82,4)</f>
        <v>2020</v>
      </c>
      <c r="F493" s="338" t="e">
        <f>RIGHT(#REF!,4)</f>
        <v>#REF!</v>
      </c>
      <c r="G493" s="338" t="str">
        <f>RIGHT(C82,4)</f>
        <v>2020</v>
      </c>
      <c r="H493" s="338"/>
      <c r="I493" s="2"/>
      <c r="J493" s="2"/>
      <c r="K493" s="338"/>
      <c r="L493" s="33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7"/>
      <c r="B494" s="334" t="s">
        <v>505</v>
      </c>
      <c r="C494" s="334" t="s">
        <v>505</v>
      </c>
      <c r="D494" s="339" t="s">
        <v>506</v>
      </c>
      <c r="E494" s="339" t="s">
        <v>506</v>
      </c>
      <c r="F494" s="338" t="s">
        <v>507</v>
      </c>
      <c r="G494" s="338" t="s">
        <v>507</v>
      </c>
      <c r="H494" s="338" t="s">
        <v>508</v>
      </c>
      <c r="I494" s="2"/>
      <c r="J494" s="2"/>
      <c r="K494" s="338"/>
      <c r="L494" s="33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4" t="s">
        <v>303</v>
      </c>
      <c r="C495" s="334" t="s">
        <v>303</v>
      </c>
      <c r="D495" s="334" t="s">
        <v>509</v>
      </c>
      <c r="E495" s="334" t="s">
        <v>509</v>
      </c>
      <c r="F495" s="338" t="s">
        <v>510</v>
      </c>
      <c r="G495" s="338" t="s">
        <v>510</v>
      </c>
      <c r="H495" s="338" t="s">
        <v>511</v>
      </c>
      <c r="I495" s="2"/>
      <c r="J495" s="2"/>
      <c r="K495" s="338"/>
      <c r="L495" s="33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40" t="e">
        <f>#REF!</f>
        <v>#REF!</v>
      </c>
      <c r="C496" s="340">
        <f>C71</f>
        <v>0</v>
      </c>
      <c r="D496" s="340" t="e">
        <f>#REF!</f>
        <v>#REF!</v>
      </c>
      <c r="E496" s="2">
        <f>C59</f>
        <v>0</v>
      </c>
      <c r="F496" s="341" t="e">
        <f t="shared" ref="F496:G511" si="15">IF(B496=0,"",IF(D496=0,"",B496/D496))</f>
        <v>#REF!</v>
      </c>
      <c r="G496" s="341" t="str">
        <f t="shared" si="15"/>
        <v/>
      </c>
      <c r="H496" s="342" t="e">
        <f>IF(B496=0,"",IF(C496=0,"",IF(D496=0,"",IF(E496=0,"",IF(G496/F496-1&lt;-0.25,G496/F496-1,IF(G496/F496-1&gt;0.25,G496/F496-1,""))))))</f>
        <v>#REF!</v>
      </c>
      <c r="I496" s="267"/>
      <c r="J496" s="2"/>
      <c r="K496" s="338"/>
      <c r="L496" s="33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40" t="e">
        <f>#REF!</f>
        <v>#REF!</v>
      </c>
      <c r="C497" s="340">
        <f>D71</f>
        <v>0</v>
      </c>
      <c r="D497" s="340" t="e">
        <f>#REF!</f>
        <v>#REF!</v>
      </c>
      <c r="E497" s="2">
        <f>D59</f>
        <v>0</v>
      </c>
      <c r="F497" s="341" t="e">
        <f t="shared" si="15"/>
        <v>#REF!</v>
      </c>
      <c r="G497" s="341" t="str">
        <f t="shared" si="15"/>
        <v/>
      </c>
      <c r="H497" s="342" t="e">
        <f t="shared" ref="H497:H550" si="16">IF(B497=0,"",IF(C497=0,"",IF(D497=0,"",IF(E497=0,"",IF(G497/F497-1&lt;-0.25,G497/F497-1,IF(G497/F497-1&gt;0.25,G497/F497-1,""))))))</f>
        <v>#REF!</v>
      </c>
      <c r="I497" s="267"/>
      <c r="J497" s="2"/>
      <c r="K497" s="338"/>
      <c r="L497" s="33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40" t="e">
        <f>#REF!</f>
        <v>#REF!</v>
      </c>
      <c r="C498" s="340">
        <f>E71</f>
        <v>3007172.6899999995</v>
      </c>
      <c r="D498" s="340" t="e">
        <f>#REF!</f>
        <v>#REF!</v>
      </c>
      <c r="E498" s="2">
        <f>E59</f>
        <v>1734</v>
      </c>
      <c r="F498" s="341" t="e">
        <f t="shared" si="15"/>
        <v>#REF!</v>
      </c>
      <c r="G498" s="341">
        <f t="shared" si="15"/>
        <v>1734.2403056516721</v>
      </c>
      <c r="H498" s="342" t="e">
        <f t="shared" si="16"/>
        <v>#REF!</v>
      </c>
      <c r="I498" s="267"/>
      <c r="J498" s="2"/>
      <c r="K498" s="338"/>
      <c r="L498" s="33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40" t="e">
        <f>#REF!</f>
        <v>#REF!</v>
      </c>
      <c r="C499" s="340">
        <f>F71</f>
        <v>335543.83999999997</v>
      </c>
      <c r="D499" s="340" t="e">
        <f>#REF!</f>
        <v>#REF!</v>
      </c>
      <c r="E499" s="2">
        <f>F59</f>
        <v>0</v>
      </c>
      <c r="F499" s="341" t="e">
        <f t="shared" si="15"/>
        <v>#REF!</v>
      </c>
      <c r="G499" s="341" t="str">
        <f t="shared" si="15"/>
        <v/>
      </c>
      <c r="H499" s="342" t="e">
        <f t="shared" si="16"/>
        <v>#REF!</v>
      </c>
      <c r="I499" s="267"/>
      <c r="J499" s="2"/>
      <c r="K499" s="338"/>
      <c r="L499" s="33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40" t="e">
        <f>#REF!</f>
        <v>#REF!</v>
      </c>
      <c r="C500" s="340">
        <f>G71</f>
        <v>0</v>
      </c>
      <c r="D500" s="340" t="e">
        <f>#REF!</f>
        <v>#REF!</v>
      </c>
      <c r="E500" s="2">
        <f>G59</f>
        <v>0</v>
      </c>
      <c r="F500" s="341" t="e">
        <f t="shared" si="15"/>
        <v>#REF!</v>
      </c>
      <c r="G500" s="341" t="str">
        <f t="shared" si="15"/>
        <v/>
      </c>
      <c r="H500" s="342" t="e">
        <f t="shared" si="16"/>
        <v>#REF!</v>
      </c>
      <c r="I500" s="267"/>
      <c r="J500" s="2"/>
      <c r="K500" s="338"/>
      <c r="L500" s="33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40" t="e">
        <f>#REF!</f>
        <v>#REF!</v>
      </c>
      <c r="C501" s="340">
        <f>H71</f>
        <v>0</v>
      </c>
      <c r="D501" s="340" t="e">
        <f>#REF!</f>
        <v>#REF!</v>
      </c>
      <c r="E501" s="2">
        <f>H59</f>
        <v>0</v>
      </c>
      <c r="F501" s="341" t="e">
        <f t="shared" si="15"/>
        <v>#REF!</v>
      </c>
      <c r="G501" s="341" t="str">
        <f t="shared" si="15"/>
        <v/>
      </c>
      <c r="H501" s="342" t="e">
        <f t="shared" si="16"/>
        <v>#REF!</v>
      </c>
      <c r="I501" s="267"/>
      <c r="J501" s="2"/>
      <c r="K501" s="338"/>
      <c r="L501" s="33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40" t="e">
        <f>#REF!</f>
        <v>#REF!</v>
      </c>
      <c r="C502" s="340">
        <f>I71</f>
        <v>0</v>
      </c>
      <c r="D502" s="340" t="e">
        <f>#REF!</f>
        <v>#REF!</v>
      </c>
      <c r="E502" s="2">
        <f>I59</f>
        <v>0</v>
      </c>
      <c r="F502" s="341" t="e">
        <f t="shared" si="15"/>
        <v>#REF!</v>
      </c>
      <c r="G502" s="341" t="str">
        <f t="shared" si="15"/>
        <v/>
      </c>
      <c r="H502" s="342" t="e">
        <f t="shared" si="16"/>
        <v>#REF!</v>
      </c>
      <c r="I502" s="267"/>
      <c r="J502" s="2"/>
      <c r="K502" s="338"/>
      <c r="L502" s="33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40" t="e">
        <f>#REF!</f>
        <v>#REF!</v>
      </c>
      <c r="C503" s="340">
        <f>J71</f>
        <v>2204</v>
      </c>
      <c r="D503" s="340" t="e">
        <f>#REF!</f>
        <v>#REF!</v>
      </c>
      <c r="E503" s="2">
        <f>J59</f>
        <v>377</v>
      </c>
      <c r="F503" s="341" t="e">
        <f t="shared" si="15"/>
        <v>#REF!</v>
      </c>
      <c r="G503" s="341">
        <f t="shared" si="15"/>
        <v>5.8461538461538458</v>
      </c>
      <c r="H503" s="342" t="e">
        <f t="shared" si="16"/>
        <v>#REF!</v>
      </c>
      <c r="I503" s="267"/>
      <c r="J503" s="2"/>
      <c r="K503" s="338"/>
      <c r="L503" s="33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40" t="e">
        <f>#REF!</f>
        <v>#REF!</v>
      </c>
      <c r="C504" s="340">
        <f>K71</f>
        <v>0</v>
      </c>
      <c r="D504" s="340" t="e">
        <f>#REF!</f>
        <v>#REF!</v>
      </c>
      <c r="E504" s="2">
        <f>K59</f>
        <v>0</v>
      </c>
      <c r="F504" s="341" t="e">
        <f t="shared" si="15"/>
        <v>#REF!</v>
      </c>
      <c r="G504" s="341" t="str">
        <f t="shared" si="15"/>
        <v/>
      </c>
      <c r="H504" s="342" t="e">
        <f t="shared" si="16"/>
        <v>#REF!</v>
      </c>
      <c r="I504" s="267"/>
      <c r="J504" s="2"/>
      <c r="K504" s="338"/>
      <c r="L504" s="33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40" t="e">
        <f>#REF!</f>
        <v>#REF!</v>
      </c>
      <c r="C505" s="340">
        <f>L71</f>
        <v>0</v>
      </c>
      <c r="D505" s="340" t="e">
        <f>#REF!</f>
        <v>#REF!</v>
      </c>
      <c r="E505" s="2">
        <f>L59</f>
        <v>0</v>
      </c>
      <c r="F505" s="341" t="e">
        <f t="shared" si="15"/>
        <v>#REF!</v>
      </c>
      <c r="G505" s="341" t="str">
        <f t="shared" si="15"/>
        <v/>
      </c>
      <c r="H505" s="342" t="e">
        <f t="shared" si="16"/>
        <v>#REF!</v>
      </c>
      <c r="I505" s="267"/>
      <c r="J505" s="2"/>
      <c r="K505" s="338"/>
      <c r="L505" s="33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40" t="e">
        <f>#REF!</f>
        <v>#REF!</v>
      </c>
      <c r="C506" s="340">
        <f>M71</f>
        <v>0</v>
      </c>
      <c r="D506" s="340" t="e">
        <f>#REF!</f>
        <v>#REF!</v>
      </c>
      <c r="E506" s="2">
        <f>M59</f>
        <v>0</v>
      </c>
      <c r="F506" s="341" t="e">
        <f t="shared" si="15"/>
        <v>#REF!</v>
      </c>
      <c r="G506" s="341" t="str">
        <f t="shared" si="15"/>
        <v/>
      </c>
      <c r="H506" s="342" t="e">
        <f t="shared" si="16"/>
        <v>#REF!</v>
      </c>
      <c r="I506" s="267"/>
      <c r="J506" s="2"/>
      <c r="K506" s="338"/>
      <c r="L506" s="33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40" t="e">
        <f>#REF!</f>
        <v>#REF!</v>
      </c>
      <c r="C507" s="340">
        <f>N71</f>
        <v>0</v>
      </c>
      <c r="D507" s="340" t="e">
        <f>#REF!</f>
        <v>#REF!</v>
      </c>
      <c r="E507" s="2">
        <f>N59</f>
        <v>0</v>
      </c>
      <c r="F507" s="341" t="e">
        <f t="shared" si="15"/>
        <v>#REF!</v>
      </c>
      <c r="G507" s="341" t="str">
        <f t="shared" si="15"/>
        <v/>
      </c>
      <c r="H507" s="342" t="e">
        <f t="shared" si="16"/>
        <v>#REF!</v>
      </c>
      <c r="I507" s="267"/>
      <c r="J507" s="2"/>
      <c r="K507" s="338"/>
      <c r="L507" s="33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40" t="e">
        <f>#REF!</f>
        <v>#REF!</v>
      </c>
      <c r="C508" s="340">
        <f>O71</f>
        <v>1204764.04</v>
      </c>
      <c r="D508" s="340" t="e">
        <f>#REF!</f>
        <v>#REF!</v>
      </c>
      <c r="E508" s="2">
        <f>O59</f>
        <v>266</v>
      </c>
      <c r="F508" s="341" t="e">
        <f t="shared" si="15"/>
        <v>#REF!</v>
      </c>
      <c r="G508" s="341">
        <f t="shared" si="15"/>
        <v>4529.1881203007524</v>
      </c>
      <c r="H508" s="342" t="e">
        <f t="shared" si="16"/>
        <v>#REF!</v>
      </c>
      <c r="I508" s="267"/>
      <c r="J508" s="2"/>
      <c r="K508" s="338"/>
      <c r="L508" s="33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40" t="e">
        <f>#REF!</f>
        <v>#REF!</v>
      </c>
      <c r="C509" s="340">
        <f>P71</f>
        <v>2387383.84</v>
      </c>
      <c r="D509" s="340" t="e">
        <f>#REF!</f>
        <v>#REF!</v>
      </c>
      <c r="E509" s="2">
        <f>P59</f>
        <v>105339</v>
      </c>
      <c r="F509" s="341" t="e">
        <f t="shared" si="15"/>
        <v>#REF!</v>
      </c>
      <c r="G509" s="341">
        <f t="shared" si="15"/>
        <v>22.663817199707609</v>
      </c>
      <c r="H509" s="342" t="e">
        <f t="shared" si="16"/>
        <v>#REF!</v>
      </c>
      <c r="I509" s="267"/>
      <c r="J509" s="2"/>
      <c r="K509" s="338"/>
      <c r="L509" s="33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40" t="e">
        <f>#REF!</f>
        <v>#REF!</v>
      </c>
      <c r="C510" s="340">
        <f>Q71</f>
        <v>711505.1399999999</v>
      </c>
      <c r="D510" s="340" t="e">
        <f>#REF!</f>
        <v>#REF!</v>
      </c>
      <c r="E510" s="2">
        <f>Q59</f>
        <v>118412</v>
      </c>
      <c r="F510" s="341" t="e">
        <f t="shared" si="15"/>
        <v>#REF!</v>
      </c>
      <c r="G510" s="341">
        <f t="shared" si="15"/>
        <v>6.0087249603080757</v>
      </c>
      <c r="H510" s="342" t="e">
        <f t="shared" si="16"/>
        <v>#REF!</v>
      </c>
      <c r="I510" s="267"/>
      <c r="J510" s="2"/>
      <c r="K510" s="338"/>
      <c r="L510" s="33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40" t="e">
        <f>#REF!</f>
        <v>#REF!</v>
      </c>
      <c r="C511" s="340">
        <f>R71</f>
        <v>902411.13</v>
      </c>
      <c r="D511" s="340" t="e">
        <f>#REF!</f>
        <v>#REF!</v>
      </c>
      <c r="E511" s="2">
        <f>R59</f>
        <v>117096</v>
      </c>
      <c r="F511" s="341" t="e">
        <f t="shared" si="15"/>
        <v>#REF!</v>
      </c>
      <c r="G511" s="341">
        <f t="shared" si="15"/>
        <v>7.7065922832547651</v>
      </c>
      <c r="H511" s="342" t="e">
        <f t="shared" si="16"/>
        <v>#REF!</v>
      </c>
      <c r="I511" s="267"/>
      <c r="J511" s="2"/>
      <c r="K511" s="338"/>
      <c r="L511" s="33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40" t="e">
        <f>#REF!</f>
        <v>#REF!</v>
      </c>
      <c r="C512" s="340">
        <f>S71</f>
        <v>1313583.17</v>
      </c>
      <c r="D512" s="334" t="s">
        <v>529</v>
      </c>
      <c r="E512" s="334" t="s">
        <v>529</v>
      </c>
      <c r="F512" s="341" t="e">
        <f t="shared" ref="F512:G527" si="17">IF(B512=0,"",IF(D512=0,"",B512/D512))</f>
        <v>#REF!</v>
      </c>
      <c r="G512" s="341" t="str">
        <f t="shared" si="17"/>
        <v/>
      </c>
      <c r="H512" s="342" t="e">
        <f t="shared" si="16"/>
        <v>#REF!</v>
      </c>
      <c r="I512" s="267"/>
      <c r="J512" s="2"/>
      <c r="K512" s="338"/>
      <c r="L512" s="33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40" t="e">
        <f>#REF!</f>
        <v>#REF!</v>
      </c>
      <c r="C513" s="340">
        <f>T71</f>
        <v>0</v>
      </c>
      <c r="D513" s="334" t="s">
        <v>529</v>
      </c>
      <c r="E513" s="334" t="s">
        <v>529</v>
      </c>
      <c r="F513" s="341" t="e">
        <f t="shared" si="17"/>
        <v>#REF!</v>
      </c>
      <c r="G513" s="341" t="str">
        <f t="shared" si="17"/>
        <v/>
      </c>
      <c r="H513" s="342" t="e">
        <f t="shared" si="16"/>
        <v>#REF!</v>
      </c>
      <c r="I513" s="267"/>
      <c r="J513" s="2"/>
      <c r="K513" s="338"/>
      <c r="L513" s="33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40" t="e">
        <f>#REF!</f>
        <v>#REF!</v>
      </c>
      <c r="C514" s="340">
        <f>U71</f>
        <v>1827033.74</v>
      </c>
      <c r="D514" s="340" t="e">
        <f>#REF!</f>
        <v>#REF!</v>
      </c>
      <c r="E514" s="2">
        <f>U59</f>
        <v>78116</v>
      </c>
      <c r="F514" s="341" t="e">
        <f t="shared" si="17"/>
        <v>#REF!</v>
      </c>
      <c r="G514" s="341">
        <f t="shared" si="17"/>
        <v>23.388726253264377</v>
      </c>
      <c r="H514" s="342" t="e">
        <f t="shared" si="16"/>
        <v>#REF!</v>
      </c>
      <c r="I514" s="267"/>
      <c r="J514" s="2"/>
      <c r="K514" s="338"/>
      <c r="L514" s="33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40" t="e">
        <f>#REF!</f>
        <v>#REF!</v>
      </c>
      <c r="C515" s="340">
        <f>V71</f>
        <v>0</v>
      </c>
      <c r="D515" s="340" t="e">
        <f>#REF!</f>
        <v>#REF!</v>
      </c>
      <c r="E515" s="2">
        <f>V59</f>
        <v>2196</v>
      </c>
      <c r="F515" s="341" t="e">
        <f t="shared" si="17"/>
        <v>#REF!</v>
      </c>
      <c r="G515" s="341" t="str">
        <f t="shared" si="17"/>
        <v/>
      </c>
      <c r="H515" s="342" t="e">
        <f t="shared" si="16"/>
        <v>#REF!</v>
      </c>
      <c r="I515" s="267"/>
      <c r="J515" s="2"/>
      <c r="K515" s="338"/>
      <c r="L515" s="33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40" t="e">
        <f>#REF!</f>
        <v>#REF!</v>
      </c>
      <c r="C516" s="340">
        <f>W71</f>
        <v>0</v>
      </c>
      <c r="D516" s="340" t="e">
        <f>#REF!</f>
        <v>#REF!</v>
      </c>
      <c r="E516" s="2">
        <f>W59</f>
        <v>0</v>
      </c>
      <c r="F516" s="341" t="e">
        <f t="shared" si="17"/>
        <v>#REF!</v>
      </c>
      <c r="G516" s="341" t="str">
        <f t="shared" si="17"/>
        <v/>
      </c>
      <c r="H516" s="342" t="e">
        <f t="shared" si="16"/>
        <v>#REF!</v>
      </c>
      <c r="I516" s="267"/>
      <c r="J516" s="2"/>
      <c r="K516" s="338"/>
      <c r="L516" s="33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40" t="e">
        <f>#REF!</f>
        <v>#REF!</v>
      </c>
      <c r="C517" s="340">
        <f>X71</f>
        <v>0</v>
      </c>
      <c r="D517" s="340" t="e">
        <f>#REF!</f>
        <v>#REF!</v>
      </c>
      <c r="E517" s="2">
        <f>X59</f>
        <v>0</v>
      </c>
      <c r="F517" s="341" t="e">
        <f t="shared" si="17"/>
        <v>#REF!</v>
      </c>
      <c r="G517" s="341" t="str">
        <f t="shared" si="17"/>
        <v/>
      </c>
      <c r="H517" s="342" t="e">
        <f t="shared" si="16"/>
        <v>#REF!</v>
      </c>
      <c r="I517" s="267"/>
      <c r="J517" s="2"/>
      <c r="K517" s="338"/>
      <c r="L517" s="33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40" t="e">
        <f>#REF!</f>
        <v>#REF!</v>
      </c>
      <c r="C518" s="340">
        <f>Y71</f>
        <v>3344922.0200000005</v>
      </c>
      <c r="D518" s="340" t="e">
        <f>#REF!</f>
        <v>#REF!</v>
      </c>
      <c r="E518" s="2">
        <f>Y59</f>
        <v>15720</v>
      </c>
      <c r="F518" s="341" t="e">
        <f t="shared" si="17"/>
        <v>#REF!</v>
      </c>
      <c r="G518" s="341">
        <f t="shared" si="17"/>
        <v>212.78129898218833</v>
      </c>
      <c r="H518" s="342" t="e">
        <f t="shared" si="16"/>
        <v>#REF!</v>
      </c>
      <c r="I518" s="267"/>
      <c r="J518" s="2"/>
      <c r="K518" s="338"/>
      <c r="L518" s="33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40" t="e">
        <f>#REF!</f>
        <v>#REF!</v>
      </c>
      <c r="C519" s="340">
        <f>Z71</f>
        <v>0</v>
      </c>
      <c r="D519" s="340" t="e">
        <f>#REF!</f>
        <v>#REF!</v>
      </c>
      <c r="E519" s="2">
        <f>Z59</f>
        <v>0</v>
      </c>
      <c r="F519" s="341" t="e">
        <f t="shared" si="17"/>
        <v>#REF!</v>
      </c>
      <c r="G519" s="341" t="str">
        <f t="shared" si="17"/>
        <v/>
      </c>
      <c r="H519" s="342" t="e">
        <f t="shared" si="16"/>
        <v>#REF!</v>
      </c>
      <c r="I519" s="267"/>
      <c r="J519" s="2"/>
      <c r="K519" s="338"/>
      <c r="L519" s="33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40" t="e">
        <f>#REF!</f>
        <v>#REF!</v>
      </c>
      <c r="C520" s="340">
        <f>AA71</f>
        <v>0</v>
      </c>
      <c r="D520" s="340" t="e">
        <f>#REF!</f>
        <v>#REF!</v>
      </c>
      <c r="E520" s="2">
        <f>AA59</f>
        <v>0</v>
      </c>
      <c r="F520" s="341" t="e">
        <f t="shared" si="17"/>
        <v>#REF!</v>
      </c>
      <c r="G520" s="341" t="str">
        <f t="shared" si="17"/>
        <v/>
      </c>
      <c r="H520" s="342" t="e">
        <f t="shared" si="16"/>
        <v>#REF!</v>
      </c>
      <c r="I520" s="267"/>
      <c r="J520" s="2"/>
      <c r="K520" s="338"/>
      <c r="L520" s="33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40" t="e">
        <f>#REF!</f>
        <v>#REF!</v>
      </c>
      <c r="C521" s="340">
        <f>AB71</f>
        <v>484140.26000000007</v>
      </c>
      <c r="D521" s="334" t="s">
        <v>529</v>
      </c>
      <c r="E521" s="334" t="s">
        <v>529</v>
      </c>
      <c r="F521" s="341" t="e">
        <f t="shared" si="17"/>
        <v>#REF!</v>
      </c>
      <c r="G521" s="341" t="str">
        <f t="shared" si="17"/>
        <v/>
      </c>
      <c r="H521" s="342" t="e">
        <f t="shared" si="16"/>
        <v>#REF!</v>
      </c>
      <c r="I521" s="267"/>
      <c r="J521" s="2"/>
      <c r="K521" s="338"/>
      <c r="L521" s="33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40" t="e">
        <f>#REF!</f>
        <v>#REF!</v>
      </c>
      <c r="C522" s="340">
        <f>AC71</f>
        <v>367946.74000000005</v>
      </c>
      <c r="D522" s="340" t="e">
        <f>#REF!</f>
        <v>#REF!</v>
      </c>
      <c r="E522" s="2">
        <f>AC59</f>
        <v>2938</v>
      </c>
      <c r="F522" s="341" t="e">
        <f t="shared" si="17"/>
        <v>#REF!</v>
      </c>
      <c r="G522" s="341">
        <f t="shared" si="17"/>
        <v>125.23714771953712</v>
      </c>
      <c r="H522" s="342" t="e">
        <f t="shared" si="16"/>
        <v>#REF!</v>
      </c>
      <c r="I522" s="267"/>
      <c r="J522" s="2"/>
      <c r="K522" s="338"/>
      <c r="L522" s="33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40" t="e">
        <f>#REF!</f>
        <v>#REF!</v>
      </c>
      <c r="C523" s="340">
        <f>AD71</f>
        <v>0</v>
      </c>
      <c r="D523" s="340" t="e">
        <f>#REF!</f>
        <v>#REF!</v>
      </c>
      <c r="E523" s="2">
        <f>AD59</f>
        <v>0</v>
      </c>
      <c r="F523" s="341" t="e">
        <f t="shared" si="17"/>
        <v>#REF!</v>
      </c>
      <c r="G523" s="341" t="str">
        <f t="shared" si="17"/>
        <v/>
      </c>
      <c r="H523" s="342" t="e">
        <f t="shared" si="16"/>
        <v>#REF!</v>
      </c>
      <c r="I523" s="267"/>
      <c r="J523" s="2"/>
      <c r="K523" s="338"/>
      <c r="L523" s="33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40" t="e">
        <f>#REF!</f>
        <v>#REF!</v>
      </c>
      <c r="C524" s="340">
        <f>AE71</f>
        <v>647561.95999999973</v>
      </c>
      <c r="D524" s="340" t="e">
        <f>#REF!</f>
        <v>#REF!</v>
      </c>
      <c r="E524" s="2">
        <f>AE59</f>
        <v>10175</v>
      </c>
      <c r="F524" s="341" t="e">
        <f t="shared" si="17"/>
        <v>#REF!</v>
      </c>
      <c r="G524" s="341">
        <f t="shared" si="17"/>
        <v>63.642453071253044</v>
      </c>
      <c r="H524" s="342" t="e">
        <f t="shared" si="16"/>
        <v>#REF!</v>
      </c>
      <c r="I524" s="267"/>
      <c r="J524" s="2"/>
      <c r="K524" s="338"/>
      <c r="L524" s="33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40" t="e">
        <f>#REF!</f>
        <v>#REF!</v>
      </c>
      <c r="C525" s="340">
        <f>AF71</f>
        <v>0</v>
      </c>
      <c r="D525" s="340" t="e">
        <f>#REF!</f>
        <v>#REF!</v>
      </c>
      <c r="E525" s="2">
        <f>AF59</f>
        <v>0</v>
      </c>
      <c r="F525" s="341" t="e">
        <f t="shared" si="17"/>
        <v>#REF!</v>
      </c>
      <c r="G525" s="341" t="str">
        <f t="shared" si="17"/>
        <v/>
      </c>
      <c r="H525" s="342" t="e">
        <f t="shared" si="16"/>
        <v>#REF!</v>
      </c>
      <c r="I525" s="267"/>
      <c r="J525" s="2"/>
      <c r="K525" s="338"/>
      <c r="L525" s="33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40" t="e">
        <f>#REF!</f>
        <v>#REF!</v>
      </c>
      <c r="C526" s="340">
        <f>AG71</f>
        <v>4472780.9300000006</v>
      </c>
      <c r="D526" s="340" t="e">
        <f>#REF!</f>
        <v>#REF!</v>
      </c>
      <c r="E526" s="2">
        <f>AG59</f>
        <v>8307</v>
      </c>
      <c r="F526" s="341" t="e">
        <f t="shared" si="17"/>
        <v>#REF!</v>
      </c>
      <c r="G526" s="341">
        <f t="shared" si="17"/>
        <v>538.43516672685689</v>
      </c>
      <c r="H526" s="342" t="e">
        <f t="shared" si="16"/>
        <v>#REF!</v>
      </c>
      <c r="I526" s="267"/>
      <c r="J526" s="2"/>
      <c r="K526" s="338"/>
      <c r="L526" s="33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40" t="e">
        <f>#REF!</f>
        <v>#REF!</v>
      </c>
      <c r="C527" s="340">
        <f>AH71</f>
        <v>0</v>
      </c>
      <c r="D527" s="340" t="e">
        <f>#REF!</f>
        <v>#REF!</v>
      </c>
      <c r="E527" s="2">
        <f>AH59</f>
        <v>0</v>
      </c>
      <c r="F527" s="341" t="e">
        <f t="shared" si="17"/>
        <v>#REF!</v>
      </c>
      <c r="G527" s="341" t="str">
        <f t="shared" si="17"/>
        <v/>
      </c>
      <c r="H527" s="342" t="e">
        <f t="shared" si="16"/>
        <v>#REF!</v>
      </c>
      <c r="I527" s="267"/>
      <c r="J527" s="2"/>
      <c r="K527" s="338"/>
      <c r="L527" s="33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40" t="e">
        <f>#REF!</f>
        <v>#REF!</v>
      </c>
      <c r="C528" s="340">
        <f>AI71</f>
        <v>0</v>
      </c>
      <c r="D528" s="340" t="e">
        <f>#REF!</f>
        <v>#REF!</v>
      </c>
      <c r="E528" s="2">
        <f>AI59</f>
        <v>0</v>
      </c>
      <c r="F528" s="341" t="e">
        <f t="shared" ref="F528:G540" si="18">IF(B528=0,"",IF(D528=0,"",B528/D528))</f>
        <v>#REF!</v>
      </c>
      <c r="G528" s="341" t="str">
        <f t="shared" si="18"/>
        <v/>
      </c>
      <c r="H528" s="342" t="e">
        <f t="shared" si="16"/>
        <v>#REF!</v>
      </c>
      <c r="I528" s="267"/>
      <c r="J528" s="2"/>
      <c r="K528" s="338"/>
      <c r="L528" s="33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40" t="e">
        <f>#REF!</f>
        <v>#REF!</v>
      </c>
      <c r="C529" s="340">
        <f>AJ71</f>
        <v>0</v>
      </c>
      <c r="D529" s="340" t="e">
        <f>#REF!</f>
        <v>#REF!</v>
      </c>
      <c r="E529" s="2">
        <f>AJ59</f>
        <v>0</v>
      </c>
      <c r="F529" s="341" t="e">
        <f t="shared" si="18"/>
        <v>#REF!</v>
      </c>
      <c r="G529" s="341" t="str">
        <f t="shared" si="18"/>
        <v/>
      </c>
      <c r="H529" s="342" t="e">
        <f t="shared" si="16"/>
        <v>#REF!</v>
      </c>
      <c r="I529" s="267"/>
      <c r="J529" s="2"/>
      <c r="K529" s="338"/>
      <c r="L529" s="33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40" t="e">
        <f>#REF!</f>
        <v>#REF!</v>
      </c>
      <c r="C530" s="340">
        <f>AK71</f>
        <v>0</v>
      </c>
      <c r="D530" s="340" t="e">
        <f>#REF!</f>
        <v>#REF!</v>
      </c>
      <c r="E530" s="2">
        <f>AK59</f>
        <v>0</v>
      </c>
      <c r="F530" s="341" t="e">
        <f t="shared" si="18"/>
        <v>#REF!</v>
      </c>
      <c r="G530" s="341" t="str">
        <f t="shared" si="18"/>
        <v/>
      </c>
      <c r="H530" s="342" t="e">
        <f t="shared" si="16"/>
        <v>#REF!</v>
      </c>
      <c r="I530" s="267"/>
      <c r="J530" s="2"/>
      <c r="K530" s="338"/>
      <c r="L530" s="33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40" t="e">
        <f>#REF!</f>
        <v>#REF!</v>
      </c>
      <c r="C531" s="340">
        <f>AL71</f>
        <v>0</v>
      </c>
      <c r="D531" s="340" t="e">
        <f>#REF!</f>
        <v>#REF!</v>
      </c>
      <c r="E531" s="2">
        <f>AL59</f>
        <v>0</v>
      </c>
      <c r="F531" s="341" t="e">
        <f t="shared" si="18"/>
        <v>#REF!</v>
      </c>
      <c r="G531" s="341" t="str">
        <f t="shared" si="18"/>
        <v/>
      </c>
      <c r="H531" s="342" t="e">
        <f t="shared" si="16"/>
        <v>#REF!</v>
      </c>
      <c r="I531" s="267"/>
      <c r="J531" s="2"/>
      <c r="K531" s="338"/>
      <c r="L531" s="33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40" t="e">
        <f>#REF!</f>
        <v>#REF!</v>
      </c>
      <c r="C532" s="340">
        <f>AM71</f>
        <v>0</v>
      </c>
      <c r="D532" s="340" t="e">
        <f>#REF!</f>
        <v>#REF!</v>
      </c>
      <c r="E532" s="2">
        <f>AM59</f>
        <v>0</v>
      </c>
      <c r="F532" s="341" t="e">
        <f t="shared" si="18"/>
        <v>#REF!</v>
      </c>
      <c r="G532" s="341" t="str">
        <f t="shared" si="18"/>
        <v/>
      </c>
      <c r="H532" s="342" t="e">
        <f t="shared" si="16"/>
        <v>#REF!</v>
      </c>
      <c r="I532" s="267"/>
      <c r="J532" s="2"/>
      <c r="K532" s="338"/>
      <c r="L532" s="33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40" t="e">
        <f>#REF!</f>
        <v>#REF!</v>
      </c>
      <c r="C533" s="340">
        <f>AN71</f>
        <v>0</v>
      </c>
      <c r="D533" s="340" t="e">
        <f>#REF!</f>
        <v>#REF!</v>
      </c>
      <c r="E533" s="2">
        <f>AN59</f>
        <v>0</v>
      </c>
      <c r="F533" s="341" t="e">
        <f t="shared" si="18"/>
        <v>#REF!</v>
      </c>
      <c r="G533" s="341" t="str">
        <f t="shared" si="18"/>
        <v/>
      </c>
      <c r="H533" s="342" t="e">
        <f t="shared" si="16"/>
        <v>#REF!</v>
      </c>
      <c r="I533" s="267"/>
      <c r="J533" s="2"/>
      <c r="K533" s="338"/>
      <c r="L533" s="33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40" t="e">
        <f>#REF!</f>
        <v>#REF!</v>
      </c>
      <c r="C534" s="340">
        <f>AO71</f>
        <v>0</v>
      </c>
      <c r="D534" s="340" t="e">
        <f>#REF!</f>
        <v>#REF!</v>
      </c>
      <c r="E534" s="2">
        <f>AO59</f>
        <v>0</v>
      </c>
      <c r="F534" s="341" t="e">
        <f t="shared" si="18"/>
        <v>#REF!</v>
      </c>
      <c r="G534" s="341" t="str">
        <f t="shared" si="18"/>
        <v/>
      </c>
      <c r="H534" s="342" t="e">
        <f t="shared" si="16"/>
        <v>#REF!</v>
      </c>
      <c r="I534" s="267"/>
      <c r="J534" s="2"/>
      <c r="K534" s="338"/>
      <c r="L534" s="33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40" t="e">
        <f>#REF!</f>
        <v>#REF!</v>
      </c>
      <c r="C535" s="340">
        <f>AP71</f>
        <v>6220750.4900000002</v>
      </c>
      <c r="D535" s="340" t="e">
        <f>#REF!</f>
        <v>#REF!</v>
      </c>
      <c r="E535" s="2">
        <f>AP59</f>
        <v>19595</v>
      </c>
      <c r="F535" s="341" t="e">
        <f t="shared" si="18"/>
        <v>#REF!</v>
      </c>
      <c r="G535" s="341">
        <f t="shared" si="18"/>
        <v>317.46621536106153</v>
      </c>
      <c r="H535" s="342" t="e">
        <f t="shared" si="16"/>
        <v>#REF!</v>
      </c>
      <c r="I535" s="267"/>
      <c r="J535" s="2"/>
      <c r="K535" s="338"/>
      <c r="L535" s="33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40" t="e">
        <f>#REF!</f>
        <v>#REF!</v>
      </c>
      <c r="C536" s="340">
        <f>AQ71</f>
        <v>0</v>
      </c>
      <c r="D536" s="340" t="e">
        <f>#REF!</f>
        <v>#REF!</v>
      </c>
      <c r="E536" s="2">
        <f>AQ59</f>
        <v>0</v>
      </c>
      <c r="F536" s="341" t="e">
        <f t="shared" si="18"/>
        <v>#REF!</v>
      </c>
      <c r="G536" s="341" t="str">
        <f t="shared" si="18"/>
        <v/>
      </c>
      <c r="H536" s="342" t="e">
        <f t="shared" si="16"/>
        <v>#REF!</v>
      </c>
      <c r="I536" s="267"/>
      <c r="J536" s="2"/>
      <c r="K536" s="338"/>
      <c r="L536" s="33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40" t="e">
        <f>#REF!</f>
        <v>#REF!</v>
      </c>
      <c r="C537" s="340">
        <f>AR71</f>
        <v>0</v>
      </c>
      <c r="D537" s="340" t="e">
        <f>#REF!</f>
        <v>#REF!</v>
      </c>
      <c r="E537" s="2">
        <f>AR59</f>
        <v>0</v>
      </c>
      <c r="F537" s="341" t="e">
        <f t="shared" si="18"/>
        <v>#REF!</v>
      </c>
      <c r="G537" s="341" t="str">
        <f t="shared" si="18"/>
        <v/>
      </c>
      <c r="H537" s="342" t="e">
        <f t="shared" si="16"/>
        <v>#REF!</v>
      </c>
      <c r="I537" s="267"/>
      <c r="J537" s="2"/>
      <c r="K537" s="338"/>
      <c r="L537" s="33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40" t="e">
        <f>#REF!</f>
        <v>#REF!</v>
      </c>
      <c r="C538" s="340">
        <f>AS71</f>
        <v>0</v>
      </c>
      <c r="D538" s="340" t="e">
        <f>#REF!</f>
        <v>#REF!</v>
      </c>
      <c r="E538" s="2">
        <f>AS59</f>
        <v>0</v>
      </c>
      <c r="F538" s="341" t="e">
        <f t="shared" si="18"/>
        <v>#REF!</v>
      </c>
      <c r="G538" s="341" t="str">
        <f t="shared" si="18"/>
        <v/>
      </c>
      <c r="H538" s="342" t="e">
        <f t="shared" si="16"/>
        <v>#REF!</v>
      </c>
      <c r="I538" s="267"/>
      <c r="J538" s="2"/>
      <c r="K538" s="338"/>
      <c r="L538" s="33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40" t="e">
        <f>#REF!</f>
        <v>#REF!</v>
      </c>
      <c r="C539" s="340">
        <f>AT71</f>
        <v>0</v>
      </c>
      <c r="D539" s="340" t="e">
        <f>#REF!</f>
        <v>#REF!</v>
      </c>
      <c r="E539" s="2">
        <f>AT59</f>
        <v>0</v>
      </c>
      <c r="F539" s="341" t="e">
        <f t="shared" si="18"/>
        <v>#REF!</v>
      </c>
      <c r="G539" s="341" t="str">
        <f t="shared" si="18"/>
        <v/>
      </c>
      <c r="H539" s="342" t="e">
        <f t="shared" si="16"/>
        <v>#REF!</v>
      </c>
      <c r="I539" s="267"/>
      <c r="J539" s="2"/>
      <c r="K539" s="338"/>
      <c r="L539" s="33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40" t="e">
        <f>#REF!</f>
        <v>#REF!</v>
      </c>
      <c r="C540" s="340">
        <f>AU71</f>
        <v>0</v>
      </c>
      <c r="D540" s="340" t="e">
        <f>#REF!</f>
        <v>#REF!</v>
      </c>
      <c r="E540" s="2">
        <f>AU59</f>
        <v>0</v>
      </c>
      <c r="F540" s="341" t="e">
        <f t="shared" si="18"/>
        <v>#REF!</v>
      </c>
      <c r="G540" s="341" t="str">
        <f t="shared" si="18"/>
        <v/>
      </c>
      <c r="H540" s="342" t="e">
        <f t="shared" si="16"/>
        <v>#REF!</v>
      </c>
      <c r="I540" s="267"/>
      <c r="J540" s="2"/>
      <c r="K540" s="338"/>
      <c r="L540" s="33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40" t="e">
        <f>#REF!</f>
        <v>#REF!</v>
      </c>
      <c r="C541" s="340">
        <f>AV71</f>
        <v>0</v>
      </c>
      <c r="D541" s="334" t="s">
        <v>529</v>
      </c>
      <c r="E541" s="334" t="s">
        <v>529</v>
      </c>
      <c r="F541" s="341"/>
      <c r="G541" s="341"/>
      <c r="H541" s="342"/>
      <c r="I541" s="267"/>
      <c r="J541" s="2"/>
      <c r="K541" s="338"/>
      <c r="L541" s="33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40" t="e">
        <f>#REF!</f>
        <v>#REF!</v>
      </c>
      <c r="C542" s="340">
        <f>AW71</f>
        <v>0</v>
      </c>
      <c r="D542" s="334" t="s">
        <v>529</v>
      </c>
      <c r="E542" s="334" t="s">
        <v>529</v>
      </c>
      <c r="F542" s="341"/>
      <c r="G542" s="341"/>
      <c r="H542" s="342"/>
      <c r="I542" s="267"/>
      <c r="J542" s="2"/>
      <c r="K542" s="338"/>
      <c r="L542" s="33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40" t="e">
        <f>#REF!</f>
        <v>#REF!</v>
      </c>
      <c r="C543" s="340">
        <f>AX71</f>
        <v>0</v>
      </c>
      <c r="D543" s="334" t="s">
        <v>529</v>
      </c>
      <c r="E543" s="334" t="s">
        <v>529</v>
      </c>
      <c r="F543" s="341"/>
      <c r="G543" s="341"/>
      <c r="H543" s="342"/>
      <c r="I543" s="267"/>
      <c r="J543" s="2"/>
      <c r="K543" s="338"/>
      <c r="L543" s="33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40" t="e">
        <f>#REF!</f>
        <v>#REF!</v>
      </c>
      <c r="C544" s="340">
        <f>AY71</f>
        <v>479543.86</v>
      </c>
      <c r="D544" s="340" t="e">
        <f>#REF!</f>
        <v>#REF!</v>
      </c>
      <c r="E544" s="2">
        <f>AY59</f>
        <v>8264</v>
      </c>
      <c r="F544" s="341" t="e">
        <f t="shared" ref="F544:G550" si="19">IF(B544=0,"",IF(D544=0,"",B544/D544))</f>
        <v>#REF!</v>
      </c>
      <c r="G544" s="341">
        <f t="shared" si="19"/>
        <v>58.028056631171346</v>
      </c>
      <c r="H544" s="342" t="e">
        <f t="shared" si="16"/>
        <v>#REF!</v>
      </c>
      <c r="I544" s="267"/>
      <c r="J544" s="2"/>
      <c r="K544" s="338"/>
      <c r="L544" s="33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40" t="e">
        <f>#REF!</f>
        <v>#REF!</v>
      </c>
      <c r="C545" s="340">
        <f>AZ71</f>
        <v>0</v>
      </c>
      <c r="D545" s="340" t="e">
        <f>#REF!</f>
        <v>#REF!</v>
      </c>
      <c r="E545" s="2">
        <f>AZ59</f>
        <v>0</v>
      </c>
      <c r="F545" s="341" t="e">
        <f t="shared" si="19"/>
        <v>#REF!</v>
      </c>
      <c r="G545" s="341" t="str">
        <f t="shared" si="19"/>
        <v/>
      </c>
      <c r="H545" s="342" t="e">
        <f t="shared" si="16"/>
        <v>#REF!</v>
      </c>
      <c r="I545" s="267"/>
      <c r="J545" s="2"/>
      <c r="K545" s="338"/>
      <c r="L545" s="33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40" t="e">
        <f>#REF!</f>
        <v>#REF!</v>
      </c>
      <c r="C546" s="340">
        <f>BA71</f>
        <v>175166.69999999998</v>
      </c>
      <c r="D546" s="340" t="e">
        <f>#REF!</f>
        <v>#REF!</v>
      </c>
      <c r="E546" s="2">
        <f>BA59</f>
        <v>0</v>
      </c>
      <c r="F546" s="341" t="e">
        <f t="shared" si="19"/>
        <v>#REF!</v>
      </c>
      <c r="G546" s="341" t="str">
        <f t="shared" si="19"/>
        <v/>
      </c>
      <c r="H546" s="342" t="e">
        <f t="shared" si="16"/>
        <v>#REF!</v>
      </c>
      <c r="I546" s="267"/>
      <c r="J546" s="2"/>
      <c r="K546" s="338"/>
      <c r="L546" s="33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40" t="e">
        <f>#REF!</f>
        <v>#REF!</v>
      </c>
      <c r="C547" s="340">
        <f>BB71</f>
        <v>0</v>
      </c>
      <c r="D547" s="334" t="s">
        <v>529</v>
      </c>
      <c r="E547" s="334" t="s">
        <v>529</v>
      </c>
      <c r="F547" s="341"/>
      <c r="G547" s="341"/>
      <c r="H547" s="342"/>
      <c r="I547" s="267"/>
      <c r="J547" s="2"/>
      <c r="K547" s="338"/>
      <c r="L547" s="33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40" t="e">
        <f>#REF!</f>
        <v>#REF!</v>
      </c>
      <c r="C548" s="340">
        <f>BC71</f>
        <v>0</v>
      </c>
      <c r="D548" s="334" t="s">
        <v>529</v>
      </c>
      <c r="E548" s="334" t="s">
        <v>529</v>
      </c>
      <c r="F548" s="341"/>
      <c r="G548" s="341"/>
      <c r="H548" s="342"/>
      <c r="I548" s="267"/>
      <c r="J548" s="2"/>
      <c r="K548" s="338"/>
      <c r="L548" s="33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40" t="e">
        <f>#REF!</f>
        <v>#REF!</v>
      </c>
      <c r="C549" s="340">
        <f>BD71</f>
        <v>161829.66999999998</v>
      </c>
      <c r="D549" s="334" t="s">
        <v>529</v>
      </c>
      <c r="E549" s="334" t="s">
        <v>529</v>
      </c>
      <c r="F549" s="341"/>
      <c r="G549" s="341"/>
      <c r="H549" s="342"/>
      <c r="I549" s="267"/>
      <c r="J549" s="2"/>
      <c r="K549" s="338"/>
      <c r="L549" s="33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40" t="e">
        <f>#REF!</f>
        <v>#REF!</v>
      </c>
      <c r="C550" s="340">
        <f>BE71</f>
        <v>1030423.62</v>
      </c>
      <c r="D550" s="340" t="e">
        <f>#REF!</f>
        <v>#REF!</v>
      </c>
      <c r="E550" s="2">
        <f>BE59</f>
        <v>82579</v>
      </c>
      <c r="F550" s="341" t="e">
        <f t="shared" si="19"/>
        <v>#REF!</v>
      </c>
      <c r="G550" s="341">
        <f t="shared" si="19"/>
        <v>12.478034609283231</v>
      </c>
      <c r="H550" s="342" t="e">
        <f t="shared" si="16"/>
        <v>#REF!</v>
      </c>
      <c r="I550" s="267"/>
      <c r="J550" s="2"/>
      <c r="K550" s="338"/>
      <c r="L550" s="33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40" t="e">
        <f>#REF!</f>
        <v>#REF!</v>
      </c>
      <c r="C551" s="340">
        <f>BF71</f>
        <v>491771.07</v>
      </c>
      <c r="D551" s="334" t="s">
        <v>529</v>
      </c>
      <c r="E551" s="334" t="s">
        <v>529</v>
      </c>
      <c r="F551" s="341"/>
      <c r="G551" s="341"/>
      <c r="H551" s="342"/>
      <c r="I551" s="267"/>
      <c r="J551" s="328"/>
      <c r="K551" s="2"/>
      <c r="L551" s="2"/>
      <c r="M551" s="34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40" t="e">
        <f>#REF!</f>
        <v>#REF!</v>
      </c>
      <c r="C552" s="340">
        <f>BG71</f>
        <v>144864.37</v>
      </c>
      <c r="D552" s="334" t="s">
        <v>529</v>
      </c>
      <c r="E552" s="334" t="s">
        <v>529</v>
      </c>
      <c r="F552" s="341"/>
      <c r="G552" s="341"/>
      <c r="H552" s="342"/>
      <c r="I552" s="2"/>
      <c r="J552" s="328"/>
      <c r="K552" s="2"/>
      <c r="L552" s="2"/>
      <c r="M552" s="34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40" t="e">
        <f>#REF!</f>
        <v>#REF!</v>
      </c>
      <c r="C553" s="340">
        <f>BH71</f>
        <v>822227.71000000008</v>
      </c>
      <c r="D553" s="334" t="s">
        <v>529</v>
      </c>
      <c r="E553" s="334" t="s">
        <v>529</v>
      </c>
      <c r="F553" s="341"/>
      <c r="G553" s="341"/>
      <c r="H553" s="342"/>
      <c r="I553" s="2"/>
      <c r="J553" s="328"/>
      <c r="K553" s="2"/>
      <c r="L553" s="2"/>
      <c r="M553" s="34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40" t="e">
        <f>#REF!</f>
        <v>#REF!</v>
      </c>
      <c r="C554" s="340">
        <f>BI71</f>
        <v>0</v>
      </c>
      <c r="D554" s="334" t="s">
        <v>529</v>
      </c>
      <c r="E554" s="334" t="s">
        <v>529</v>
      </c>
      <c r="F554" s="341"/>
      <c r="G554" s="341"/>
      <c r="H554" s="342"/>
      <c r="I554" s="2"/>
      <c r="J554" s="328"/>
      <c r="K554" s="2"/>
      <c r="L554" s="2"/>
      <c r="M554" s="34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40" t="e">
        <f>#REF!</f>
        <v>#REF!</v>
      </c>
      <c r="C555" s="340">
        <f>BJ71</f>
        <v>752639.55</v>
      </c>
      <c r="D555" s="334" t="s">
        <v>529</v>
      </c>
      <c r="E555" s="334" t="s">
        <v>529</v>
      </c>
      <c r="F555" s="341"/>
      <c r="G555" s="341"/>
      <c r="H555" s="342"/>
      <c r="I555" s="2"/>
      <c r="J555" s="328"/>
      <c r="K555" s="2"/>
      <c r="L555" s="2"/>
      <c r="M555" s="34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40" t="e">
        <f>#REF!</f>
        <v>#REF!</v>
      </c>
      <c r="C556" s="340">
        <f>BK71</f>
        <v>1025110.0399999999</v>
      </c>
      <c r="D556" s="334" t="s">
        <v>529</v>
      </c>
      <c r="E556" s="334" t="s">
        <v>529</v>
      </c>
      <c r="F556" s="341"/>
      <c r="G556" s="341"/>
      <c r="H556" s="342"/>
      <c r="I556" s="2"/>
      <c r="J556" s="328"/>
      <c r="K556" s="2"/>
      <c r="L556" s="2"/>
      <c r="M556" s="34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40" t="e">
        <f>#REF!</f>
        <v>#REF!</v>
      </c>
      <c r="C557" s="340">
        <f>BL71</f>
        <v>278291.79000000004</v>
      </c>
      <c r="D557" s="334" t="s">
        <v>529</v>
      </c>
      <c r="E557" s="334" t="s">
        <v>529</v>
      </c>
      <c r="F557" s="341"/>
      <c r="G557" s="341"/>
      <c r="H557" s="342"/>
      <c r="I557" s="2"/>
      <c r="J557" s="328"/>
      <c r="K557" s="2"/>
      <c r="L557" s="2"/>
      <c r="M557" s="34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40" t="e">
        <f>#REF!</f>
        <v>#REF!</v>
      </c>
      <c r="C558" s="340">
        <f>BM71</f>
        <v>0</v>
      </c>
      <c r="D558" s="334" t="s">
        <v>529</v>
      </c>
      <c r="E558" s="334" t="s">
        <v>529</v>
      </c>
      <c r="F558" s="341"/>
      <c r="G558" s="341"/>
      <c r="H558" s="342"/>
      <c r="I558" s="2"/>
      <c r="J558" s="328"/>
      <c r="K558" s="2"/>
      <c r="L558" s="2"/>
      <c r="M558" s="34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40" t="e">
        <f>#REF!</f>
        <v>#REF!</v>
      </c>
      <c r="C559" s="340">
        <f>BN71</f>
        <v>975974.78999999992</v>
      </c>
      <c r="D559" s="334" t="s">
        <v>529</v>
      </c>
      <c r="E559" s="334" t="s">
        <v>529</v>
      </c>
      <c r="F559" s="341"/>
      <c r="G559" s="341"/>
      <c r="H559" s="342"/>
      <c r="I559" s="2"/>
      <c r="J559" s="328"/>
      <c r="K559" s="2"/>
      <c r="L559" s="2"/>
      <c r="M559" s="34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40" t="e">
        <f>#REF!</f>
        <v>#REF!</v>
      </c>
      <c r="C560" s="340">
        <f>BO71</f>
        <v>314131.3</v>
      </c>
      <c r="D560" s="334" t="s">
        <v>529</v>
      </c>
      <c r="E560" s="334" t="s">
        <v>529</v>
      </c>
      <c r="F560" s="341"/>
      <c r="G560" s="341"/>
      <c r="H560" s="342"/>
      <c r="I560" s="2"/>
      <c r="J560" s="328"/>
      <c r="K560" s="2"/>
      <c r="L560" s="2"/>
      <c r="M560" s="34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40" t="e">
        <f>#REF!</f>
        <v>#REF!</v>
      </c>
      <c r="C561" s="340">
        <f>BP71</f>
        <v>0</v>
      </c>
      <c r="D561" s="334" t="s">
        <v>529</v>
      </c>
      <c r="E561" s="334" t="s">
        <v>529</v>
      </c>
      <c r="F561" s="341"/>
      <c r="G561" s="341"/>
      <c r="H561" s="342"/>
      <c r="I561" s="2"/>
      <c r="J561" s="328"/>
      <c r="K561" s="2"/>
      <c r="L561" s="2"/>
      <c r="M561" s="34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40" t="e">
        <f>#REF!</f>
        <v>#REF!</v>
      </c>
      <c r="C562" s="340">
        <f>BQ71</f>
        <v>0</v>
      </c>
      <c r="D562" s="334" t="s">
        <v>529</v>
      </c>
      <c r="E562" s="334" t="s">
        <v>529</v>
      </c>
      <c r="F562" s="341"/>
      <c r="G562" s="341"/>
      <c r="H562" s="342"/>
      <c r="I562" s="2"/>
      <c r="J562" s="328"/>
      <c r="K562" s="2"/>
      <c r="L562" s="2"/>
      <c r="M562" s="34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40" t="e">
        <f>#REF!</f>
        <v>#REF!</v>
      </c>
      <c r="C563" s="340">
        <f>BR71</f>
        <v>309515.07</v>
      </c>
      <c r="D563" s="334" t="s">
        <v>529</v>
      </c>
      <c r="E563" s="334" t="s">
        <v>529</v>
      </c>
      <c r="F563" s="341"/>
      <c r="G563" s="341"/>
      <c r="H563" s="342"/>
      <c r="I563" s="2"/>
      <c r="J563" s="328"/>
      <c r="K563" s="2"/>
      <c r="L563" s="2"/>
      <c r="M563" s="34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40" t="e">
        <f>#REF!</f>
        <v>#REF!</v>
      </c>
      <c r="C564" s="340">
        <f>BS71</f>
        <v>0</v>
      </c>
      <c r="D564" s="334" t="s">
        <v>529</v>
      </c>
      <c r="E564" s="334" t="s">
        <v>529</v>
      </c>
      <c r="F564" s="341"/>
      <c r="G564" s="341"/>
      <c r="H564" s="342"/>
      <c r="I564" s="2"/>
      <c r="J564" s="328"/>
      <c r="K564" s="2"/>
      <c r="L564" s="2"/>
      <c r="M564" s="34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40" t="e">
        <f>#REF!</f>
        <v>#REF!</v>
      </c>
      <c r="C565" s="340">
        <f>BT71</f>
        <v>0</v>
      </c>
      <c r="D565" s="334" t="s">
        <v>529</v>
      </c>
      <c r="E565" s="334" t="s">
        <v>529</v>
      </c>
      <c r="F565" s="341"/>
      <c r="G565" s="341"/>
      <c r="H565" s="342"/>
      <c r="I565" s="2"/>
      <c r="J565" s="328"/>
      <c r="K565" s="2"/>
      <c r="L565" s="2"/>
      <c r="M565" s="34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40" t="e">
        <f>#REF!</f>
        <v>#REF!</v>
      </c>
      <c r="C566" s="340">
        <f>BU71</f>
        <v>0</v>
      </c>
      <c r="D566" s="334" t="s">
        <v>529</v>
      </c>
      <c r="E566" s="334" t="s">
        <v>529</v>
      </c>
      <c r="F566" s="341"/>
      <c r="G566" s="341"/>
      <c r="H566" s="342"/>
      <c r="I566" s="2"/>
      <c r="J566" s="328"/>
      <c r="K566" s="2"/>
      <c r="L566" s="2"/>
      <c r="M566" s="34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40" t="e">
        <f>#REF!</f>
        <v>#REF!</v>
      </c>
      <c r="C567" s="340">
        <f>BV71</f>
        <v>587474.97</v>
      </c>
      <c r="D567" s="334" t="s">
        <v>529</v>
      </c>
      <c r="E567" s="334" t="s">
        <v>529</v>
      </c>
      <c r="F567" s="341"/>
      <c r="G567" s="341"/>
      <c r="H567" s="342"/>
      <c r="I567" s="2"/>
      <c r="J567" s="328"/>
      <c r="K567" s="2"/>
      <c r="L567" s="2"/>
      <c r="M567" s="34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40" t="e">
        <f>#REF!</f>
        <v>#REF!</v>
      </c>
      <c r="C568" s="340">
        <f>BW71</f>
        <v>0</v>
      </c>
      <c r="D568" s="334" t="s">
        <v>529</v>
      </c>
      <c r="E568" s="334" t="s">
        <v>529</v>
      </c>
      <c r="F568" s="341"/>
      <c r="G568" s="341"/>
      <c r="H568" s="342"/>
      <c r="I568" s="2"/>
      <c r="J568" s="328"/>
      <c r="K568" s="2"/>
      <c r="L568" s="2"/>
      <c r="M568" s="34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40" t="e">
        <f>#REF!</f>
        <v>#REF!</v>
      </c>
      <c r="C569" s="340">
        <f>BX71</f>
        <v>110701.01000000001</v>
      </c>
      <c r="D569" s="334" t="s">
        <v>529</v>
      </c>
      <c r="E569" s="334" t="s">
        <v>529</v>
      </c>
      <c r="F569" s="341"/>
      <c r="G569" s="341"/>
      <c r="H569" s="342"/>
      <c r="I569" s="2"/>
      <c r="J569" s="328"/>
      <c r="K569" s="2"/>
      <c r="L569" s="2"/>
      <c r="M569" s="34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40" t="e">
        <f>#REF!</f>
        <v>#REF!</v>
      </c>
      <c r="C570" s="340">
        <f>BY71</f>
        <v>281858.69999999995</v>
      </c>
      <c r="D570" s="334" t="s">
        <v>529</v>
      </c>
      <c r="E570" s="334" t="s">
        <v>529</v>
      </c>
      <c r="F570" s="341"/>
      <c r="G570" s="341"/>
      <c r="H570" s="342"/>
      <c r="I570" s="2"/>
      <c r="J570" s="328"/>
      <c r="K570" s="2"/>
      <c r="L570" s="2"/>
      <c r="M570" s="34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40" t="e">
        <f>#REF!</f>
        <v>#REF!</v>
      </c>
      <c r="C571" s="340">
        <f>BZ71</f>
        <v>0</v>
      </c>
      <c r="D571" s="334" t="s">
        <v>529</v>
      </c>
      <c r="E571" s="334" t="s">
        <v>529</v>
      </c>
      <c r="F571" s="341"/>
      <c r="G571" s="341"/>
      <c r="H571" s="342"/>
      <c r="I571" s="2"/>
      <c r="J571" s="328"/>
      <c r="K571" s="2"/>
      <c r="L571" s="2"/>
      <c r="M571" s="34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40" t="e">
        <f>#REF!</f>
        <v>#REF!</v>
      </c>
      <c r="C572" s="340">
        <f>CA71</f>
        <v>109792.75</v>
      </c>
      <c r="D572" s="334" t="s">
        <v>529</v>
      </c>
      <c r="E572" s="334" t="s">
        <v>529</v>
      </c>
      <c r="F572" s="341"/>
      <c r="G572" s="341"/>
      <c r="H572" s="342"/>
      <c r="I572" s="2"/>
      <c r="J572" s="328"/>
      <c r="K572" s="2"/>
      <c r="L572" s="2"/>
      <c r="M572" s="34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40" t="e">
        <f>#REF!</f>
        <v>#REF!</v>
      </c>
      <c r="C573" s="340">
        <f>CB71</f>
        <v>0</v>
      </c>
      <c r="D573" s="334" t="s">
        <v>529</v>
      </c>
      <c r="E573" s="334" t="s">
        <v>529</v>
      </c>
      <c r="F573" s="341"/>
      <c r="G573" s="341"/>
      <c r="H573" s="342"/>
      <c r="I573" s="2"/>
      <c r="J573" s="328"/>
      <c r="K573" s="2"/>
      <c r="L573" s="2"/>
      <c r="M573" s="34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40" t="e">
        <f>#REF!</f>
        <v>#REF!</v>
      </c>
      <c r="C574" s="340">
        <f>CC71</f>
        <v>28044.92</v>
      </c>
      <c r="D574" s="334" t="s">
        <v>529</v>
      </c>
      <c r="E574" s="334" t="s">
        <v>529</v>
      </c>
      <c r="F574" s="341"/>
      <c r="G574" s="341"/>
      <c r="H574" s="342"/>
      <c r="I574" s="2"/>
      <c r="J574" s="328"/>
      <c r="K574" s="2"/>
      <c r="L574" s="2"/>
      <c r="M574" s="34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40" t="e">
        <f>#REF!</f>
        <v>#REF!</v>
      </c>
      <c r="C575" s="340">
        <f>CD71</f>
        <v>351616.69</v>
      </c>
      <c r="D575" s="334" t="s">
        <v>529</v>
      </c>
      <c r="E575" s="334" t="s">
        <v>529</v>
      </c>
      <c r="F575" s="341"/>
      <c r="G575" s="341"/>
      <c r="H575" s="34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3"/>
      <c r="B612" s="2"/>
      <c r="C612" s="334" t="s">
        <v>589</v>
      </c>
      <c r="D612" s="2">
        <f>CE76-(BE76+CD76)</f>
        <v>57846</v>
      </c>
      <c r="E612" s="2">
        <f>SUM(C624:D647)+SUM(C668:D713)</f>
        <v>33720741.057718083</v>
      </c>
      <c r="F612" s="2">
        <f>CE64-(AX64+BD64+BE64+BG64+BJ64+BN64+BP64+BQ64+CB64+CC64+CD64)</f>
        <v>4851433.0500000026</v>
      </c>
      <c r="G612" s="2">
        <f>CE77-(AX77+AY77+BD77+BE77+BG77+BJ77+BN77+BP77+BQ77+CB77+CC77+CD77)</f>
        <v>8264</v>
      </c>
      <c r="H612" s="333">
        <f>CE60-(AX60+AY60+AZ60+BD60+BE60+BG60+BJ60+BN60+BO60+BP60+BQ60+BR60+CB60+CC60+CD60)</f>
        <v>189.7</v>
      </c>
      <c r="I612" s="2">
        <f>CE78-(AX78+AY78+AZ78+BD78+BE78+BF78+BG78+BJ78+BN78+BO78+BP78+BQ78+BR78+CB78+CC78+CD78)</f>
        <v>18969.63</v>
      </c>
      <c r="J612" s="2">
        <f>CE79-(AX79+AY79+AZ79+BA79+BD79+BE79+BF79+BG79+BJ79+BN79+BO79+BP79+BQ79+BR79+CB79+CC79+CD79)</f>
        <v>172592.93999999997</v>
      </c>
      <c r="K612" s="2">
        <f>CE75-(AW75+AX75+AY75+AZ75+BA75+BB75+BC75+BD75+BE75+BF75+BG75+BH75+BI75+BJ75+BK75+BL75+BM75+BN75+BO75+BP75+BQ75+BR75+BS75+BT75+BU75+BV75+BW75+BX75+CB75+CC75+CD75)</f>
        <v>74169136.239999995</v>
      </c>
      <c r="L612" s="333">
        <f>CE80-(AW80+AX80+AY80+AZ80+BA80+BB80+BC80+BD80+BE80+BF80+BG80+BH80+BI80+BJ80+BK80+BL80+BM80+BN80+BO80+BP80+BQ80+BR80+BS80+BT80+BU80+BV80+BW80+BX80+BY80+BZ80+CA80+CB80+CC80+CD80)</f>
        <v>47.639999999999993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3"/>
      <c r="B613" s="2"/>
      <c r="C613" s="334" t="s">
        <v>590</v>
      </c>
      <c r="D613" s="334" t="s">
        <v>591</v>
      </c>
      <c r="E613" s="337" t="s">
        <v>592</v>
      </c>
      <c r="F613" s="334" t="s">
        <v>593</v>
      </c>
      <c r="G613" s="334" t="s">
        <v>594</v>
      </c>
      <c r="H613" s="334" t="s">
        <v>595</v>
      </c>
      <c r="I613" s="334" t="s">
        <v>596</v>
      </c>
      <c r="J613" s="334" t="s">
        <v>597</v>
      </c>
      <c r="K613" s="334" t="s">
        <v>598</v>
      </c>
      <c r="L613" s="337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3">
        <v>8430</v>
      </c>
      <c r="B614" s="337" t="s">
        <v>140</v>
      </c>
      <c r="C614" s="2">
        <f>BE71</f>
        <v>1030423.62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8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3"/>
      <c r="B615" s="337" t="s">
        <v>601</v>
      </c>
      <c r="C615" s="344">
        <f>CD69-CD70</f>
        <v>351616.69</v>
      </c>
      <c r="D615" s="345">
        <f>SUM(C614:C615)</f>
        <v>1382040.31</v>
      </c>
      <c r="E615" s="2"/>
      <c r="F615" s="2"/>
      <c r="G615" s="2"/>
      <c r="H615" s="2"/>
      <c r="I615" s="2"/>
      <c r="J615" s="2"/>
      <c r="K615" s="2"/>
      <c r="L615" s="2"/>
      <c r="M615" s="2"/>
      <c r="N615" s="328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3">
        <v>8310</v>
      </c>
      <c r="B616" s="346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8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3">
        <v>8510</v>
      </c>
      <c r="B617" s="346" t="s">
        <v>145</v>
      </c>
      <c r="C617" s="2">
        <f>BJ71</f>
        <v>752639.55</v>
      </c>
      <c r="D617" s="2">
        <f>(D615/D612)*BJ76</f>
        <v>14693.406469764546</v>
      </c>
      <c r="E617" s="2"/>
      <c r="F617" s="2"/>
      <c r="G617" s="2"/>
      <c r="H617" s="2"/>
      <c r="I617" s="2"/>
      <c r="J617" s="2"/>
      <c r="K617" s="2"/>
      <c r="L617" s="2"/>
      <c r="M617" s="2"/>
      <c r="N617" s="328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3">
        <v>8470</v>
      </c>
      <c r="B618" s="346" t="s">
        <v>606</v>
      </c>
      <c r="C618" s="2">
        <f>BG71</f>
        <v>144864.37</v>
      </c>
      <c r="D618" s="2">
        <f>(D615/D612)*BG76</f>
        <v>6976.3816084085329</v>
      </c>
      <c r="E618" s="2"/>
      <c r="F618" s="2"/>
      <c r="G618" s="2"/>
      <c r="H618" s="2"/>
      <c r="I618" s="2"/>
      <c r="J618" s="2"/>
      <c r="K618" s="2"/>
      <c r="L618" s="2"/>
      <c r="M618" s="2"/>
      <c r="N618" s="328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3">
        <v>8610</v>
      </c>
      <c r="B619" s="346" t="s">
        <v>608</v>
      </c>
      <c r="C619" s="2">
        <f>BN71</f>
        <v>975974.78999999992</v>
      </c>
      <c r="D619" s="2">
        <f>(D615/D612)*BN76</f>
        <v>16748.094203747882</v>
      </c>
      <c r="E619" s="2"/>
      <c r="F619" s="2"/>
      <c r="G619" s="2"/>
      <c r="H619" s="2"/>
      <c r="I619" s="2"/>
      <c r="J619" s="2"/>
      <c r="K619" s="2"/>
      <c r="L619" s="2"/>
      <c r="M619" s="2"/>
      <c r="N619" s="328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3">
        <v>8790</v>
      </c>
      <c r="B620" s="346" t="s">
        <v>610</v>
      </c>
      <c r="C620" s="2">
        <f>CC71</f>
        <v>28044.92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8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3">
        <v>8630</v>
      </c>
      <c r="B621" s="346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8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3">
        <v>8770</v>
      </c>
      <c r="B622" s="337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8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3">
        <v>8640</v>
      </c>
      <c r="B623" s="346" t="s">
        <v>616</v>
      </c>
      <c r="C623" s="2">
        <f>BQ71</f>
        <v>0</v>
      </c>
      <c r="D623" s="2">
        <f>(D615/D612)*BQ76</f>
        <v>0</v>
      </c>
      <c r="E623" s="2">
        <f>SUM(C616:D623)</f>
        <v>1939941.5122819208</v>
      </c>
      <c r="F623" s="2"/>
      <c r="G623" s="2"/>
      <c r="H623" s="2"/>
      <c r="I623" s="2"/>
      <c r="J623" s="2"/>
      <c r="K623" s="2"/>
      <c r="L623" s="2"/>
      <c r="M623" s="2"/>
      <c r="N623" s="328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3">
        <v>8420</v>
      </c>
      <c r="B624" s="346" t="s">
        <v>139</v>
      </c>
      <c r="C624" s="2">
        <f>BD71</f>
        <v>161829.66999999998</v>
      </c>
      <c r="D624" s="2">
        <f>(D615/D612)*BD76</f>
        <v>8194.8592180963242</v>
      </c>
      <c r="E624" s="2">
        <f>(E623/E612)*SUM(C624:D624)</f>
        <v>9781.4470260843027</v>
      </c>
      <c r="F624" s="2">
        <f>SUM(C624:E624)</f>
        <v>179805.97624418061</v>
      </c>
      <c r="G624" s="2"/>
      <c r="H624" s="2"/>
      <c r="I624" s="2"/>
      <c r="J624" s="2"/>
      <c r="K624" s="2"/>
      <c r="L624" s="2"/>
      <c r="M624" s="2"/>
      <c r="N624" s="328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3">
        <v>8320</v>
      </c>
      <c r="B625" s="346" t="s">
        <v>135</v>
      </c>
      <c r="C625" s="2">
        <f>AY71</f>
        <v>479543.86</v>
      </c>
      <c r="D625" s="2">
        <f>(D615/D612)*AY76</f>
        <v>56169.428634823496</v>
      </c>
      <c r="E625" s="2">
        <f>(E623/E612)*SUM(C625:D625)</f>
        <v>30819.383403375534</v>
      </c>
      <c r="F625" s="2">
        <f>(F624/F612)*AY64</f>
        <v>6358.6752820337251</v>
      </c>
      <c r="G625" s="2">
        <f>SUM(C625:F625)</f>
        <v>572891.34732023277</v>
      </c>
      <c r="H625" s="2"/>
      <c r="I625" s="2"/>
      <c r="J625" s="2"/>
      <c r="K625" s="2"/>
      <c r="L625" s="2"/>
      <c r="M625" s="2"/>
      <c r="N625" s="328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3">
        <v>8650</v>
      </c>
      <c r="B626" s="346" t="s">
        <v>152</v>
      </c>
      <c r="C626" s="2">
        <f>BR71</f>
        <v>309515.07</v>
      </c>
      <c r="D626" s="2">
        <f>(D615/D612)*BR76</f>
        <v>7717.0248613560143</v>
      </c>
      <c r="E626" s="2">
        <f>(E623/E612)*SUM(C626:D626)</f>
        <v>18250.242745149986</v>
      </c>
      <c r="F626" s="2">
        <f>(F624/F612)*BR64</f>
        <v>31.711370188659149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8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3">
        <v>8620</v>
      </c>
      <c r="B627" s="337" t="s">
        <v>621</v>
      </c>
      <c r="C627" s="2">
        <f>BO71</f>
        <v>314131.3</v>
      </c>
      <c r="D627" s="2">
        <f>(D615/D612)*BO76</f>
        <v>0</v>
      </c>
      <c r="E627" s="2">
        <f>(E623/E612)*SUM(C627:D627)</f>
        <v>18071.855186516004</v>
      </c>
      <c r="F627" s="2">
        <f>(F624/F612)*BO64</f>
        <v>281.14237413559806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8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3">
        <v>8330</v>
      </c>
      <c r="B628" s="346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667998.34653734625</v>
      </c>
      <c r="I628" s="2"/>
      <c r="J628" s="2"/>
      <c r="K628" s="2"/>
      <c r="L628" s="2"/>
      <c r="M628" s="2"/>
      <c r="N628" s="328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3">
        <v>8460</v>
      </c>
      <c r="B629" s="346" t="s">
        <v>141</v>
      </c>
      <c r="C629" s="2">
        <f>BF71</f>
        <v>491771.07</v>
      </c>
      <c r="D629" s="2">
        <f>(D615/D612)*BF76</f>
        <v>8362.1012429554339</v>
      </c>
      <c r="E629" s="2">
        <f>(E623/E612)*SUM(C629:D629)</f>
        <v>28772.472672018677</v>
      </c>
      <c r="F629" s="2">
        <f>(F624/F612)*BF64</f>
        <v>1177.1926107313636</v>
      </c>
      <c r="G629" s="2">
        <f>(G625/G612)*BF77</f>
        <v>0</v>
      </c>
      <c r="H629" s="2">
        <f>(H628/H612)*BF60</f>
        <v>37502.279339076107</v>
      </c>
      <c r="I629" s="2">
        <f>SUM(C629:H629)</f>
        <v>567585.11586478155</v>
      </c>
      <c r="J629" s="2"/>
      <c r="K629" s="2"/>
      <c r="L629" s="2"/>
      <c r="M629" s="2"/>
      <c r="N629" s="328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3">
        <v>8350</v>
      </c>
      <c r="B630" s="346" t="s">
        <v>625</v>
      </c>
      <c r="C630" s="2">
        <f>BA71</f>
        <v>175166.69999999998</v>
      </c>
      <c r="D630" s="2">
        <f>(D615/D612)*BA76</f>
        <v>12089.209225529856</v>
      </c>
      <c r="E630" s="2">
        <f>(E623/E612)*SUM(C630:D630)</f>
        <v>10772.761817568518</v>
      </c>
      <c r="F630" s="2">
        <f>(F624/F612)*BA64</f>
        <v>45.100178866171497</v>
      </c>
      <c r="G630" s="2">
        <f>(G625/G612)*BA77</f>
        <v>0</v>
      </c>
      <c r="H630" s="2">
        <f>(H628/H612)*BA60</f>
        <v>0</v>
      </c>
      <c r="I630" s="2">
        <f>(I629/I612)*BA78</f>
        <v>17043.743581190331</v>
      </c>
      <c r="J630" s="2">
        <f>SUM(C630:I630)</f>
        <v>215117.51480315486</v>
      </c>
      <c r="K630" s="2"/>
      <c r="L630" s="2"/>
      <c r="M630" s="2"/>
      <c r="N630" s="328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3">
        <v>8200</v>
      </c>
      <c r="B631" s="346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8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3">
        <v>8360</v>
      </c>
      <c r="B632" s="346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8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3">
        <v>8370</v>
      </c>
      <c r="B633" s="346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8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3">
        <v>8490</v>
      </c>
      <c r="B634" s="346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8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3">
        <v>8530</v>
      </c>
      <c r="B635" s="346" t="s">
        <v>635</v>
      </c>
      <c r="C635" s="2">
        <f>BK71</f>
        <v>1025110.0399999999</v>
      </c>
      <c r="D635" s="2">
        <f>(D615/D612)*BK76</f>
        <v>41882.181368288213</v>
      </c>
      <c r="E635" s="2">
        <f>(E623/E612)*SUM(C635:D635)</f>
        <v>61383.659984556558</v>
      </c>
      <c r="F635" s="2">
        <f>(F624/F612)*BK64</f>
        <v>806.32242505204056</v>
      </c>
      <c r="G635" s="2">
        <f>(G625/G612)*BK77</f>
        <v>0</v>
      </c>
      <c r="H635" s="2">
        <f>(H628/H612)*BK60</f>
        <v>47855.021241130926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8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3">
        <v>8480</v>
      </c>
      <c r="B636" s="346" t="s">
        <v>637</v>
      </c>
      <c r="C636" s="2">
        <f>BH71</f>
        <v>822227.71000000008</v>
      </c>
      <c r="D636" s="2">
        <f>(D615/D612)*BH76</f>
        <v>15577.400029734121</v>
      </c>
      <c r="E636" s="2">
        <f>(E623/E612)*SUM(C636:D636)</f>
        <v>48198.611927498037</v>
      </c>
      <c r="F636" s="2">
        <f>(F624/F612)*BH64</f>
        <v>1029.1881794604867</v>
      </c>
      <c r="G636" s="2">
        <f>(G625/G612)*BH77</f>
        <v>0</v>
      </c>
      <c r="H636" s="2">
        <f>(H628/H612)*BH60</f>
        <v>13803.655869406417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8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3">
        <v>8560</v>
      </c>
      <c r="B637" s="346" t="s">
        <v>147</v>
      </c>
      <c r="C637" s="2">
        <f>BL71</f>
        <v>278291.79000000004</v>
      </c>
      <c r="D637" s="2">
        <f>(D615/D612)*BL76</f>
        <v>6020.7128949279122</v>
      </c>
      <c r="E637" s="2">
        <f>(E623/E612)*SUM(C637:D637)</f>
        <v>16356.391037865535</v>
      </c>
      <c r="F637" s="2">
        <f>(F624/F612)*BL64</f>
        <v>638.81091649054758</v>
      </c>
      <c r="G637" s="2">
        <f>(G625/G612)*BL77</f>
        <v>0</v>
      </c>
      <c r="H637" s="2">
        <f>(H628/H612)*BL60</f>
        <v>24297.251402781705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8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3">
        <v>8590</v>
      </c>
      <c r="B638" s="346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8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3">
        <v>8660</v>
      </c>
      <c r="B639" s="346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8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3">
        <v>8670</v>
      </c>
      <c r="B640" s="346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8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3">
        <v>8680</v>
      </c>
      <c r="B641" s="346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8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3">
        <v>8690</v>
      </c>
      <c r="B642" s="346" t="s">
        <v>648</v>
      </c>
      <c r="C642" s="2">
        <f>BV71</f>
        <v>587474.97</v>
      </c>
      <c r="D642" s="2">
        <f>(D615/D612)*BV76</f>
        <v>36028.710498219407</v>
      </c>
      <c r="E642" s="2">
        <f>(E623/E612)*SUM(C642:D642)</f>
        <v>35869.931529343186</v>
      </c>
      <c r="F642" s="2">
        <f>(F624/F612)*BV64</f>
        <v>10.505350365787891</v>
      </c>
      <c r="G642" s="2">
        <f>(G625/G612)*BV77</f>
        <v>0</v>
      </c>
      <c r="H642" s="2">
        <f>(H628/H612)*BV60</f>
        <v>27642.525146642954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8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3">
        <v>8700</v>
      </c>
      <c r="B643" s="346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8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3">
        <v>8710</v>
      </c>
      <c r="B644" s="346" t="s">
        <v>652</v>
      </c>
      <c r="C644" s="2">
        <f>BX71</f>
        <v>110701.01000000001</v>
      </c>
      <c r="D644" s="2">
        <f>(D615/D612)*BX76</f>
        <v>0</v>
      </c>
      <c r="E644" s="2">
        <f>(E623/E612)*SUM(C644:D644)</f>
        <v>6368.5873445946336</v>
      </c>
      <c r="F644" s="2">
        <f>(F624/F612)*BX64</f>
        <v>0</v>
      </c>
      <c r="G644" s="2">
        <f>(G625/G612)*BX77</f>
        <v>0</v>
      </c>
      <c r="H644" s="2">
        <f>(H628/H612)*BX60</f>
        <v>4084.7553082937357</v>
      </c>
      <c r="I644" s="2">
        <f>(I629/I612)*BX78</f>
        <v>0</v>
      </c>
      <c r="J644" s="2">
        <f>(J630/J612)*BX79</f>
        <v>0</v>
      </c>
      <c r="K644" s="2">
        <f>SUM(C631:J644)</f>
        <v>3211659.7424546522</v>
      </c>
      <c r="L644" s="2"/>
      <c r="M644" s="2"/>
      <c r="N644" s="328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3">
        <v>8720</v>
      </c>
      <c r="B645" s="346" t="s">
        <v>654</v>
      </c>
      <c r="C645" s="2">
        <f>BY71</f>
        <v>281858.69999999995</v>
      </c>
      <c r="D645" s="2">
        <f>(D615/D612)*BY76</f>
        <v>6331.3052268091133</v>
      </c>
      <c r="E645" s="2">
        <f>(E623/E612)*SUM(C645:D645)</f>
        <v>16579.462284274709</v>
      </c>
      <c r="F645" s="2">
        <f>(F624/F612)*BY64</f>
        <v>9.934218070367919</v>
      </c>
      <c r="G645" s="2">
        <f>(G625/G612)*BY77</f>
        <v>0</v>
      </c>
      <c r="H645" s="2">
        <f>(H628/H612)*BY60</f>
        <v>9261.1262593211413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8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3">
        <v>8730</v>
      </c>
      <c r="B646" s="346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8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3">
        <v>8740</v>
      </c>
      <c r="B647" s="346" t="s">
        <v>658</v>
      </c>
      <c r="C647" s="2">
        <f>CA71</f>
        <v>109792.75</v>
      </c>
      <c r="D647" s="2">
        <f>(D615/D612)*CA76</f>
        <v>67804.695221450049</v>
      </c>
      <c r="E647" s="2">
        <f>(E623/E612)*SUM(C647:D647)</f>
        <v>10217.114026960237</v>
      </c>
      <c r="F647" s="2">
        <f>(F624/F612)*CA64</f>
        <v>402.74203625988144</v>
      </c>
      <c r="G647" s="2">
        <f>(G625/G612)*CA77</f>
        <v>0</v>
      </c>
      <c r="H647" s="2">
        <f>(H628/H612)*CA60</f>
        <v>140.85363132047365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502398.68290446588</v>
      </c>
      <c r="M647" s="2"/>
      <c r="N647" s="328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3"/>
      <c r="B648" s="343"/>
      <c r="C648" s="2">
        <f>SUM(C614:C647)</f>
        <v>8430978.5800000001</v>
      </c>
      <c r="D648" s="2"/>
      <c r="E648" s="2"/>
      <c r="F648" s="2"/>
      <c r="G648" s="2"/>
      <c r="H648" s="2"/>
      <c r="I648" s="2"/>
      <c r="J648" s="2"/>
      <c r="K648" s="2"/>
      <c r="L648" s="34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4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4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4" t="s">
        <v>590</v>
      </c>
      <c r="D667" s="334" t="s">
        <v>591</v>
      </c>
      <c r="E667" s="337" t="s">
        <v>592</v>
      </c>
      <c r="F667" s="334" t="s">
        <v>593</v>
      </c>
      <c r="G667" s="334" t="s">
        <v>594</v>
      </c>
      <c r="H667" s="334" t="s">
        <v>595</v>
      </c>
      <c r="I667" s="334" t="s">
        <v>596</v>
      </c>
      <c r="J667" s="334" t="s">
        <v>597</v>
      </c>
      <c r="K667" s="334" t="s">
        <v>598</v>
      </c>
      <c r="L667" s="337" t="s">
        <v>599</v>
      </c>
      <c r="M667" s="334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3">
        <v>6010</v>
      </c>
      <c r="B668" s="337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7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3">
        <v>6030</v>
      </c>
      <c r="B669" s="337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7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3">
        <v>6070</v>
      </c>
      <c r="B670" s="337" t="s">
        <v>665</v>
      </c>
      <c r="C670" s="2">
        <f>E71</f>
        <v>3007172.6899999995</v>
      </c>
      <c r="D670" s="2">
        <f>(D615/D612)*E76</f>
        <v>152930.88587473636</v>
      </c>
      <c r="E670" s="2">
        <f>(E623/E612)*SUM(C670:D670)</f>
        <v>181799.56660670112</v>
      </c>
      <c r="F670" s="2">
        <f>(F624/F612)*E64</f>
        <v>4600.3905847241658</v>
      </c>
      <c r="G670" s="2">
        <f>(G625/G612)*E77</f>
        <v>429668.51049017464</v>
      </c>
      <c r="H670" s="2">
        <f>(H628/H612)*E60</f>
        <v>90216.750860763379</v>
      </c>
      <c r="I670" s="2">
        <f>(I629/I612)*E78</f>
        <v>147516.66308158563</v>
      </c>
      <c r="J670" s="2">
        <f>(J630/J612)*E79</f>
        <v>111794.39012259725</v>
      </c>
      <c r="K670" s="2">
        <f>(K644/K612)*E75</f>
        <v>135585.88049795156</v>
      </c>
      <c r="L670" s="2">
        <f>(L647/L612)*E80</f>
        <v>152174.91591753659</v>
      </c>
      <c r="M670" s="2">
        <f t="shared" si="20"/>
        <v>1406288</v>
      </c>
      <c r="N670" s="337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3">
        <v>6100</v>
      </c>
      <c r="B671" s="337" t="s">
        <v>667</v>
      </c>
      <c r="C671" s="2">
        <f>F71</f>
        <v>335543.83999999997</v>
      </c>
      <c r="D671" s="2">
        <f>(D615/D612)*F76</f>
        <v>0</v>
      </c>
      <c r="E671" s="2">
        <f>(E623/E612)*SUM(C671:D671)</f>
        <v>19303.710535077196</v>
      </c>
      <c r="F671" s="2">
        <f>(F624/F612)*F64</f>
        <v>0</v>
      </c>
      <c r="G671" s="2">
        <f>(G625/G612)*F77</f>
        <v>0</v>
      </c>
      <c r="H671" s="2">
        <f>(H628/H612)*F60</f>
        <v>7641.3094991356957</v>
      </c>
      <c r="I671" s="2">
        <f>(I629/I612)*F78</f>
        <v>0</v>
      </c>
      <c r="J671" s="2">
        <f>(J630/J612)*F79</f>
        <v>0</v>
      </c>
      <c r="K671" s="2">
        <f>(K644/K612)*F75</f>
        <v>33991.681118011729</v>
      </c>
      <c r="L671" s="2">
        <f>(L647/L612)*F80</f>
        <v>0</v>
      </c>
      <c r="M671" s="2">
        <f t="shared" si="20"/>
        <v>60937</v>
      </c>
      <c r="N671" s="337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3">
        <v>6120</v>
      </c>
      <c r="B672" s="337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7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3">
        <v>6140</v>
      </c>
      <c r="B673" s="337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7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3">
        <v>6150</v>
      </c>
      <c r="B674" s="337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7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3">
        <v>6170</v>
      </c>
      <c r="B675" s="337" t="s">
        <v>99</v>
      </c>
      <c r="C675" s="2">
        <f>J71</f>
        <v>2204</v>
      </c>
      <c r="D675" s="2">
        <f>(D615/D612)*J76</f>
        <v>3392.6239328562042</v>
      </c>
      <c r="E675" s="2">
        <f>(E623/E612)*SUM(C675:D675)</f>
        <v>321.97166359406714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18276.059327880554</v>
      </c>
      <c r="L675" s="2">
        <f>(L647/L612)*J80</f>
        <v>0</v>
      </c>
      <c r="M675" s="2">
        <f t="shared" si="20"/>
        <v>21991</v>
      </c>
      <c r="N675" s="337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3">
        <v>6200</v>
      </c>
      <c r="B676" s="337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7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3">
        <v>6210</v>
      </c>
      <c r="B677" s="337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7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3">
        <v>6330</v>
      </c>
      <c r="B678" s="337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7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3">
        <v>6400</v>
      </c>
      <c r="B679" s="337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7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3">
        <v>7010</v>
      </c>
      <c r="B680" s="337" t="s">
        <v>682</v>
      </c>
      <c r="C680" s="2">
        <f>O71</f>
        <v>1204764.04</v>
      </c>
      <c r="D680" s="2">
        <f>(D615/D612)*O76</f>
        <v>42144.990264495384</v>
      </c>
      <c r="E680" s="2">
        <f>(E623/E612)*SUM(C680:D680)</f>
        <v>71734.206128771824</v>
      </c>
      <c r="F680" s="2">
        <f>(F624/F612)*O64</f>
        <v>2911.0968897039229</v>
      </c>
      <c r="G680" s="2">
        <f>(G625/G612)*O77</f>
        <v>143222.83683005819</v>
      </c>
      <c r="H680" s="2">
        <f>(H628/H612)*O60</f>
        <v>24614.172073252772</v>
      </c>
      <c r="I680" s="2">
        <f>(I629/I612)*O78</f>
        <v>38138.15515041069</v>
      </c>
      <c r="J680" s="2">
        <f>(J630/J612)*O79</f>
        <v>11468.837499603093</v>
      </c>
      <c r="K680" s="2">
        <f>(K644/K612)*O75</f>
        <v>70590.802184219734</v>
      </c>
      <c r="L680" s="2">
        <f>(L647/L612)*O80</f>
        <v>65172.625112292182</v>
      </c>
      <c r="M680" s="2">
        <f t="shared" si="20"/>
        <v>469998</v>
      </c>
      <c r="N680" s="337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3">
        <v>7020</v>
      </c>
      <c r="B681" s="337" t="s">
        <v>684</v>
      </c>
      <c r="C681" s="2">
        <f>P71</f>
        <v>2387383.84</v>
      </c>
      <c r="D681" s="2">
        <f>(D615/D612)*P76</f>
        <v>98792.253256059194</v>
      </c>
      <c r="E681" s="2">
        <f>(E623/E612)*SUM(C681:D681)</f>
        <v>143028.77276317772</v>
      </c>
      <c r="F681" s="2">
        <f>(F624/F612)*P64</f>
        <v>34611.525873630373</v>
      </c>
      <c r="G681" s="2">
        <f>(G625/G612)*P77</f>
        <v>0</v>
      </c>
      <c r="H681" s="2">
        <f>(H628/H612)*P60</f>
        <v>38488.254758319425</v>
      </c>
      <c r="I681" s="2">
        <f>(I629/I612)*P78</f>
        <v>41021.316380478456</v>
      </c>
      <c r="J681" s="2">
        <f>(J630/J612)*P79</f>
        <v>62210.417017719534</v>
      </c>
      <c r="K681" s="2">
        <f>(K644/K612)*P75</f>
        <v>270759.75225772359</v>
      </c>
      <c r="L681" s="2">
        <f>(L647/L612)*P80</f>
        <v>33219.056489275143</v>
      </c>
      <c r="M681" s="2">
        <f t="shared" si="20"/>
        <v>722131</v>
      </c>
      <c r="N681" s="337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3">
        <v>7030</v>
      </c>
      <c r="B682" s="337" t="s">
        <v>686</v>
      </c>
      <c r="C682" s="2">
        <f>Q71</f>
        <v>711505.1399999999</v>
      </c>
      <c r="D682" s="2">
        <f>(D615/D612)*Q76</f>
        <v>28932.8703006258</v>
      </c>
      <c r="E682" s="2">
        <f>(E623/E612)*SUM(C682:D682)</f>
        <v>42597.119410720778</v>
      </c>
      <c r="F682" s="2">
        <f>(F624/F612)*Q64</f>
        <v>956.2322366803179</v>
      </c>
      <c r="G682" s="2">
        <f>(G625/G612)*Q77</f>
        <v>0</v>
      </c>
      <c r="H682" s="2">
        <f>(H628/H612)*Q60</f>
        <v>20881.550843260218</v>
      </c>
      <c r="I682" s="2">
        <f>(I629/I612)*Q78</f>
        <v>34379.214248237455</v>
      </c>
      <c r="J682" s="2">
        <f>(J630/J612)*Q79</f>
        <v>0</v>
      </c>
      <c r="K682" s="2">
        <f>(K644/K612)*Q75</f>
        <v>84358.158342760435</v>
      </c>
      <c r="L682" s="2">
        <f>(L647/L612)*Q80</f>
        <v>44924.819252162575</v>
      </c>
      <c r="M682" s="2">
        <f t="shared" si="20"/>
        <v>257030</v>
      </c>
      <c r="N682" s="337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3">
        <v>7040</v>
      </c>
      <c r="B683" s="337" t="s">
        <v>107</v>
      </c>
      <c r="C683" s="2">
        <f>R71</f>
        <v>902411.13</v>
      </c>
      <c r="D683" s="2">
        <f>(D615/D612)*R76</f>
        <v>0</v>
      </c>
      <c r="E683" s="2">
        <f>(E623/E612)*SUM(C683:D683)</f>
        <v>51915.371884496286</v>
      </c>
      <c r="F683" s="2">
        <f>(F624/F612)*R64</f>
        <v>328.03155727820837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103370.38221788677</v>
      </c>
      <c r="L683" s="2">
        <f>(L647/L612)*R80</f>
        <v>0</v>
      </c>
      <c r="M683" s="2">
        <f t="shared" si="20"/>
        <v>155614</v>
      </c>
      <c r="N683" s="337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3">
        <v>7050</v>
      </c>
      <c r="B684" s="337" t="s">
        <v>689</v>
      </c>
      <c r="C684" s="2">
        <f>S71</f>
        <v>1313583.17</v>
      </c>
      <c r="D684" s="2">
        <f>(D615/D612)*S76</f>
        <v>38895.716638661273</v>
      </c>
      <c r="E684" s="2">
        <f>(E623/E612)*SUM(C684:D684)</f>
        <v>77807.600140941955</v>
      </c>
      <c r="F684" s="2">
        <f>(F624/F612)*S64</f>
        <v>44775.360252351427</v>
      </c>
      <c r="G684" s="2">
        <f>(G625/G612)*S77</f>
        <v>0</v>
      </c>
      <c r="H684" s="2">
        <f>(H628/H612)*S60</f>
        <v>7183.5351973441566</v>
      </c>
      <c r="I684" s="2">
        <f>(I629/I612)*S78</f>
        <v>10437.845528322327</v>
      </c>
      <c r="J684" s="2">
        <f>(J630/J612)*S79</f>
        <v>0</v>
      </c>
      <c r="K684" s="2">
        <f>(K644/K612)*S75</f>
        <v>251007.99322047006</v>
      </c>
      <c r="L684" s="2">
        <f>(L647/L612)*S80</f>
        <v>0</v>
      </c>
      <c r="M684" s="2">
        <f t="shared" si="20"/>
        <v>430108</v>
      </c>
      <c r="N684" s="337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3">
        <v>7060</v>
      </c>
      <c r="B685" s="337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7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3">
        <v>7070</v>
      </c>
      <c r="B686" s="337" t="s">
        <v>109</v>
      </c>
      <c r="C686" s="2">
        <f>U71</f>
        <v>1827033.74</v>
      </c>
      <c r="D686" s="2">
        <f>(D615/D612)*U76</f>
        <v>28980.653736299832</v>
      </c>
      <c r="E686" s="2">
        <f>(E623/E612)*SUM(C686:D686)</f>
        <v>106775.80791118779</v>
      </c>
      <c r="F686" s="2">
        <f>(F624/F612)*U64</f>
        <v>28446.61268952868</v>
      </c>
      <c r="G686" s="2">
        <f>(G625/G612)*U77</f>
        <v>0</v>
      </c>
      <c r="H686" s="2">
        <f>(H628/H612)*U60</f>
        <v>31058.225706164441</v>
      </c>
      <c r="I686" s="2">
        <f>(I629/I612)*U78</f>
        <v>17481.483813609295</v>
      </c>
      <c r="J686" s="2">
        <f>(J630/J612)*U79</f>
        <v>0</v>
      </c>
      <c r="K686" s="2">
        <f>(K644/K612)*U75</f>
        <v>289297.49670251826</v>
      </c>
      <c r="L686" s="2">
        <f>(L647/L612)*U80</f>
        <v>0</v>
      </c>
      <c r="M686" s="2">
        <f t="shared" si="20"/>
        <v>502040</v>
      </c>
      <c r="N686" s="337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3">
        <v>7110</v>
      </c>
      <c r="B687" s="337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7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3">
        <v>7120</v>
      </c>
      <c r="B688" s="337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7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3">
        <v>7130</v>
      </c>
      <c r="B689" s="337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7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3">
        <v>7140</v>
      </c>
      <c r="B690" s="337" t="s">
        <v>1249</v>
      </c>
      <c r="C690" s="2">
        <f>Y71</f>
        <v>3344922.0200000005</v>
      </c>
      <c r="D690" s="2">
        <f>(D615/D612)*Y76</f>
        <v>127749.015274522</v>
      </c>
      <c r="E690" s="2">
        <f>(E623/E612)*SUM(C690:D690)</f>
        <v>199781.45463342805</v>
      </c>
      <c r="F690" s="2">
        <f>(F624/F612)*Y64</f>
        <v>13818.970623319316</v>
      </c>
      <c r="G690" s="2">
        <f>(G625/G612)*Y77</f>
        <v>0</v>
      </c>
      <c r="H690" s="2">
        <f>(H628/H612)*Y60</f>
        <v>36445.877104172556</v>
      </c>
      <c r="I690" s="2">
        <f>(I629/I612)*Y78</f>
        <v>20693.174623441941</v>
      </c>
      <c r="J690" s="2">
        <f>(J630/J612)*Y79</f>
        <v>746.68523966434577</v>
      </c>
      <c r="K690" s="2">
        <f>(K644/K612)*Y75</f>
        <v>783067.74755814369</v>
      </c>
      <c r="L690" s="2">
        <f>(L647/L612)*Y80</f>
        <v>2530.9757325162013</v>
      </c>
      <c r="M690" s="2">
        <f t="shared" si="20"/>
        <v>1184834</v>
      </c>
      <c r="N690" s="337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3">
        <v>7150</v>
      </c>
      <c r="B691" s="337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7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3">
        <v>7160</v>
      </c>
      <c r="B692" s="337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37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3">
        <v>7170</v>
      </c>
      <c r="B693" s="337" t="s">
        <v>115</v>
      </c>
      <c r="C693" s="2">
        <f>AB71</f>
        <v>484140.26000000007</v>
      </c>
      <c r="D693" s="2">
        <f>(D615/D612)*AB76</f>
        <v>14048.330088165128</v>
      </c>
      <c r="E693" s="2">
        <f>(E623/E612)*SUM(C693:D693)</f>
        <v>28660.601651754867</v>
      </c>
      <c r="F693" s="2">
        <f>(F624/F612)*AB64</f>
        <v>22068.327296603999</v>
      </c>
      <c r="G693" s="2">
        <f>(G625/G612)*AB77</f>
        <v>0</v>
      </c>
      <c r="H693" s="2">
        <f>(H628/H612)*AB60</f>
        <v>7394.8156443248672</v>
      </c>
      <c r="I693" s="2">
        <f>(I629/I612)*AB78</f>
        <v>5146.065794513851</v>
      </c>
      <c r="J693" s="2">
        <f>(J630/J612)*AB79</f>
        <v>0</v>
      </c>
      <c r="K693" s="2">
        <f>(K644/K612)*AB75</f>
        <v>144374.10754164917</v>
      </c>
      <c r="L693" s="2">
        <f>(L647/L612)*AB80</f>
        <v>0</v>
      </c>
      <c r="M693" s="2">
        <f t="shared" si="20"/>
        <v>221692</v>
      </c>
      <c r="N693" s="337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3">
        <v>7180</v>
      </c>
      <c r="B694" s="337" t="s">
        <v>706</v>
      </c>
      <c r="C694" s="2">
        <f>AC71</f>
        <v>367946.74000000005</v>
      </c>
      <c r="D694" s="2">
        <f>(D615/D612)*AC76</f>
        <v>9413.3368277841164</v>
      </c>
      <c r="E694" s="2">
        <f>(E623/E612)*SUM(C694:D694)</f>
        <v>21709.382865076703</v>
      </c>
      <c r="F694" s="2">
        <f>(F624/F612)*AC64</f>
        <v>1352.714425782741</v>
      </c>
      <c r="G694" s="2">
        <f>(G625/G612)*AC77</f>
        <v>0</v>
      </c>
      <c r="H694" s="2">
        <f>(H628/H612)*AC60</f>
        <v>10035.821231583748</v>
      </c>
      <c r="I694" s="2">
        <f>(I629/I612)*AC78</f>
        <v>8905.0066966870872</v>
      </c>
      <c r="J694" s="2">
        <f>(J630/J612)*AC79</f>
        <v>0</v>
      </c>
      <c r="K694" s="2">
        <f>(K644/K612)*AC75</f>
        <v>42713.076974714393</v>
      </c>
      <c r="L694" s="2">
        <f>(L647/L612)*AC80</f>
        <v>0</v>
      </c>
      <c r="M694" s="2">
        <f t="shared" si="20"/>
        <v>94129</v>
      </c>
      <c r="N694" s="337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3">
        <v>7190</v>
      </c>
      <c r="B695" s="337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7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3">
        <v>7200</v>
      </c>
      <c r="B696" s="337" t="s">
        <v>709</v>
      </c>
      <c r="C696" s="2">
        <f>AE71</f>
        <v>647561.95999999973</v>
      </c>
      <c r="D696" s="2">
        <f>(D615/D612)*AE76</f>
        <v>70337.2173121737</v>
      </c>
      <c r="E696" s="2">
        <f>(E623/E612)*SUM(C696:D696)</f>
        <v>41300.468851415229</v>
      </c>
      <c r="F696" s="2">
        <f>(F624/F612)*AE64</f>
        <v>237.08846812469622</v>
      </c>
      <c r="G696" s="2">
        <f>(G625/G612)*AE77</f>
        <v>0</v>
      </c>
      <c r="H696" s="2">
        <f>(H628/H612)*AE60</f>
        <v>25248.013414194902</v>
      </c>
      <c r="I696" s="2">
        <f>(I629/I612)*AE78</f>
        <v>8174.940963876239</v>
      </c>
      <c r="J696" s="2">
        <f>(J630/J612)*AE79</f>
        <v>0</v>
      </c>
      <c r="K696" s="2">
        <f>(K644/K612)*AE75</f>
        <v>74301.496691722423</v>
      </c>
      <c r="L696" s="2">
        <f>(L647/L612)*AE80</f>
        <v>0</v>
      </c>
      <c r="M696" s="2">
        <f t="shared" si="20"/>
        <v>219599</v>
      </c>
      <c r="N696" s="337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3">
        <v>7220</v>
      </c>
      <c r="B697" s="337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7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3">
        <v>7230</v>
      </c>
      <c r="B698" s="337" t="s">
        <v>713</v>
      </c>
      <c r="C698" s="2">
        <f>AG71</f>
        <v>4472780.9300000006</v>
      </c>
      <c r="D698" s="2">
        <f>(D615/D612)*AG76</f>
        <v>86034.075931092899</v>
      </c>
      <c r="E698" s="2">
        <f>(E623/E612)*SUM(C698:D698)</f>
        <v>262266.90752975846</v>
      </c>
      <c r="F698" s="2">
        <f>(F624/F612)*AG64</f>
        <v>6768.496616135797</v>
      </c>
      <c r="G698" s="2">
        <f>(G625/G612)*AG77</f>
        <v>0</v>
      </c>
      <c r="H698" s="2">
        <f>(H628/H612)*AG60</f>
        <v>54404.715097532942</v>
      </c>
      <c r="I698" s="2">
        <f>(I629/I612)*AG78</f>
        <v>156786.4034374106</v>
      </c>
      <c r="J698" s="2">
        <f>(J630/J612)*AG79</f>
        <v>28897.184923570698</v>
      </c>
      <c r="K698" s="2">
        <f>(K644/K612)*AG75</f>
        <v>544861.35961673188</v>
      </c>
      <c r="L698" s="2">
        <f>(L647/L612)*AG80</f>
        <v>78882.076996754942</v>
      </c>
      <c r="M698" s="2">
        <f t="shared" si="20"/>
        <v>1218901</v>
      </c>
      <c r="N698" s="337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3">
        <v>7240</v>
      </c>
      <c r="B699" s="337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7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3">
        <v>7250</v>
      </c>
      <c r="B700" s="337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7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3">
        <v>7260</v>
      </c>
      <c r="B701" s="337" t="s">
        <v>121</v>
      </c>
      <c r="C701" s="2">
        <f>AJ71</f>
        <v>0</v>
      </c>
      <c r="D701" s="2">
        <f>(D615/D612)*AJ76</f>
        <v>0</v>
      </c>
      <c r="E701" s="2">
        <f>(E623/E612)*SUM(C701:D701)</f>
        <v>0</v>
      </c>
      <c r="F701" s="2">
        <f>(F624/F612)*AJ64</f>
        <v>0</v>
      </c>
      <c r="G701" s="2">
        <f>(G625/G612)*AJ77</f>
        <v>0</v>
      </c>
      <c r="H701" s="2">
        <f>(H628/H612)*AJ60</f>
        <v>0</v>
      </c>
      <c r="I701" s="2">
        <f>(I629/I612)*AJ78</f>
        <v>0</v>
      </c>
      <c r="J701" s="2">
        <f>(J630/J612)*AJ79</f>
        <v>0</v>
      </c>
      <c r="K701" s="2">
        <f>(K644/K612)*AJ75</f>
        <v>0</v>
      </c>
      <c r="L701" s="2">
        <f>(L647/L612)*AJ80</f>
        <v>0</v>
      </c>
      <c r="M701" s="2">
        <f t="shared" si="20"/>
        <v>0</v>
      </c>
      <c r="N701" s="337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3">
        <v>7310</v>
      </c>
      <c r="B702" s="337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7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3">
        <v>7320</v>
      </c>
      <c r="B703" s="337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7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3">
        <v>7330</v>
      </c>
      <c r="B704" s="337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7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3">
        <v>7340</v>
      </c>
      <c r="B705" s="337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7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3">
        <v>7350</v>
      </c>
      <c r="B706" s="337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7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3">
        <v>7380</v>
      </c>
      <c r="B707" s="337" t="s">
        <v>729</v>
      </c>
      <c r="C707" s="2">
        <f>AP71</f>
        <v>6220750.4900000002</v>
      </c>
      <c r="D707" s="2">
        <f>(D615/D612)*AP76</f>
        <v>375792.82985841716</v>
      </c>
      <c r="E707" s="2">
        <f>(E623/E612)*SUM(C707:D707)</f>
        <v>379496.6487200124</v>
      </c>
      <c r="F707" s="2">
        <f>(F624/F612)*AP64</f>
        <v>8139.803788662236</v>
      </c>
      <c r="G707" s="2">
        <f>(G625/G612)*AP77</f>
        <v>0</v>
      </c>
      <c r="H707" s="2">
        <f>(H628/H612)*AP60</f>
        <v>149797.83690932373</v>
      </c>
      <c r="I707" s="2">
        <f>(I629/I612)*AP78</f>
        <v>61861.102565017653</v>
      </c>
      <c r="J707" s="2">
        <f>(J630/J612)*AP79</f>
        <v>0</v>
      </c>
      <c r="K707" s="2">
        <f>(K644/K612)*AP75</f>
        <v>365103.74820226838</v>
      </c>
      <c r="L707" s="2">
        <f>(L647/L612)*AP80</f>
        <v>125494.21340392833</v>
      </c>
      <c r="M707" s="2">
        <f t="shared" si="20"/>
        <v>1465686</v>
      </c>
      <c r="N707" s="337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3">
        <v>7390</v>
      </c>
      <c r="B708" s="337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7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3">
        <v>7400</v>
      </c>
      <c r="B709" s="337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7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3">
        <v>7410</v>
      </c>
      <c r="B710" s="337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7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3">
        <v>7420</v>
      </c>
      <c r="B711" s="337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7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3">
        <v>7430</v>
      </c>
      <c r="B712" s="337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7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3">
        <v>7490</v>
      </c>
      <c r="B713" s="337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8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35660682.57</v>
      </c>
      <c r="D715" s="2">
        <f>SUM(D616:D647)+SUM(D668:D713)</f>
        <v>1382040.3099999998</v>
      </c>
      <c r="E715" s="2">
        <f>SUM(E624:E647)+SUM(E668:E713)</f>
        <v>1939941.5122819198</v>
      </c>
      <c r="F715" s="2">
        <f>SUM(F625:F648)+SUM(F668:F713)</f>
        <v>179805.97624418049</v>
      </c>
      <c r="G715" s="2">
        <f>SUM(G626:G647)+SUM(G668:G713)</f>
        <v>572891.34732023277</v>
      </c>
      <c r="H715" s="2">
        <f>SUM(H629:H647)+SUM(H668:H713)</f>
        <v>667998.34653734637</v>
      </c>
      <c r="I715" s="2">
        <f>SUM(I630:I647)+SUM(I668:I713)</f>
        <v>567585.11586478155</v>
      </c>
      <c r="J715" s="2">
        <f>SUM(J631:J647)+SUM(J668:J713)</f>
        <v>215117.51480315489</v>
      </c>
      <c r="K715" s="2">
        <f>SUM(K668:K713)</f>
        <v>3211659.7424546522</v>
      </c>
      <c r="L715" s="2">
        <f>SUM(L668:L713)</f>
        <v>502398.68290446594</v>
      </c>
      <c r="M715" s="2">
        <f>SUM(M668:M713)</f>
        <v>8430978</v>
      </c>
      <c r="N715" s="337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35660682.570000015</v>
      </c>
      <c r="D716" s="2">
        <f>D615</f>
        <v>1382040.31</v>
      </c>
      <c r="E716" s="2">
        <f>E623</f>
        <v>1939941.5122819208</v>
      </c>
      <c r="F716" s="2">
        <f>F624</f>
        <v>179805.97624418061</v>
      </c>
      <c r="G716" s="2">
        <f>G625</f>
        <v>572891.34732023277</v>
      </c>
      <c r="H716" s="2">
        <f>H628</f>
        <v>667998.34653734625</v>
      </c>
      <c r="I716" s="2">
        <f>I629</f>
        <v>567585.11586478155</v>
      </c>
      <c r="J716" s="2">
        <f>J630</f>
        <v>215117.51480315486</v>
      </c>
      <c r="K716" s="2">
        <f>K644</f>
        <v>3211659.7424546522</v>
      </c>
      <c r="L716" s="2">
        <f>L647</f>
        <v>502398.68290446588</v>
      </c>
      <c r="M716" s="2">
        <f>C648</f>
        <v>8430978.5800000001</v>
      </c>
      <c r="N716" s="337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tal*147*A</v>
      </c>
      <c r="B721" s="282">
        <f>ROUND(C166,0)</f>
        <v>61644</v>
      </c>
      <c r="C721" s="282">
        <f>ROUND(C167,0)</f>
        <v>260936</v>
      </c>
      <c r="D721" s="282">
        <f>ROUND(C168,0)</f>
        <v>2138745</v>
      </c>
      <c r="E721" s="282">
        <f>ROUND(C169,0)</f>
        <v>39677</v>
      </c>
      <c r="F721" s="282">
        <f>ROUND(C170,0)</f>
        <v>265615</v>
      </c>
      <c r="G721" s="282">
        <f>ROUND(C171,0)</f>
        <v>23629</v>
      </c>
      <c r="H721" s="282">
        <f>ROUND(C172+C173,0)</f>
        <v>21398</v>
      </c>
      <c r="I721" s="282">
        <f>ROUND(C176,0)</f>
        <v>269874</v>
      </c>
      <c r="J721" s="282">
        <f>ROUND(C177,0)</f>
        <v>0</v>
      </c>
      <c r="K721" s="282">
        <f>ROUND(C180,0)</f>
        <v>147974</v>
      </c>
      <c r="L721" s="282">
        <f>ROUND(C181,0)</f>
        <v>0</v>
      </c>
      <c r="M721" s="282">
        <f>ROUND(C184,0)</f>
        <v>179368</v>
      </c>
      <c r="N721" s="282">
        <f>ROUND(C185,0)</f>
        <v>0</v>
      </c>
      <c r="O721" s="282">
        <f>ROUND(C186,0)</f>
        <v>0</v>
      </c>
      <c r="P721" s="282">
        <f>ROUND(C189,0)</f>
        <v>0</v>
      </c>
      <c r="Q721" s="282">
        <f>ROUND(C190,0)</f>
        <v>0</v>
      </c>
      <c r="R721" s="282">
        <f>ROUND(B196,0)</f>
        <v>1128016</v>
      </c>
      <c r="S721" s="282">
        <f>ROUND(C196,0)</f>
        <v>-25506</v>
      </c>
      <c r="T721" s="282">
        <f>ROUND(D196,0)</f>
        <v>0</v>
      </c>
      <c r="U721" s="282">
        <f>ROUND(B197,0)</f>
        <v>7901929</v>
      </c>
      <c r="V721" s="282">
        <f>ROUND(C197,0)</f>
        <v>15660</v>
      </c>
      <c r="W721" s="282">
        <f>ROUND(D197,0)</f>
        <v>0</v>
      </c>
      <c r="X721" s="282">
        <f>ROUND(B198,0)</f>
        <v>5860084</v>
      </c>
      <c r="Y721" s="282">
        <f>ROUND(C198,0)</f>
        <v>25605</v>
      </c>
      <c r="Z721" s="282">
        <f>ROUND(D198,0)</f>
        <v>0</v>
      </c>
      <c r="AA721" s="282">
        <f>ROUND(B199,0)</f>
        <v>290017</v>
      </c>
      <c r="AB721" s="282">
        <f>ROUND(C199,0)</f>
        <v>8743</v>
      </c>
      <c r="AC721" s="282">
        <f>ROUND(D199,0)</f>
        <v>773</v>
      </c>
      <c r="AD721" s="282">
        <f>ROUND(B200,0)</f>
        <v>10880522</v>
      </c>
      <c r="AE721" s="282">
        <f>ROUND(C200,0)</f>
        <v>461410</v>
      </c>
      <c r="AF721" s="282">
        <f>ROUND(D200,0)</f>
        <v>1004209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54218</v>
      </c>
      <c r="AN721" s="282">
        <f>ROUND(C203,0)</f>
        <v>51093</v>
      </c>
      <c r="AO721" s="282">
        <f>ROUND(D203,0)</f>
        <v>54218</v>
      </c>
      <c r="AP721" s="282">
        <f>ROUND(B204,0)</f>
        <v>26261092</v>
      </c>
      <c r="AQ721" s="282">
        <f>ROUND(C204,0)</f>
        <v>537004</v>
      </c>
      <c r="AR721" s="282">
        <f>ROUND(D204,0)</f>
        <v>1059200</v>
      </c>
      <c r="AS721" s="282"/>
      <c r="AT721" s="282"/>
      <c r="AU721" s="282"/>
      <c r="AV721" s="282">
        <f>ROUND(B210,0)</f>
        <v>4582787</v>
      </c>
      <c r="AW721" s="282">
        <f>ROUND(C210,0)</f>
        <v>279099</v>
      </c>
      <c r="AX721" s="282">
        <f>ROUND(D210,0)</f>
        <v>0</v>
      </c>
      <c r="AY721" s="282">
        <f>ROUND(B211,0)</f>
        <v>2888371</v>
      </c>
      <c r="AZ721" s="282">
        <f>ROUND(C211,0)</f>
        <v>289539</v>
      </c>
      <c r="BA721" s="282">
        <f>ROUND(D211,0)</f>
        <v>0</v>
      </c>
      <c r="BB721" s="282">
        <f>ROUND(B212,0)</f>
        <v>165881</v>
      </c>
      <c r="BC721" s="282">
        <f>ROUND(C212,0)</f>
        <v>11923</v>
      </c>
      <c r="BD721" s="282">
        <f>ROUND(D212,0)</f>
        <v>773</v>
      </c>
      <c r="BE721" s="282">
        <f>ROUND(B213,0)</f>
        <v>6664790</v>
      </c>
      <c r="BF721" s="282">
        <f>ROUND(C213,0)</f>
        <v>1401879</v>
      </c>
      <c r="BG721" s="282">
        <f>ROUND(D213,0)</f>
        <v>995385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15132833</v>
      </c>
      <c r="BR721" s="282">
        <f>ROUND(C217,0)</f>
        <v>2005200</v>
      </c>
      <c r="BS721" s="282">
        <f>ROUND(D217,0)</f>
        <v>996158</v>
      </c>
      <c r="BT721" s="282">
        <f>ROUND(C222,0)</f>
        <v>0</v>
      </c>
      <c r="BU721" s="282">
        <f>ROUND(C223,0)</f>
        <v>15627036</v>
      </c>
      <c r="BV721" s="282">
        <f>ROUND(C224,0)</f>
        <v>11981260</v>
      </c>
      <c r="BW721" s="282">
        <f>ROUND(C225,0)</f>
        <v>1163374</v>
      </c>
      <c r="BX721" s="282">
        <f>ROUND(C226,0)</f>
        <v>357702</v>
      </c>
      <c r="BY721" s="282">
        <f>ROUND(C227,0)</f>
        <v>3857370</v>
      </c>
      <c r="BZ721" s="282">
        <f>ROUND(C230,0)</f>
        <v>0</v>
      </c>
      <c r="CA721" s="282">
        <f>ROUND(C232,0)</f>
        <v>0</v>
      </c>
      <c r="CB721" s="282">
        <f>ROUND(C233,0)</f>
        <v>240539</v>
      </c>
      <c r="CC721" s="282">
        <f>ROUND(C237+C238,0)</f>
        <v>4196358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tal*147*A</v>
      </c>
      <c r="B725" s="282">
        <f>ROUND(C112,0)</f>
        <v>1</v>
      </c>
      <c r="C725" s="282">
        <f>ROUND(C113,0)</f>
        <v>0</v>
      </c>
      <c r="D725" s="282">
        <f>ROUND(C114,0)</f>
        <v>266</v>
      </c>
      <c r="E725" s="282">
        <f>ROUND(C115,0)</f>
        <v>0</v>
      </c>
      <c r="F725" s="282">
        <f>ROUND(D112,0)</f>
        <v>8</v>
      </c>
      <c r="G725" s="282">
        <f>ROUND(D113,0)</f>
        <v>0</v>
      </c>
      <c r="H725" s="282">
        <f>ROUND(D114,0)</f>
        <v>377</v>
      </c>
      <c r="I725" s="282">
        <f>ROUND(D115,0)</f>
        <v>0</v>
      </c>
      <c r="J725" s="282">
        <f>ROUND(C117,0)</f>
        <v>0</v>
      </c>
      <c r="K725" s="282">
        <f>ROUND(C118,0)</f>
        <v>25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6</v>
      </c>
      <c r="W725" s="282">
        <f>ROUND(C130,0)</f>
        <v>0</v>
      </c>
      <c r="X725" s="282">
        <f>ROUND(B139,0)</f>
        <v>727</v>
      </c>
      <c r="Y725" s="282">
        <f>ROUND(B140,0)</f>
        <v>12640</v>
      </c>
      <c r="Z725" s="282">
        <f>ROUND(B141,0)</f>
        <v>4587432</v>
      </c>
      <c r="AA725" s="282">
        <f>ROUND(B142,0)</f>
        <v>23594426</v>
      </c>
      <c r="AB725" s="282">
        <f>ROUND(B143,0)</f>
        <v>0</v>
      </c>
      <c r="AC725" s="282">
        <f>ROUND(C139,0)</f>
        <v>591</v>
      </c>
      <c r="AD725" s="282">
        <f>ROUND(C140,0)</f>
        <v>10932</v>
      </c>
      <c r="AE725" s="282">
        <f>ROUND(C141,0)</f>
        <v>4647015</v>
      </c>
      <c r="AF725" s="282">
        <f>ROUND(C142,0)</f>
        <v>18253696</v>
      </c>
      <c r="AG725" s="282">
        <f>ROUND(C143,0)</f>
        <v>0</v>
      </c>
      <c r="AH725" s="282">
        <f>ROUND(D139,0)</f>
        <v>408</v>
      </c>
      <c r="AI725" s="282">
        <f>ROUND(D140,0)</f>
        <v>12767</v>
      </c>
      <c r="AJ725" s="282">
        <f>ROUND(D141,0)</f>
        <v>3112917</v>
      </c>
      <c r="AK725" s="282">
        <f>ROUND(D142,0)</f>
        <v>19960559</v>
      </c>
      <c r="AL725" s="282">
        <f>ROUND(D143,0)</f>
        <v>0</v>
      </c>
      <c r="AM725" s="282">
        <f>ROUND(B145,0)</f>
        <v>8</v>
      </c>
      <c r="AN725" s="282">
        <f>ROUND(B146,0)</f>
        <v>0</v>
      </c>
      <c r="AO725" s="282">
        <f>ROUND(B147,0)</f>
        <v>13092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tal*147*A</v>
      </c>
      <c r="B729" s="282">
        <f>ROUND(C249,0)</f>
        <v>0</v>
      </c>
      <c r="C729" s="282">
        <f>ROUND(C250,0)</f>
        <v>16071008</v>
      </c>
      <c r="D729" s="282">
        <f>ROUND(C251,0)</f>
        <v>0</v>
      </c>
      <c r="E729" s="282">
        <f>ROUND(C252,0)</f>
        <v>14860947</v>
      </c>
      <c r="F729" s="282">
        <f>ROUND(C253,0)</f>
        <v>9406950</v>
      </c>
      <c r="G729" s="282">
        <f>ROUND(C254,0)</f>
        <v>593590</v>
      </c>
      <c r="H729" s="282">
        <f>ROUND(C255,0)</f>
        <v>170241</v>
      </c>
      <c r="I729" s="282">
        <f>ROUND(C256,0)</f>
        <v>0</v>
      </c>
      <c r="J729" s="282">
        <f>ROUND(C257,0)</f>
        <v>829928</v>
      </c>
      <c r="K729" s="282">
        <f>ROUND(C258,0)</f>
        <v>192694</v>
      </c>
      <c r="L729" s="282">
        <f>ROUND(C261,0)</f>
        <v>0</v>
      </c>
      <c r="M729" s="282">
        <f>ROUND(C262,0)</f>
        <v>716353</v>
      </c>
      <c r="N729" s="282">
        <f>ROUND(C263,0)</f>
        <v>0</v>
      </c>
      <c r="O729" s="282">
        <f>ROUND(C266,0)</f>
        <v>0</v>
      </c>
      <c r="P729" s="282">
        <f>ROUND(C267,0)</f>
        <v>146306</v>
      </c>
      <c r="Q729" s="282">
        <f>ROUND(C268,0)</f>
        <v>1102510</v>
      </c>
      <c r="R729" s="282">
        <f>ROUND(C269,0)</f>
        <v>7917589</v>
      </c>
      <c r="S729" s="282">
        <f>ROUND(C270,0)</f>
        <v>5885689</v>
      </c>
      <c r="T729" s="282">
        <f>ROUND(C271,0)</f>
        <v>297987</v>
      </c>
      <c r="U729" s="282">
        <f>ROUND(C272,0)</f>
        <v>10337722</v>
      </c>
      <c r="V729" s="282">
        <f>ROUND(C273,0)</f>
        <v>0</v>
      </c>
      <c r="W729" s="282">
        <f>ROUND(C274,0)</f>
        <v>51093</v>
      </c>
      <c r="X729" s="282">
        <f>ROUND(C275,0)</f>
        <v>0</v>
      </c>
      <c r="Y729" s="282">
        <f>ROUND(C278,0)</f>
        <v>0</v>
      </c>
      <c r="Z729" s="282">
        <f>ROUND(C279,0)</f>
        <v>1583839</v>
      </c>
      <c r="AA729" s="282">
        <f>ROUND(C280,0)</f>
        <v>1332593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736481</v>
      </c>
      <c r="AJ729" s="282">
        <f>ROUND(C306,0)</f>
        <v>1507054</v>
      </c>
      <c r="AK729" s="282">
        <f>ROUND(C307,0)</f>
        <v>0</v>
      </c>
      <c r="AL729" s="282">
        <f>ROUND(C308,0)</f>
        <v>0</v>
      </c>
      <c r="AM729" s="282">
        <f>ROUND(C309,0)</f>
        <v>9798756</v>
      </c>
      <c r="AN729" s="282">
        <f>ROUND(C310,0)</f>
        <v>0</v>
      </c>
      <c r="AO729" s="282">
        <f>ROUND(C311,0)</f>
        <v>0</v>
      </c>
      <c r="AP729" s="282">
        <f>ROUND(C312,0)</f>
        <v>23522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7987092</v>
      </c>
      <c r="AX729" s="282">
        <f>ROUND(C324,0)</f>
        <v>2690465</v>
      </c>
      <c r="AY729" s="282">
        <f>ROUND(C325,0)</f>
        <v>0</v>
      </c>
      <c r="AZ729" s="282">
        <f>ROUND(C326,0)</f>
        <v>0</v>
      </c>
      <c r="BA729" s="282">
        <f>ROUND(C327,0)</f>
        <v>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217.35</v>
      </c>
      <c r="BJ729" s="282">
        <f>ROUND(C358,0)</f>
        <v>0</v>
      </c>
      <c r="BK729" s="282">
        <f>ROUND(C359,0)</f>
        <v>12360456</v>
      </c>
      <c r="BL729" s="282">
        <f>ROUND(C362,0)</f>
        <v>0</v>
      </c>
      <c r="BM729" s="282">
        <f>ROUND(C363,0)</f>
        <v>1207974</v>
      </c>
      <c r="BN729" s="282">
        <f>ROUND(C364,0)</f>
        <v>36121847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16675860</v>
      </c>
      <c r="BT729" s="282">
        <f>ROUND(C379,0)</f>
        <v>3949921</v>
      </c>
      <c r="BU729" s="282">
        <f>ROUND(C380,0)</f>
        <v>4841610</v>
      </c>
      <c r="BV729" s="282">
        <f>ROUND(C381,0)</f>
        <v>4925910</v>
      </c>
      <c r="BW729" s="282">
        <f>ROUND(C382,0)</f>
        <v>454092</v>
      </c>
      <c r="BX729" s="282">
        <f>ROUND(C383,0)</f>
        <v>2475830</v>
      </c>
      <c r="BY729" s="282">
        <f>ROUND(C384,0)</f>
        <v>2015875</v>
      </c>
      <c r="BZ729" s="282">
        <f>ROUND(C385,0)</f>
        <v>272474</v>
      </c>
      <c r="CA729" s="282">
        <f>ROUND(C386,0)</f>
        <v>521497</v>
      </c>
      <c r="CB729" s="282">
        <f>ROUND(C387,0)</f>
        <v>213988</v>
      </c>
      <c r="CC729" s="282">
        <f>ROUND(C388,0)</f>
        <v>285797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tal*147*6010*A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tal*147*6030*A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0</v>
      </c>
    </row>
    <row r="735" spans="1:84" ht="12.65" customHeight="1" x14ac:dyDescent="0.3">
      <c r="A735" s="209" t="str">
        <f>RIGHT($C$84,3)&amp;"*"&amp;RIGHT($C$83,4)&amp;"*"&amp;E$55&amp;"*"&amp;"A"</f>
        <v>tal*147*6070*A</v>
      </c>
      <c r="B735" s="282">
        <f>ROUND(E59,0)</f>
        <v>1734</v>
      </c>
      <c r="C735" s="285">
        <f>ROUND(E60,2)</f>
        <v>25.62</v>
      </c>
      <c r="D735" s="282">
        <f>ROUND(E61,0)</f>
        <v>2040675</v>
      </c>
      <c r="E735" s="282">
        <f>ROUND(E62,0)</f>
        <v>484931</v>
      </c>
      <c r="F735" s="282">
        <f>ROUND(E63,0)</f>
        <v>101349</v>
      </c>
      <c r="G735" s="282">
        <f>ROUND(E64,0)</f>
        <v>124125</v>
      </c>
      <c r="H735" s="282">
        <f>ROUND(E65,0)</f>
        <v>0</v>
      </c>
      <c r="I735" s="282">
        <f>ROUND(E66,0)</f>
        <v>113907</v>
      </c>
      <c r="J735" s="282">
        <f>ROUND(E67,0)</f>
        <v>109301</v>
      </c>
      <c r="K735" s="282">
        <f>ROUND(E68,0)</f>
        <v>29832</v>
      </c>
      <c r="L735" s="282">
        <f>ROUND(E70,0)</f>
        <v>0</v>
      </c>
      <c r="M735" s="282">
        <f>ROUND(E71,0)</f>
        <v>3007173</v>
      </c>
      <c r="N735" s="282">
        <f>ROUND(E76,0)</f>
        <v>6401</v>
      </c>
      <c r="O735" s="282">
        <f>ROUND(E74,0)</f>
        <v>936027</v>
      </c>
      <c r="P735" s="282">
        <f>IF(E77&gt;0,ROUND(E77,0),0)</f>
        <v>6198</v>
      </c>
      <c r="Q735" s="282">
        <f>IF(E78&gt;0,ROUND(E78,0),0)</f>
        <v>4930</v>
      </c>
      <c r="R735" s="282">
        <f>IF(E79&gt;0,ROUND(E79,0),0)</f>
        <v>89695</v>
      </c>
      <c r="S735" s="282">
        <f>IF(E80&gt;0,ROUND(E80,0),0)</f>
        <v>14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tal*147*6100*A</v>
      </c>
      <c r="B736" s="282">
        <f>ROUND(F59,0)</f>
        <v>0</v>
      </c>
      <c r="C736" s="285">
        <f>ROUND(F60,2)</f>
        <v>2.17</v>
      </c>
      <c r="D736" s="282">
        <f>ROUND(F61,0)</f>
        <v>226937</v>
      </c>
      <c r="E736" s="282">
        <f>ROUND(F62,0)</f>
        <v>29407</v>
      </c>
      <c r="F736" s="282">
        <f>ROUND(F63,0)</f>
        <v>75600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335544</v>
      </c>
      <c r="N736" s="282">
        <f>ROUND(F76,0)</f>
        <v>0</v>
      </c>
      <c r="O736" s="282">
        <f>ROUND(F74,0)</f>
        <v>390472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1406288</v>
      </c>
    </row>
    <row r="737" spans="1:26" ht="12.65" customHeight="1" x14ac:dyDescent="0.3">
      <c r="A737" s="209" t="str">
        <f>RIGHT($C$84,3)&amp;"*"&amp;RIGHT($C$83,4)&amp;"*"&amp;G$55&amp;"*"&amp;"A"</f>
        <v>tal*147*6120*A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60937</v>
      </c>
    </row>
    <row r="738" spans="1:26" ht="12.65" customHeight="1" x14ac:dyDescent="0.3">
      <c r="A738" s="209" t="str">
        <f>RIGHT($C$84,3)&amp;"*"&amp;RIGHT($C$83,4)&amp;"*"&amp;H$55&amp;"*"&amp;"A"</f>
        <v>tal*147*6140*A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tal*147*6150*A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tal*147*6170*A</v>
      </c>
      <c r="B740" s="282">
        <f>ROUND(J59,0)</f>
        <v>377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2204</v>
      </c>
      <c r="K740" s="282">
        <f>ROUND(J68,0)</f>
        <v>0</v>
      </c>
      <c r="L740" s="282">
        <f>ROUND(J70,0)</f>
        <v>0</v>
      </c>
      <c r="M740" s="282">
        <f>ROUND(J71,0)</f>
        <v>2204</v>
      </c>
      <c r="N740" s="282">
        <f>ROUND(J76,0)</f>
        <v>142</v>
      </c>
      <c r="O740" s="282">
        <f>ROUND(J74,0)</f>
        <v>1288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tal*147*6200*A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21991</v>
      </c>
    </row>
    <row r="742" spans="1:26" ht="12.65" customHeight="1" x14ac:dyDescent="0.3">
      <c r="A742" s="209" t="str">
        <f>RIGHT($C$84,3)&amp;"*"&amp;RIGHT($C$83,4)&amp;"*"&amp;L$55&amp;"*"&amp;"A"</f>
        <v>tal*147*6210*A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tal*147*6330*A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tal*147*6400*A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tal*147*7010*A</v>
      </c>
      <c r="B745" s="282">
        <f>ROUND(O59,0)</f>
        <v>266</v>
      </c>
      <c r="C745" s="285">
        <f>ROUND(O60,2)</f>
        <v>6.99</v>
      </c>
      <c r="D745" s="282">
        <f>ROUND(O61,0)</f>
        <v>655452</v>
      </c>
      <c r="E745" s="282">
        <f>ROUND(O62,0)</f>
        <v>151567</v>
      </c>
      <c r="F745" s="282">
        <f>ROUND(O63,0)</f>
        <v>246174</v>
      </c>
      <c r="G745" s="282">
        <f>ROUND(O64,0)</f>
        <v>78546</v>
      </c>
      <c r="H745" s="282">
        <f>ROUND(O65,0)</f>
        <v>0</v>
      </c>
      <c r="I745" s="282">
        <f>ROUND(O66,0)</f>
        <v>29091</v>
      </c>
      <c r="J745" s="282">
        <f>ROUND(O67,0)</f>
        <v>33232</v>
      </c>
      <c r="K745" s="282">
        <f>ROUND(O68,0)</f>
        <v>6947</v>
      </c>
      <c r="L745" s="282">
        <f>ROUND(O70,0)</f>
        <v>0</v>
      </c>
      <c r="M745" s="282">
        <f>ROUND(O71,0)</f>
        <v>1204764</v>
      </c>
      <c r="N745" s="282">
        <f>ROUND(O76,0)</f>
        <v>1764</v>
      </c>
      <c r="O745" s="282">
        <f>ROUND(O74,0)</f>
        <v>169333</v>
      </c>
      <c r="P745" s="282">
        <f>IF(O77&gt;0,ROUND(O77,0),0)</f>
        <v>2066</v>
      </c>
      <c r="Q745" s="282">
        <f>IF(O78&gt;0,ROUND(O78,0),0)</f>
        <v>1275</v>
      </c>
      <c r="R745" s="282">
        <f>IF(O79&gt;0,ROUND(O79,0),0)</f>
        <v>9202</v>
      </c>
      <c r="S745" s="282">
        <f>IF(O80&gt;0,ROUND(O80,0),0)</f>
        <v>6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tal*147*7020*A</v>
      </c>
      <c r="B746" s="282">
        <f>ROUND(P59,0)</f>
        <v>105339</v>
      </c>
      <c r="C746" s="285">
        <f>ROUND(P60,2)</f>
        <v>10.93</v>
      </c>
      <c r="D746" s="282">
        <f>ROUND(P61,0)</f>
        <v>791922</v>
      </c>
      <c r="E746" s="282">
        <f>ROUND(P62,0)</f>
        <v>197341</v>
      </c>
      <c r="F746" s="282">
        <f>ROUND(P63,0)</f>
        <v>0</v>
      </c>
      <c r="G746" s="282">
        <f>ROUND(P64,0)</f>
        <v>933871</v>
      </c>
      <c r="H746" s="282">
        <f>ROUND(P65,0)</f>
        <v>0</v>
      </c>
      <c r="I746" s="282">
        <f>ROUND(P66,0)</f>
        <v>117239</v>
      </c>
      <c r="J746" s="282">
        <f>ROUND(P67,0)</f>
        <v>326117</v>
      </c>
      <c r="K746" s="282">
        <f>ROUND(P68,0)</f>
        <v>5187</v>
      </c>
      <c r="L746" s="282">
        <f>ROUND(P70,0)</f>
        <v>0</v>
      </c>
      <c r="M746" s="282">
        <f>ROUND(P71,0)</f>
        <v>2387384</v>
      </c>
      <c r="N746" s="282">
        <f>ROUND(P76,0)</f>
        <v>4135</v>
      </c>
      <c r="O746" s="282">
        <f>ROUND(P74,0)</f>
        <v>4868743</v>
      </c>
      <c r="P746" s="282">
        <f>IF(P77&gt;0,ROUND(P77,0),0)</f>
        <v>0</v>
      </c>
      <c r="Q746" s="282">
        <f>IF(P78&gt;0,ROUND(P78,0),0)</f>
        <v>1371</v>
      </c>
      <c r="R746" s="282">
        <f>IF(P79&gt;0,ROUND(P79,0),0)</f>
        <v>49913</v>
      </c>
      <c r="S746" s="282">
        <f>IF(P80&gt;0,ROUND(P80,0),0)</f>
        <v>3</v>
      </c>
      <c r="T746" s="285">
        <f>IF(P81&gt;0,ROUND(P81,2),0)</f>
        <v>0</v>
      </c>
      <c r="U746" s="282"/>
      <c r="X746" s="282"/>
      <c r="Y746" s="282"/>
      <c r="Z746" s="282">
        <f t="shared" si="21"/>
        <v>469998</v>
      </c>
    </row>
    <row r="747" spans="1:26" ht="12.65" customHeight="1" x14ac:dyDescent="0.3">
      <c r="A747" s="209" t="str">
        <f>RIGHT($C$84,3)&amp;"*"&amp;RIGHT($C$83,4)&amp;"*"&amp;Q$55&amp;"*"&amp;"A"</f>
        <v>tal*147*7030*A</v>
      </c>
      <c r="B747" s="282">
        <f>ROUND(Q59,0)</f>
        <v>118412</v>
      </c>
      <c r="C747" s="285">
        <f>ROUND(Q60,2)</f>
        <v>5.93</v>
      </c>
      <c r="D747" s="282">
        <f>ROUND(Q61,0)</f>
        <v>529515</v>
      </c>
      <c r="E747" s="282">
        <f>ROUND(Q62,0)</f>
        <v>121538</v>
      </c>
      <c r="F747" s="282">
        <f>ROUND(Q63,0)</f>
        <v>0</v>
      </c>
      <c r="G747" s="282">
        <f>ROUND(Q64,0)</f>
        <v>25801</v>
      </c>
      <c r="H747" s="282">
        <f>ROUND(Q65,0)</f>
        <v>0</v>
      </c>
      <c r="I747" s="282">
        <f>ROUND(Q66,0)</f>
        <v>2315</v>
      </c>
      <c r="J747" s="282">
        <f>ROUND(Q67,0)</f>
        <v>27188</v>
      </c>
      <c r="K747" s="282">
        <f>ROUND(Q68,0)</f>
        <v>5110</v>
      </c>
      <c r="L747" s="282">
        <f>ROUND(Q70,0)</f>
        <v>0</v>
      </c>
      <c r="M747" s="282">
        <f>ROUND(Q71,0)</f>
        <v>711505</v>
      </c>
      <c r="N747" s="282">
        <f>ROUND(Q76,0)</f>
        <v>1211</v>
      </c>
      <c r="O747" s="282">
        <f>ROUND(Q74,0)</f>
        <v>1691585</v>
      </c>
      <c r="P747" s="282">
        <f>IF(Q77&gt;0,ROUND(Q77,0),0)</f>
        <v>0</v>
      </c>
      <c r="Q747" s="282">
        <f>IF(Q78&gt;0,ROUND(Q78,0),0)</f>
        <v>1149</v>
      </c>
      <c r="R747" s="282">
        <f>IF(Q79&gt;0,ROUND(Q79,0),0)</f>
        <v>0</v>
      </c>
      <c r="S747" s="282">
        <f>IF(Q80&gt;0,ROUND(Q80,0),0)</f>
        <v>4</v>
      </c>
      <c r="T747" s="285">
        <f>IF(Q81&gt;0,ROUND(Q81,2),0)</f>
        <v>0</v>
      </c>
      <c r="U747" s="282"/>
      <c r="X747" s="282"/>
      <c r="Y747" s="282"/>
      <c r="Z747" s="282">
        <f t="shared" si="21"/>
        <v>722131</v>
      </c>
    </row>
    <row r="748" spans="1:26" ht="12.65" customHeight="1" x14ac:dyDescent="0.3">
      <c r="A748" s="209" t="str">
        <f>RIGHT($C$84,3)&amp;"*"&amp;RIGHT($C$83,4)&amp;"*"&amp;R$55&amp;"*"&amp;"A"</f>
        <v>tal*147*7040*A</v>
      </c>
      <c r="B748" s="282">
        <f>ROUND(R59,0)</f>
        <v>117096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865101</v>
      </c>
      <c r="G748" s="282">
        <f>ROUND(R64,0)</f>
        <v>8851</v>
      </c>
      <c r="H748" s="282">
        <f>ROUND(R65,0)</f>
        <v>0</v>
      </c>
      <c r="I748" s="282">
        <f>ROUND(R66,0)</f>
        <v>16173</v>
      </c>
      <c r="J748" s="282">
        <f>ROUND(R67,0)</f>
        <v>0</v>
      </c>
      <c r="K748" s="282">
        <f>ROUND(R68,0)</f>
        <v>12287</v>
      </c>
      <c r="L748" s="282">
        <f>ROUND(R70,0)</f>
        <v>0</v>
      </c>
      <c r="M748" s="282">
        <f>ROUND(R71,0)</f>
        <v>902411</v>
      </c>
      <c r="N748" s="282">
        <f>ROUND(R76,0)</f>
        <v>0</v>
      </c>
      <c r="O748" s="282">
        <f>ROUND(R74,0)</f>
        <v>1846120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257030</v>
      </c>
    </row>
    <row r="749" spans="1:26" ht="12.65" customHeight="1" x14ac:dyDescent="0.3">
      <c r="A749" s="209" t="str">
        <f>RIGHT($C$84,3)&amp;"*"&amp;RIGHT($C$83,4)&amp;"*"&amp;S$55&amp;"*"&amp;"A"</f>
        <v>tal*147*7050*A</v>
      </c>
      <c r="B749" s="282"/>
      <c r="C749" s="285">
        <f>ROUND(S60,2)</f>
        <v>2.04</v>
      </c>
      <c r="D749" s="282">
        <f>ROUND(S61,0)</f>
        <v>53683</v>
      </c>
      <c r="E749" s="282">
        <f>ROUND(S62,0)</f>
        <v>28813</v>
      </c>
      <c r="F749" s="282">
        <f>ROUND(S63,0)</f>
        <v>0</v>
      </c>
      <c r="G749" s="282">
        <f>ROUND(S64,0)</f>
        <v>1208106</v>
      </c>
      <c r="H749" s="282">
        <f>ROUND(S65,0)</f>
        <v>0</v>
      </c>
      <c r="I749" s="282">
        <f>ROUND(S66,0)</f>
        <v>2876</v>
      </c>
      <c r="J749" s="282">
        <f>ROUND(S67,0)</f>
        <v>18397</v>
      </c>
      <c r="K749" s="282">
        <f>ROUND(S68,0)</f>
        <v>0</v>
      </c>
      <c r="L749" s="282">
        <f>ROUND(S70,0)</f>
        <v>8034</v>
      </c>
      <c r="M749" s="282">
        <f>ROUND(S71,0)</f>
        <v>1313583</v>
      </c>
      <c r="N749" s="282">
        <f>ROUND(S76,0)</f>
        <v>1628</v>
      </c>
      <c r="O749" s="282">
        <f>ROUND(S74,0)</f>
        <v>4330058</v>
      </c>
      <c r="P749" s="282">
        <f>IF(S77&gt;0,ROUND(S77,0),0)</f>
        <v>0</v>
      </c>
      <c r="Q749" s="282">
        <f>IF(S78&gt;0,ROUND(S78,0),0)</f>
        <v>349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155614</v>
      </c>
    </row>
    <row r="750" spans="1:26" ht="12.65" customHeight="1" x14ac:dyDescent="0.3">
      <c r="A750" s="209" t="str">
        <f>RIGHT($C$84,3)&amp;"*"&amp;RIGHT($C$83,4)&amp;"*"&amp;T$55&amp;"*"&amp;"A"</f>
        <v>tal*147*7060*A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430108</v>
      </c>
    </row>
    <row r="751" spans="1:26" ht="12.65" customHeight="1" x14ac:dyDescent="0.3">
      <c r="A751" s="209" t="str">
        <f>RIGHT($C$84,3)&amp;"*"&amp;RIGHT($C$83,4)&amp;"*"&amp;U$55&amp;"*"&amp;"A"</f>
        <v>tal*147*7070*A</v>
      </c>
      <c r="B751" s="282">
        <f>ROUND(U59,0)</f>
        <v>78116</v>
      </c>
      <c r="C751" s="285">
        <f>ROUND(U60,2)</f>
        <v>8.82</v>
      </c>
      <c r="D751" s="282">
        <f>ROUND(U61,0)</f>
        <v>567129</v>
      </c>
      <c r="E751" s="282">
        <f>ROUND(U62,0)</f>
        <v>149379</v>
      </c>
      <c r="F751" s="282">
        <f>ROUND(U63,0)</f>
        <v>87273</v>
      </c>
      <c r="G751" s="282">
        <f>ROUND(U64,0)</f>
        <v>767532</v>
      </c>
      <c r="H751" s="282">
        <f>ROUND(U65,0)</f>
        <v>0</v>
      </c>
      <c r="I751" s="282">
        <f>ROUND(U66,0)</f>
        <v>151952</v>
      </c>
      <c r="J751" s="282">
        <f>ROUND(U67,0)</f>
        <v>43215</v>
      </c>
      <c r="K751" s="282">
        <f>ROUND(U68,0)</f>
        <v>38060</v>
      </c>
      <c r="L751" s="282">
        <f>ROUND(U70,0)</f>
        <v>6650</v>
      </c>
      <c r="M751" s="282">
        <f>ROUND(U71,0)</f>
        <v>1827034</v>
      </c>
      <c r="N751" s="282">
        <f>ROUND(U76,0)</f>
        <v>1213</v>
      </c>
      <c r="O751" s="282">
        <f>ROUND(U74,0)</f>
        <v>5627594</v>
      </c>
      <c r="P751" s="282">
        <f>IF(U77&gt;0,ROUND(U77,0),0)</f>
        <v>0</v>
      </c>
      <c r="Q751" s="282">
        <f>IF(U78&gt;0,ROUND(U78,0),0)</f>
        <v>584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tal*147*7110*A</v>
      </c>
      <c r="B752" s="282">
        <f>ROUND(V59,0)</f>
        <v>2196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502040</v>
      </c>
    </row>
    <row r="753" spans="1:26" ht="12.65" customHeight="1" x14ac:dyDescent="0.3">
      <c r="A753" s="209" t="str">
        <f>RIGHT($C$84,3)&amp;"*"&amp;RIGHT($C$83,4)&amp;"*"&amp;W$55&amp;"*"&amp;"A"</f>
        <v>tal*147*7120*A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0</v>
      </c>
    </row>
    <row r="754" spans="1:26" ht="12.65" customHeight="1" x14ac:dyDescent="0.3">
      <c r="A754" s="209" t="str">
        <f>RIGHT($C$84,3)&amp;"*"&amp;RIGHT($C$83,4)&amp;"*"&amp;X$55&amp;"*"&amp;"A"</f>
        <v>tal*147*7130*A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0</v>
      </c>
    </row>
    <row r="755" spans="1:26" ht="12.65" customHeight="1" x14ac:dyDescent="0.3">
      <c r="A755" s="209" t="str">
        <f>RIGHT($C$84,3)&amp;"*"&amp;RIGHT($C$83,4)&amp;"*"&amp;Y$55&amp;"*"&amp;"A"</f>
        <v>tal*147*7140*A</v>
      </c>
      <c r="B755" s="282">
        <f>ROUND(Y59,0)</f>
        <v>15720</v>
      </c>
      <c r="C755" s="285">
        <f>ROUND(Y60,2)</f>
        <v>10.35</v>
      </c>
      <c r="D755" s="282">
        <f>ROUND(Y61,0)</f>
        <v>796205</v>
      </c>
      <c r="E755" s="282">
        <f>ROUND(Y62,0)</f>
        <v>190778</v>
      </c>
      <c r="F755" s="282">
        <f>ROUND(Y63,0)</f>
        <v>908931</v>
      </c>
      <c r="G755" s="282">
        <f>ROUND(Y64,0)</f>
        <v>372856</v>
      </c>
      <c r="H755" s="282">
        <f>ROUND(Y65,0)</f>
        <v>0</v>
      </c>
      <c r="I755" s="282">
        <f>ROUND(Y66,0)</f>
        <v>484327</v>
      </c>
      <c r="J755" s="282">
        <f>ROUND(Y67,0)</f>
        <v>511107</v>
      </c>
      <c r="K755" s="282">
        <f>ROUND(Y68,0)</f>
        <v>75122</v>
      </c>
      <c r="L755" s="282">
        <f>ROUND(Y70,0)</f>
        <v>0</v>
      </c>
      <c r="M755" s="282">
        <f>ROUND(Y71,0)</f>
        <v>3344922</v>
      </c>
      <c r="N755" s="282">
        <f>ROUND(Y76,0)</f>
        <v>5347</v>
      </c>
      <c r="O755" s="282">
        <f>ROUND(Y74,0)</f>
        <v>17453879</v>
      </c>
      <c r="P755" s="282">
        <f>IF(Y77&gt;0,ROUND(Y77,0),0)</f>
        <v>0</v>
      </c>
      <c r="Q755" s="282">
        <f>IF(Y78&gt;0,ROUND(Y78,0),0)</f>
        <v>692</v>
      </c>
      <c r="R755" s="282">
        <f>IF(Y79&gt;0,ROUND(Y79,0),0)</f>
        <v>599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0</v>
      </c>
    </row>
    <row r="756" spans="1:26" ht="12.65" customHeight="1" x14ac:dyDescent="0.3">
      <c r="A756" s="209" t="str">
        <f>RIGHT($C$84,3)&amp;"*"&amp;RIGHT($C$83,4)&amp;"*"&amp;Z$55&amp;"*"&amp;"A"</f>
        <v>tal*147*7150*A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1184834</v>
      </c>
    </row>
    <row r="757" spans="1:26" ht="12.65" customHeight="1" x14ac:dyDescent="0.3">
      <c r="A757" s="209" t="str">
        <f>RIGHT($C$84,3)&amp;"*"&amp;RIGHT($C$83,4)&amp;"*"&amp;AA$55&amp;"*"&amp;"A"</f>
        <v>tal*147*7160*A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tal*147*7170*A</v>
      </c>
      <c r="B758" s="282"/>
      <c r="C758" s="285">
        <f>ROUND(AB60,2)</f>
        <v>2.1</v>
      </c>
      <c r="D758" s="282">
        <f>ROUND(AB61,0)</f>
        <v>194446</v>
      </c>
      <c r="E758" s="282">
        <f>ROUND(AB62,0)</f>
        <v>43753</v>
      </c>
      <c r="F758" s="282">
        <f>ROUND(AB63,0)</f>
        <v>87009</v>
      </c>
      <c r="G758" s="282">
        <f>ROUND(AB64,0)</f>
        <v>595436</v>
      </c>
      <c r="H758" s="282">
        <f>ROUND(AB65,0)</f>
        <v>0</v>
      </c>
      <c r="I758" s="282">
        <f>ROUND(AB66,0)</f>
        <v>11782</v>
      </c>
      <c r="J758" s="282">
        <f>ROUND(AB67,0)</f>
        <v>6397</v>
      </c>
      <c r="K758" s="282">
        <f>ROUND(AB68,0)</f>
        <v>4265</v>
      </c>
      <c r="L758" s="282">
        <f>ROUND(AB70,0)</f>
        <v>461004</v>
      </c>
      <c r="M758" s="282">
        <f>ROUND(AB71,0)</f>
        <v>484140</v>
      </c>
      <c r="N758" s="282">
        <f>ROUND(AB76,0)</f>
        <v>588</v>
      </c>
      <c r="O758" s="282">
        <f>ROUND(AB74,0)</f>
        <v>2338590</v>
      </c>
      <c r="P758" s="282">
        <f>IF(AB77&gt;0,ROUND(AB77,0),0)</f>
        <v>0</v>
      </c>
      <c r="Q758" s="282">
        <f>IF(AB78&gt;0,ROUND(AB78,0),0)</f>
        <v>172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0</v>
      </c>
    </row>
    <row r="759" spans="1:26" ht="12.65" customHeight="1" x14ac:dyDescent="0.3">
      <c r="A759" s="209" t="str">
        <f>RIGHT($C$84,3)&amp;"*"&amp;RIGHT($C$83,4)&amp;"*"&amp;AC$55&amp;"*"&amp;"A"</f>
        <v>tal*147*7180*A</v>
      </c>
      <c r="B759" s="282">
        <f>ROUND(AC59,0)</f>
        <v>2938</v>
      </c>
      <c r="C759" s="285">
        <f>ROUND(AC60,2)</f>
        <v>2.85</v>
      </c>
      <c r="D759" s="282">
        <f>ROUND(AC61,0)</f>
        <v>234854</v>
      </c>
      <c r="E759" s="282">
        <f>ROUND(AC62,0)</f>
        <v>60158</v>
      </c>
      <c r="F759" s="282">
        <f>ROUND(AC63,0)</f>
        <v>0</v>
      </c>
      <c r="G759" s="282">
        <f>ROUND(AC64,0)</f>
        <v>36498</v>
      </c>
      <c r="H759" s="282">
        <f>ROUND(AC65,0)</f>
        <v>0</v>
      </c>
      <c r="I759" s="282">
        <f>ROUND(AC66,0)</f>
        <v>7432</v>
      </c>
      <c r="J759" s="282">
        <f>ROUND(AC67,0)</f>
        <v>5461</v>
      </c>
      <c r="K759" s="282">
        <f>ROUND(AC68,0)</f>
        <v>21432</v>
      </c>
      <c r="L759" s="282">
        <f>ROUND(AC70,0)</f>
        <v>0</v>
      </c>
      <c r="M759" s="282">
        <f>ROUND(AC71,0)</f>
        <v>367947</v>
      </c>
      <c r="N759" s="282">
        <f>ROUND(AC76,0)</f>
        <v>394</v>
      </c>
      <c r="O759" s="282">
        <f>ROUND(AC74,0)</f>
        <v>692385</v>
      </c>
      <c r="P759" s="282">
        <f>IF(AC77&gt;0,ROUND(AC77,0),0)</f>
        <v>0</v>
      </c>
      <c r="Q759" s="282">
        <f>IF(AC78&gt;0,ROUND(AC78,0),0)</f>
        <v>298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221692</v>
      </c>
    </row>
    <row r="760" spans="1:26" ht="12.65" customHeight="1" x14ac:dyDescent="0.3">
      <c r="A760" s="209" t="str">
        <f>RIGHT($C$84,3)&amp;"*"&amp;RIGHT($C$83,4)&amp;"*"&amp;AD$55&amp;"*"&amp;"A"</f>
        <v>tal*147*7190*A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94129</v>
      </c>
    </row>
    <row r="761" spans="1:26" ht="12.65" customHeight="1" x14ac:dyDescent="0.3">
      <c r="A761" s="209" t="str">
        <f>RIGHT($C$84,3)&amp;"*"&amp;RIGHT($C$83,4)&amp;"*"&amp;AE$55&amp;"*"&amp;"A"</f>
        <v>tal*147*7200*A</v>
      </c>
      <c r="B761" s="282">
        <f>ROUND(AE59,0)</f>
        <v>10175</v>
      </c>
      <c r="C761" s="285">
        <f>ROUND(AE60,2)</f>
        <v>7.17</v>
      </c>
      <c r="D761" s="282">
        <f>ROUND(AE61,0)</f>
        <v>458318</v>
      </c>
      <c r="E761" s="282">
        <f>ROUND(AE62,0)</f>
        <v>133440</v>
      </c>
      <c r="F761" s="282">
        <f>ROUND(AE63,0)</f>
        <v>0</v>
      </c>
      <c r="G761" s="282">
        <f>ROUND(AE64,0)</f>
        <v>6397</v>
      </c>
      <c r="H761" s="282">
        <f>ROUND(AE65,0)</f>
        <v>0</v>
      </c>
      <c r="I761" s="282">
        <f>ROUND(AE66,0)</f>
        <v>24007</v>
      </c>
      <c r="J761" s="282">
        <f>ROUND(AE67,0)</f>
        <v>32027</v>
      </c>
      <c r="K761" s="282">
        <f>ROUND(AE68,0)</f>
        <v>866</v>
      </c>
      <c r="L761" s="282">
        <f>ROUND(AE70,0)</f>
        <v>13693</v>
      </c>
      <c r="M761" s="282">
        <f>ROUND(AE71,0)</f>
        <v>647562</v>
      </c>
      <c r="N761" s="282">
        <f>ROUND(AE76,0)</f>
        <v>2944</v>
      </c>
      <c r="O761" s="282">
        <f>ROUND(AE74,0)</f>
        <v>1661184</v>
      </c>
      <c r="P761" s="282">
        <f>IF(AE77&gt;0,ROUND(AE77,0),0)</f>
        <v>0</v>
      </c>
      <c r="Q761" s="282">
        <f>IF(AE78&gt;0,ROUND(AE78,0),0)</f>
        <v>273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tal*147*7220*A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219599</v>
      </c>
    </row>
    <row r="763" spans="1:26" ht="12.65" customHeight="1" x14ac:dyDescent="0.3">
      <c r="A763" s="209" t="str">
        <f>RIGHT($C$84,3)&amp;"*"&amp;RIGHT($C$83,4)&amp;"*"&amp;AG$55&amp;"*"&amp;"A"</f>
        <v>tal*147*7230*A</v>
      </c>
      <c r="B763" s="282">
        <f>ROUND(AG59,0)</f>
        <v>8307</v>
      </c>
      <c r="C763" s="285">
        <f>ROUND(AG60,2)</f>
        <v>15.45</v>
      </c>
      <c r="D763" s="282">
        <f>ROUND(AG61,0)</f>
        <v>1403640</v>
      </c>
      <c r="E763" s="282">
        <f>ROUND(AG62,0)</f>
        <v>308990</v>
      </c>
      <c r="F763" s="282">
        <f>ROUND(AG63,0)</f>
        <v>2244659</v>
      </c>
      <c r="G763" s="282">
        <f>ROUND(AG64,0)</f>
        <v>182624</v>
      </c>
      <c r="H763" s="282">
        <f>ROUND(AG65,0)</f>
        <v>0</v>
      </c>
      <c r="I763" s="282">
        <f>ROUND(AG66,0)</f>
        <v>136550</v>
      </c>
      <c r="J763" s="282">
        <f>ROUND(AG67,0)</f>
        <v>181269</v>
      </c>
      <c r="K763" s="282">
        <f>ROUND(AG68,0)</f>
        <v>13384</v>
      </c>
      <c r="L763" s="282">
        <f>ROUND(AG70,0)</f>
        <v>0</v>
      </c>
      <c r="M763" s="282">
        <f>ROUND(AG71,0)</f>
        <v>4472781</v>
      </c>
      <c r="N763" s="282">
        <f>ROUND(AG76,0)</f>
        <v>3601</v>
      </c>
      <c r="O763" s="282">
        <f>ROUND(AG74,0)</f>
        <v>12132030</v>
      </c>
      <c r="P763" s="282">
        <f>IF(AG77&gt;0,ROUND(AG77,0),0)</f>
        <v>0</v>
      </c>
      <c r="Q763" s="282">
        <f>IF(AG78&gt;0,ROUND(AG78,0),0)</f>
        <v>5240</v>
      </c>
      <c r="R763" s="282">
        <f>IF(AG79&gt;0,ROUND(AG79,0),0)</f>
        <v>23185</v>
      </c>
      <c r="S763" s="282">
        <f>IF(AG80&gt;0,ROUND(AG80,0),0)</f>
        <v>7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tal*147*7240*A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1218901</v>
      </c>
    </row>
    <row r="765" spans="1:26" ht="12.65" customHeight="1" x14ac:dyDescent="0.3">
      <c r="A765" s="209" t="str">
        <f>RIGHT($C$84,3)&amp;"*"&amp;RIGHT($C$83,4)&amp;"*"&amp;AI$55&amp;"*"&amp;"A"</f>
        <v>tal*147*7250*A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tal*147*7260*A</v>
      </c>
      <c r="B766" s="282">
        <f>ROUND(AJ59,0)</f>
        <v>0</v>
      </c>
      <c r="C766" s="285">
        <f>ROUND(AJ60,2)</f>
        <v>0</v>
      </c>
      <c r="D766" s="282">
        <f>ROUND(AJ61,0)</f>
        <v>0</v>
      </c>
      <c r="E766" s="282">
        <f>ROUND(AJ62,0)</f>
        <v>0</v>
      </c>
      <c r="F766" s="282">
        <f>ROUND(AJ63,0)</f>
        <v>0</v>
      </c>
      <c r="G766" s="282">
        <f>ROUND(AJ64,0)</f>
        <v>0</v>
      </c>
      <c r="H766" s="282">
        <f>ROUND(AJ65,0)</f>
        <v>0</v>
      </c>
      <c r="I766" s="282">
        <f>ROUND(AJ66,0)</f>
        <v>0</v>
      </c>
      <c r="J766" s="282">
        <f>ROUND(AJ67,0)</f>
        <v>0</v>
      </c>
      <c r="K766" s="282">
        <f>ROUND(AJ68,0)</f>
        <v>0</v>
      </c>
      <c r="L766" s="282">
        <f>ROUND(AJ70,0)</f>
        <v>0</v>
      </c>
      <c r="M766" s="282">
        <f>ROUND(AJ71,0)</f>
        <v>0</v>
      </c>
      <c r="N766" s="282">
        <f>ROUND(AJ76,0)</f>
        <v>0</v>
      </c>
      <c r="O766" s="282">
        <f>ROUND(AJ74,0)</f>
        <v>0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tal*147*7310*A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0</v>
      </c>
    </row>
    <row r="768" spans="1:26" ht="12.65" customHeight="1" x14ac:dyDescent="0.3">
      <c r="A768" s="209" t="str">
        <f>RIGHT($C$84,3)&amp;"*"&amp;RIGHT($C$83,4)&amp;"*"&amp;AL$55&amp;"*"&amp;"A"</f>
        <v>tal*147*7320*A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">
      <c r="A769" s="209" t="str">
        <f>RIGHT($C$84,3)&amp;"*"&amp;RIGHT($C$83,4)&amp;"*"&amp;AM$55&amp;"*"&amp;"A"</f>
        <v>tal*147*7330*A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">
      <c r="A770" s="209" t="str">
        <f>RIGHT($C$84,3)&amp;"*"&amp;RIGHT($C$83,4)&amp;"*"&amp;AN$55&amp;"*"&amp;"A"</f>
        <v>tal*147*7340*A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tal*147*7350*A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tal*147*7380*A</v>
      </c>
      <c r="B772" s="282">
        <f>ROUND(AP59,0)</f>
        <v>19595</v>
      </c>
      <c r="C772" s="285">
        <f>ROUND(AP60,2)</f>
        <v>42.54</v>
      </c>
      <c r="D772" s="282">
        <f>ROUND(AP61,0)</f>
        <v>4496280</v>
      </c>
      <c r="E772" s="282">
        <f>ROUND(AP62,0)</f>
        <v>836528</v>
      </c>
      <c r="F772" s="282">
        <f>ROUND(AP63,0)</f>
        <v>32656</v>
      </c>
      <c r="G772" s="282">
        <f>ROUND(AP64,0)</f>
        <v>219624</v>
      </c>
      <c r="H772" s="282">
        <f>ROUND(AP65,0)</f>
        <v>39462</v>
      </c>
      <c r="I772" s="282">
        <f>ROUND(AP66,0)</f>
        <v>298133</v>
      </c>
      <c r="J772" s="282">
        <f>ROUND(AP67,0)</f>
        <v>217884</v>
      </c>
      <c r="K772" s="282">
        <f>ROUND(AP68,0)</f>
        <v>13962</v>
      </c>
      <c r="L772" s="282">
        <f>ROUND(AP70,0)</f>
        <v>172803</v>
      </c>
      <c r="M772" s="282">
        <f>ROUND(AP71,0)</f>
        <v>6220750</v>
      </c>
      <c r="N772" s="282">
        <f>ROUND(AP76,0)</f>
        <v>15729</v>
      </c>
      <c r="O772" s="282">
        <f>ROUND(AP74,0)</f>
        <v>7669391</v>
      </c>
      <c r="P772" s="282">
        <f>IF(AP77&gt;0,ROUND(AP77,0),0)</f>
        <v>0</v>
      </c>
      <c r="Q772" s="282">
        <f>IF(AP78&gt;0,ROUND(AP78,0),0)</f>
        <v>2068</v>
      </c>
      <c r="R772" s="282">
        <f>IF(AP79&gt;0,ROUND(AP79,0),0)</f>
        <v>0</v>
      </c>
      <c r="S772" s="282">
        <f>IF(AP80&gt;0,ROUND(AP80,0),0)</f>
        <v>12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tal*147*7390*A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1465686</v>
      </c>
    </row>
    <row r="774" spans="1:26" ht="12.65" customHeight="1" x14ac:dyDescent="0.3">
      <c r="A774" s="209" t="str">
        <f>RIGHT($C$84,3)&amp;"*"&amp;RIGHT($C$83,4)&amp;"*"&amp;AR$55&amp;"*"&amp;"A"</f>
        <v>tal*147*7400*A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tal*147*7410*A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tal*147*7420*A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tal*147*7430*A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tal*147*7490*A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tal*147*8200*A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tal*147*8310*A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tal*147*8320*A</v>
      </c>
      <c r="B781" s="282">
        <f>ROUND(AY59,0)</f>
        <v>8264</v>
      </c>
      <c r="C781" s="285">
        <f>ROUND(AY60,2)</f>
        <v>7.15</v>
      </c>
      <c r="D781" s="282">
        <f>ROUND(AY61,0)</f>
        <v>284980</v>
      </c>
      <c r="E781" s="282">
        <f>ROUND(AY62,0)</f>
        <v>97485</v>
      </c>
      <c r="F781" s="282">
        <f>ROUND(AY63,0)</f>
        <v>0</v>
      </c>
      <c r="G781" s="282">
        <f>ROUND(AY64,0)</f>
        <v>171567</v>
      </c>
      <c r="H781" s="282">
        <f>ROUND(AY65,0)</f>
        <v>0</v>
      </c>
      <c r="I781" s="282">
        <f>ROUND(AY66,0)</f>
        <v>6488</v>
      </c>
      <c r="J781" s="282">
        <f>ROUND(AY67,0)</f>
        <v>32567</v>
      </c>
      <c r="K781" s="282">
        <f>ROUND(AY68,0)</f>
        <v>0</v>
      </c>
      <c r="L781" s="282">
        <f>ROUND(AY70,0)</f>
        <v>114386</v>
      </c>
      <c r="M781" s="282">
        <f>ROUND(AY71,0)</f>
        <v>479544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tal*147*8330*A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tal*147*8350*A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1217</v>
      </c>
      <c r="H783" s="282">
        <f>ROUND(BA65,0)</f>
        <v>667</v>
      </c>
      <c r="I783" s="282">
        <f>ROUND(BA66,0)</f>
        <v>167778</v>
      </c>
      <c r="J783" s="282">
        <f>ROUND(BA67,0)</f>
        <v>5505</v>
      </c>
      <c r="K783" s="282">
        <f>ROUND(BA68,0)</f>
        <v>0</v>
      </c>
      <c r="L783" s="282">
        <f>ROUND(BA70,0)</f>
        <v>0</v>
      </c>
      <c r="M783" s="282">
        <f>ROUND(BA71,0)</f>
        <v>175167</v>
      </c>
      <c r="N783" s="282"/>
      <c r="O783" s="282"/>
      <c r="P783" s="282">
        <f>IF(BA77&gt;0,ROUND(BA77,0),0)</f>
        <v>0</v>
      </c>
      <c r="Q783" s="282">
        <f>IF(BA78&gt;0,ROUND(BA78,0),0)</f>
        <v>570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tal*147*8360*A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tal*147*8370*A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tal*147*8420*A</v>
      </c>
      <c r="B786" s="282"/>
      <c r="C786" s="285">
        <f>ROUND(BD60,2)</f>
        <v>2.1800000000000002</v>
      </c>
      <c r="D786" s="282">
        <f>ROUND(BD61,0)</f>
        <v>115644</v>
      </c>
      <c r="E786" s="282">
        <f>ROUND(BD62,0)</f>
        <v>35698</v>
      </c>
      <c r="F786" s="282">
        <f>ROUND(BD63,0)</f>
        <v>0</v>
      </c>
      <c r="G786" s="282">
        <f>ROUND(BD64,0)</f>
        <v>349</v>
      </c>
      <c r="H786" s="282">
        <f>ROUND(BD65,0)</f>
        <v>0</v>
      </c>
      <c r="I786" s="282">
        <f>ROUND(BD66,0)</f>
        <v>6038</v>
      </c>
      <c r="J786" s="282">
        <f>ROUND(BD67,0)</f>
        <v>3731</v>
      </c>
      <c r="K786" s="282">
        <f>ROUND(BD68,0)</f>
        <v>0</v>
      </c>
      <c r="L786" s="282">
        <f>ROUND(BD70,0)</f>
        <v>0</v>
      </c>
      <c r="M786" s="282">
        <f>ROUND(BD71,0)</f>
        <v>161830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tal*147*8430*A</v>
      </c>
      <c r="B787" s="282">
        <f>ROUND(BE59,0)</f>
        <v>82579</v>
      </c>
      <c r="C787" s="285">
        <f>ROUND(BE60,2)</f>
        <v>3.47</v>
      </c>
      <c r="D787" s="282">
        <f>ROUND(BE61,0)</f>
        <v>204751</v>
      </c>
      <c r="E787" s="282">
        <f>ROUND(BE62,0)</f>
        <v>55824</v>
      </c>
      <c r="F787" s="282">
        <f>ROUND(BE63,0)</f>
        <v>0</v>
      </c>
      <c r="G787" s="282">
        <f>ROUND(BE64,0)</f>
        <v>45193</v>
      </c>
      <c r="H787" s="282">
        <f>ROUND(BE65,0)</f>
        <v>333928</v>
      </c>
      <c r="I787" s="282">
        <f>ROUND(BE66,0)</f>
        <v>71937</v>
      </c>
      <c r="J787" s="282">
        <f>ROUND(BE67,0)</f>
        <v>317694</v>
      </c>
      <c r="K787" s="282">
        <f>ROUND(BE68,0)</f>
        <v>0</v>
      </c>
      <c r="L787" s="282">
        <f>ROUND(BE70,0)</f>
        <v>0</v>
      </c>
      <c r="M787" s="282">
        <f>ROUND(BE71,0)</f>
        <v>1030424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tal*147*8460*A</v>
      </c>
      <c r="B788" s="282"/>
      <c r="C788" s="285">
        <f>ROUND(BF60,2)</f>
        <v>10.65</v>
      </c>
      <c r="D788" s="282">
        <f>ROUND(BF61,0)</f>
        <v>329254</v>
      </c>
      <c r="E788" s="282">
        <f>ROUND(BF62,0)</f>
        <v>125640</v>
      </c>
      <c r="F788" s="282">
        <f>ROUND(BF63,0)</f>
        <v>0</v>
      </c>
      <c r="G788" s="282">
        <f>ROUND(BF64,0)</f>
        <v>31762</v>
      </c>
      <c r="H788" s="282">
        <f>ROUND(BF65,0)</f>
        <v>0</v>
      </c>
      <c r="I788" s="282">
        <f>ROUND(BF66,0)</f>
        <v>918</v>
      </c>
      <c r="J788" s="282">
        <f>ROUND(BF67,0)</f>
        <v>3808</v>
      </c>
      <c r="K788" s="282">
        <f>ROUND(BF68,0)</f>
        <v>0</v>
      </c>
      <c r="L788" s="282">
        <f>ROUND(BF70,0)</f>
        <v>0</v>
      </c>
      <c r="M788" s="282">
        <f>ROUND(BF71,0)</f>
        <v>491771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tal*147*8470*A</v>
      </c>
      <c r="B789" s="282"/>
      <c r="C789" s="285">
        <f>ROUND(BG60,2)</f>
        <v>0.59</v>
      </c>
      <c r="D789" s="282">
        <f>ROUND(BG61,0)</f>
        <v>32530</v>
      </c>
      <c r="E789" s="282">
        <f>ROUND(BG62,0)</f>
        <v>16341</v>
      </c>
      <c r="F789" s="282">
        <f>ROUND(BG63,0)</f>
        <v>0</v>
      </c>
      <c r="G789" s="282">
        <f>ROUND(BG64,0)</f>
        <v>0</v>
      </c>
      <c r="H789" s="282">
        <f>ROUND(BG65,0)</f>
        <v>80035</v>
      </c>
      <c r="I789" s="282">
        <f>ROUND(BG66,0)</f>
        <v>12132</v>
      </c>
      <c r="J789" s="282">
        <f>ROUND(BG67,0)</f>
        <v>3177</v>
      </c>
      <c r="K789" s="282">
        <f>ROUND(BG68,0)</f>
        <v>2248</v>
      </c>
      <c r="L789" s="282">
        <f>ROUND(BG70,0)</f>
        <v>1598</v>
      </c>
      <c r="M789" s="282">
        <f>ROUND(BG71,0)</f>
        <v>144864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tal*147*8480*A</v>
      </c>
      <c r="B790" s="282"/>
      <c r="C790" s="285">
        <f>ROUND(BH60,2)</f>
        <v>3.92</v>
      </c>
      <c r="D790" s="282">
        <f>ROUND(BH61,0)</f>
        <v>283758</v>
      </c>
      <c r="E790" s="282">
        <f>ROUND(BH62,0)</f>
        <v>81827</v>
      </c>
      <c r="F790" s="282">
        <f>ROUND(BH63,0)</f>
        <v>0</v>
      </c>
      <c r="G790" s="282">
        <f>ROUND(BH64,0)</f>
        <v>27769</v>
      </c>
      <c r="H790" s="282">
        <f>ROUND(BH65,0)</f>
        <v>0</v>
      </c>
      <c r="I790" s="282">
        <f>ROUND(BH66,0)</f>
        <v>368558</v>
      </c>
      <c r="J790" s="282">
        <f>ROUND(BH67,0)</f>
        <v>47895</v>
      </c>
      <c r="K790" s="282">
        <f>ROUND(BH68,0)</f>
        <v>9000</v>
      </c>
      <c r="L790" s="282">
        <f>ROUND(BH70,0)</f>
        <v>0</v>
      </c>
      <c r="M790" s="282">
        <f>ROUND(BH71,0)</f>
        <v>822228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tal*147*8490*A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tal*147*8510*A</v>
      </c>
      <c r="B792" s="282"/>
      <c r="C792" s="285">
        <f>ROUND(BJ60,2)</f>
        <v>5.27</v>
      </c>
      <c r="D792" s="282">
        <f>ROUND(BJ61,0)</f>
        <v>472230</v>
      </c>
      <c r="E792" s="282">
        <f>ROUND(BJ62,0)</f>
        <v>106839</v>
      </c>
      <c r="F792" s="282">
        <f>ROUND(BJ63,0)</f>
        <v>68019</v>
      </c>
      <c r="G792" s="282">
        <f>ROUND(BJ64,0)</f>
        <v>15880</v>
      </c>
      <c r="H792" s="282">
        <f>ROUND(BJ65,0)</f>
        <v>0</v>
      </c>
      <c r="I792" s="282">
        <f>ROUND(BJ66,0)</f>
        <v>56190</v>
      </c>
      <c r="J792" s="282">
        <f>ROUND(BJ67,0)</f>
        <v>16197</v>
      </c>
      <c r="K792" s="282">
        <f>ROUND(BJ68,0)</f>
        <v>9122</v>
      </c>
      <c r="L792" s="282">
        <f>ROUND(BJ70,0)</f>
        <v>0</v>
      </c>
      <c r="M792" s="282">
        <f>ROUND(BJ71,0)</f>
        <v>752640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tal*147*8530*A</v>
      </c>
      <c r="B793" s="282"/>
      <c r="C793" s="285">
        <f>ROUND(BK60,2)</f>
        <v>13.59</v>
      </c>
      <c r="D793" s="282">
        <f>ROUND(BK61,0)</f>
        <v>540901</v>
      </c>
      <c r="E793" s="282">
        <f>ROUND(BK62,0)</f>
        <v>205141</v>
      </c>
      <c r="F793" s="282">
        <f>ROUND(BK63,0)</f>
        <v>90236</v>
      </c>
      <c r="G793" s="282">
        <f>ROUND(BK64,0)</f>
        <v>21756</v>
      </c>
      <c r="H793" s="282">
        <f>ROUND(BK65,0)</f>
        <v>0</v>
      </c>
      <c r="I793" s="282">
        <f>ROUND(BK66,0)</f>
        <v>130323</v>
      </c>
      <c r="J793" s="282">
        <f>ROUND(BK67,0)</f>
        <v>19070</v>
      </c>
      <c r="K793" s="282">
        <f>ROUND(BK68,0)</f>
        <v>16453</v>
      </c>
      <c r="L793" s="282">
        <f>ROUND(BK70,0)</f>
        <v>0</v>
      </c>
      <c r="M793" s="282">
        <f>ROUND(BK71,0)</f>
        <v>1025110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tal*147*8560*A</v>
      </c>
      <c r="B794" s="282"/>
      <c r="C794" s="285">
        <f>ROUND(BL60,2)</f>
        <v>6.9</v>
      </c>
      <c r="D794" s="282">
        <f>ROUND(BL61,0)</f>
        <v>158878</v>
      </c>
      <c r="E794" s="282">
        <f>ROUND(BL62,0)</f>
        <v>92492</v>
      </c>
      <c r="F794" s="282">
        <f>ROUND(BL63,0)</f>
        <v>0</v>
      </c>
      <c r="G794" s="282">
        <f>ROUND(BL64,0)</f>
        <v>17236</v>
      </c>
      <c r="H794" s="282">
        <f>ROUND(BL65,0)</f>
        <v>0</v>
      </c>
      <c r="I794" s="282">
        <f>ROUND(BL66,0)</f>
        <v>6038</v>
      </c>
      <c r="J794" s="282">
        <f>ROUND(BL67,0)</f>
        <v>2741</v>
      </c>
      <c r="K794" s="282">
        <f>ROUND(BL68,0)</f>
        <v>928</v>
      </c>
      <c r="L794" s="282">
        <f>ROUND(BL70,0)</f>
        <v>0</v>
      </c>
      <c r="M794" s="282">
        <f>ROUND(BL71,0)</f>
        <v>278292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tal*147*8590*A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tal*147*8610*A</v>
      </c>
      <c r="B796" s="282"/>
      <c r="C796" s="285">
        <f>ROUND(BN60,2)</f>
        <v>4.58</v>
      </c>
      <c r="D796" s="282">
        <f>ROUND(BN61,0)</f>
        <v>640548</v>
      </c>
      <c r="E796" s="282">
        <f>ROUND(BN62,0)</f>
        <v>117285</v>
      </c>
      <c r="F796" s="282">
        <f>ROUND(BN63,0)</f>
        <v>30985</v>
      </c>
      <c r="G796" s="282">
        <f>ROUND(BN64,0)</f>
        <v>13054</v>
      </c>
      <c r="H796" s="282">
        <f>ROUND(BN65,0)</f>
        <v>0</v>
      </c>
      <c r="I796" s="282">
        <f>ROUND(BN66,0)</f>
        <v>91902</v>
      </c>
      <c r="J796" s="282">
        <f>ROUND(BN67,0)</f>
        <v>7626</v>
      </c>
      <c r="K796" s="282">
        <f>ROUND(BN68,0)</f>
        <v>7111</v>
      </c>
      <c r="L796" s="282">
        <f>ROUND(BN70,0)</f>
        <v>0</v>
      </c>
      <c r="M796" s="282">
        <f>ROUND(BN71,0)</f>
        <v>975975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tal*147*8620*A</v>
      </c>
      <c r="B797" s="282"/>
      <c r="C797" s="285">
        <f>ROUND(BO60,2)</f>
        <v>2.27</v>
      </c>
      <c r="D797" s="282">
        <f>ROUND(BO61,0)</f>
        <v>268114</v>
      </c>
      <c r="E797" s="282">
        <f>ROUND(BO62,0)</f>
        <v>38307</v>
      </c>
      <c r="F797" s="282">
        <f>ROUND(BO63,0)</f>
        <v>0</v>
      </c>
      <c r="G797" s="282">
        <f>ROUND(BO64,0)</f>
        <v>7586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314131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tal*147*8630*A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tal*147*8640*A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tal*147*8650*A</v>
      </c>
      <c r="B800" s="282"/>
      <c r="C800" s="285">
        <f>ROUND(BR60,2)</f>
        <v>2.04</v>
      </c>
      <c r="D800" s="282">
        <f>ROUND(BR61,0)</f>
        <v>188302</v>
      </c>
      <c r="E800" s="282">
        <f>ROUND(BR62,0)</f>
        <v>44488</v>
      </c>
      <c r="F800" s="282">
        <f>ROUND(BR63,0)</f>
        <v>3618</v>
      </c>
      <c r="G800" s="282">
        <f>ROUND(BR64,0)</f>
        <v>856</v>
      </c>
      <c r="H800" s="282">
        <f>ROUND(BR65,0)</f>
        <v>0</v>
      </c>
      <c r="I800" s="282">
        <f>ROUND(BR66,0)</f>
        <v>6590</v>
      </c>
      <c r="J800" s="282">
        <f>ROUND(BR67,0)</f>
        <v>3514</v>
      </c>
      <c r="K800" s="282">
        <f>ROUND(BR68,0)</f>
        <v>0</v>
      </c>
      <c r="L800" s="282">
        <f>ROUND(BR70,0)</f>
        <v>0</v>
      </c>
      <c r="M800" s="282">
        <f>ROUND(BR71,0)</f>
        <v>309515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tal*147*8660*A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tal*147*8670*A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tal*147*8680*A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tal*147*8690*A</v>
      </c>
      <c r="B804" s="282"/>
      <c r="C804" s="285">
        <f>ROUND(BV60,2)</f>
        <v>7.85</v>
      </c>
      <c r="D804" s="282">
        <f>ROUND(BV61,0)</f>
        <v>372787</v>
      </c>
      <c r="E804" s="282">
        <f>ROUND(BV62,0)</f>
        <v>115125</v>
      </c>
      <c r="F804" s="282">
        <f>ROUND(BV63,0)</f>
        <v>0</v>
      </c>
      <c r="G804" s="282">
        <f>ROUND(BV64,0)</f>
        <v>283</v>
      </c>
      <c r="H804" s="282">
        <f>ROUND(BV65,0)</f>
        <v>0</v>
      </c>
      <c r="I804" s="282">
        <f>ROUND(BV66,0)</f>
        <v>93927</v>
      </c>
      <c r="J804" s="282">
        <f>ROUND(BV67,0)</f>
        <v>16817</v>
      </c>
      <c r="K804" s="282">
        <f>ROUND(BV68,0)</f>
        <v>1160</v>
      </c>
      <c r="L804" s="282">
        <f>ROUND(BV70,0)</f>
        <v>13380</v>
      </c>
      <c r="M804" s="282">
        <f>ROUND(BV71,0)</f>
        <v>587475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tal*147*8700*A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tal*147*8710*A</v>
      </c>
      <c r="B806" s="282"/>
      <c r="C806" s="285">
        <f>ROUND(BX60,2)</f>
        <v>1.1599999999999999</v>
      </c>
      <c r="D806" s="282">
        <f>ROUND(BX61,0)</f>
        <v>82861</v>
      </c>
      <c r="E806" s="282">
        <f>ROUND(BX62,0)</f>
        <v>21666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1510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110701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tal*147*8720*A</v>
      </c>
      <c r="B807" s="282"/>
      <c r="C807" s="285">
        <f>ROUND(BY60,2)</f>
        <v>2.63</v>
      </c>
      <c r="D807" s="282">
        <f>ROUND(BY61,0)</f>
        <v>221743</v>
      </c>
      <c r="E807" s="282">
        <f>ROUND(BY62,0)</f>
        <v>56063</v>
      </c>
      <c r="F807" s="282">
        <f>ROUND(BY63,0)</f>
        <v>0</v>
      </c>
      <c r="G807" s="282">
        <f>ROUND(BY64,0)</f>
        <v>268</v>
      </c>
      <c r="H807" s="282">
        <f>ROUND(BY65,0)</f>
        <v>0</v>
      </c>
      <c r="I807" s="282">
        <f>ROUND(BY66,0)</f>
        <v>225</v>
      </c>
      <c r="J807" s="282">
        <f>ROUND(BY67,0)</f>
        <v>2883</v>
      </c>
      <c r="K807" s="282">
        <f>ROUND(BY68,0)</f>
        <v>0</v>
      </c>
      <c r="L807" s="282">
        <f>ROUND(BY70,0)</f>
        <v>0</v>
      </c>
      <c r="M807" s="282">
        <f>ROUND(BY71,0)</f>
        <v>281859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tal*147*8730*A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tal*147*8740*A</v>
      </c>
      <c r="B809" s="282"/>
      <c r="C809" s="285">
        <f>ROUND(CA60,2)</f>
        <v>0.04</v>
      </c>
      <c r="D809" s="282">
        <f>ROUND(CA61,0)</f>
        <v>4146</v>
      </c>
      <c r="E809" s="282">
        <f>ROUND(CA62,0)</f>
        <v>882</v>
      </c>
      <c r="F809" s="282">
        <f>ROUND(CA63,0)</f>
        <v>0</v>
      </c>
      <c r="G809" s="282">
        <f>ROUND(CA64,0)</f>
        <v>10867</v>
      </c>
      <c r="H809" s="282">
        <f>ROUND(CA65,0)</f>
        <v>0</v>
      </c>
      <c r="I809" s="282">
        <f>ROUND(CA66,0)</f>
        <v>59491</v>
      </c>
      <c r="J809" s="282">
        <f>ROUND(CA67,0)</f>
        <v>34911</v>
      </c>
      <c r="K809" s="282">
        <f>ROUND(CA68,0)</f>
        <v>0</v>
      </c>
      <c r="L809" s="282">
        <f>ROUND(CA70,0)</f>
        <v>250</v>
      </c>
      <c r="M809" s="282">
        <f>ROUND(CA71,0)</f>
        <v>109793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tal*147*8770*A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tal*147*8790*A</v>
      </c>
      <c r="B811" s="282"/>
      <c r="C811" s="285">
        <f>ROUND(CC60,2)</f>
        <v>0.1</v>
      </c>
      <c r="D811" s="282">
        <f>ROUND(CC61,0)</f>
        <v>25381</v>
      </c>
      <c r="E811" s="282">
        <f>ROUND(CC62,0)</f>
        <v>2198</v>
      </c>
      <c r="F811" s="282">
        <f>ROUND(CC63,0)</f>
        <v>0</v>
      </c>
      <c r="G811" s="282">
        <f>ROUND(CC64,0)</f>
        <v>0</v>
      </c>
      <c r="H811" s="282">
        <f>ROUND(CC65,0)</f>
        <v>0</v>
      </c>
      <c r="I811" s="282">
        <f>ROUND(CC66,0)</f>
        <v>0</v>
      </c>
      <c r="J811" s="282">
        <f>ROUND(CC67,0)</f>
        <v>0</v>
      </c>
      <c r="K811" s="282">
        <f>ROUND(CC68,0)</f>
        <v>0</v>
      </c>
      <c r="L811" s="282">
        <f>ROUND(CC70,0)</f>
        <v>0</v>
      </c>
      <c r="M811" s="282">
        <f>ROUND(CC71,0)</f>
        <v>28045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tal*147*9000*A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172984</v>
      </c>
      <c r="V812" s="180">
        <f>ROUND(CD69,0)</f>
        <v>524601</v>
      </c>
      <c r="W812" s="180">
        <f>ROUND(CD71,0)</f>
        <v>351617</v>
      </c>
      <c r="X812" s="282">
        <f>ROUND(CE73,0)</f>
        <v>12360456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2">SUM(C733:C812)</f>
        <v>217.35</v>
      </c>
      <c r="D814" s="180">
        <f t="shared" si="22"/>
        <v>16675864</v>
      </c>
      <c r="E814" s="180">
        <f t="shared" si="22"/>
        <v>3949924</v>
      </c>
      <c r="F814" s="180">
        <f t="shared" si="22"/>
        <v>4841610</v>
      </c>
      <c r="G814" s="180">
        <f t="shared" si="22"/>
        <v>4925910</v>
      </c>
      <c r="H814" s="180">
        <f t="shared" si="22"/>
        <v>454092</v>
      </c>
      <c r="I814" s="180">
        <f t="shared" si="22"/>
        <v>2475829</v>
      </c>
      <c r="J814" s="180">
        <f t="shared" si="22"/>
        <v>2031935</v>
      </c>
      <c r="K814" s="180">
        <f t="shared" si="22"/>
        <v>272476</v>
      </c>
      <c r="L814" s="180">
        <f>SUM(L733:L812)+SUM(U733:U812)</f>
        <v>964782</v>
      </c>
      <c r="M814" s="180">
        <f>SUM(M733:M812)+SUM(W733:W812)</f>
        <v>35660685</v>
      </c>
      <c r="N814" s="180">
        <f t="shared" ref="N814:Z814" si="23">SUM(N733:N812)</f>
        <v>45097</v>
      </c>
      <c r="O814" s="180">
        <f t="shared" si="23"/>
        <v>61808679</v>
      </c>
      <c r="P814" s="180">
        <f t="shared" si="23"/>
        <v>8264</v>
      </c>
      <c r="Q814" s="180">
        <f t="shared" si="23"/>
        <v>18971</v>
      </c>
      <c r="R814" s="180">
        <f t="shared" si="23"/>
        <v>172594</v>
      </c>
      <c r="S814" s="180">
        <f t="shared" si="23"/>
        <v>46</v>
      </c>
      <c r="T814" s="263">
        <f t="shared" si="23"/>
        <v>0</v>
      </c>
      <c r="U814" s="180">
        <f t="shared" si="23"/>
        <v>172984</v>
      </c>
      <c r="V814" s="180">
        <f t="shared" si="23"/>
        <v>524601</v>
      </c>
      <c r="W814" s="180">
        <f t="shared" si="23"/>
        <v>351617</v>
      </c>
      <c r="X814" s="180">
        <f t="shared" si="23"/>
        <v>12360456</v>
      </c>
      <c r="Y814" s="180">
        <f t="shared" si="23"/>
        <v>0</v>
      </c>
      <c r="Z814" s="180">
        <f t="shared" si="23"/>
        <v>8430978</v>
      </c>
    </row>
    <row r="815" spans="1:26" ht="12.65" customHeight="1" x14ac:dyDescent="0.3">
      <c r="B815" s="180" t="s">
        <v>1005</v>
      </c>
      <c r="C815" s="263">
        <f>CE60</f>
        <v>217.35</v>
      </c>
      <c r="D815" s="180">
        <f>CE61</f>
        <v>16675860.270000001</v>
      </c>
      <c r="E815" s="180">
        <f>CE62</f>
        <v>3949924</v>
      </c>
      <c r="F815" s="180">
        <f>CE63</f>
        <v>4841609.6599999992</v>
      </c>
      <c r="G815" s="180">
        <f>CE64</f>
        <v>4925909.5200000023</v>
      </c>
      <c r="H815" s="240">
        <f>CE65</f>
        <v>454091.60000000003</v>
      </c>
      <c r="I815" s="240">
        <f>CE66</f>
        <v>2475830.4000000004</v>
      </c>
      <c r="J815" s="240">
        <f>CE67</f>
        <v>2031935</v>
      </c>
      <c r="K815" s="240">
        <f>CE68</f>
        <v>272473.89</v>
      </c>
      <c r="L815" s="240">
        <f>CE70</f>
        <v>964782.22</v>
      </c>
      <c r="M815" s="240">
        <f>CE71</f>
        <v>35660682.570000015</v>
      </c>
      <c r="N815" s="180">
        <f>CE76</f>
        <v>82579</v>
      </c>
      <c r="O815" s="180">
        <f>CE74</f>
        <v>61808680.250000007</v>
      </c>
      <c r="P815" s="180">
        <f>CE77</f>
        <v>8264</v>
      </c>
      <c r="Q815" s="180">
        <f>CE78</f>
        <v>18969.63</v>
      </c>
      <c r="R815" s="180">
        <f>CE79</f>
        <v>172592.93999999997</v>
      </c>
      <c r="S815" s="180">
        <f>CE80</f>
        <v>47.639999999999993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8430978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16675860.27</v>
      </c>
      <c r="G816" s="240">
        <f>C379</f>
        <v>3949921.4</v>
      </c>
      <c r="H816" s="240">
        <f>C380</f>
        <v>4841609.66</v>
      </c>
      <c r="I816" s="240">
        <f>C381</f>
        <v>4925909.8499999996</v>
      </c>
      <c r="J816" s="240">
        <f>C382</f>
        <v>454092.04</v>
      </c>
      <c r="K816" s="240">
        <f>C383</f>
        <v>2475830.4</v>
      </c>
      <c r="L816" s="240">
        <f>C384+C385+C386+C388</f>
        <v>3095641.59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7" zoomScale="75" workbookViewId="0">
      <selection activeCell="O25" sqref="O25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Mid Valley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H-147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 xml:space="preserve"> 810 Jasmine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793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Omak, WA  98841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28" zoomScale="75" workbookViewId="0">
      <selection activeCell="D5" sqref="D5:E2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H-147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Mid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Winnie R Adams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Holly J Stanley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Evon LaGrou, Secretary, acting on behalf of Chair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509-826-1760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509-826-8183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825</v>
      </c>
      <c r="G23" s="21">
        <f>data!D111</f>
        <v>2109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10</v>
      </c>
      <c r="G24" s="21">
        <f>data!D112</f>
        <v>128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310</v>
      </c>
      <c r="G26" s="13">
        <f>data!D114</f>
        <v>411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44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167483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61" zoomScale="75" workbookViewId="0">
      <selection activeCell="D5" sqref="D5:E2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Mid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293</v>
      </c>
      <c r="C7" s="48">
        <f>data!B139</f>
        <v>981</v>
      </c>
      <c r="D7" s="48">
        <f>data!B140</f>
        <v>10991</v>
      </c>
      <c r="E7" s="48">
        <f>data!B141</f>
        <v>5026380.8899999997</v>
      </c>
      <c r="F7" s="48">
        <f>data!B142</f>
        <v>28053602.640000001</v>
      </c>
      <c r="G7" s="48">
        <f>data!B141+data!B142</f>
        <v>33079983.530000001</v>
      </c>
    </row>
    <row r="8" spans="1:13" ht="20.149999999999999" customHeight="1" x14ac:dyDescent="0.35">
      <c r="A8" s="23" t="s">
        <v>297</v>
      </c>
      <c r="B8" s="48">
        <f>data!C138</f>
        <v>311</v>
      </c>
      <c r="C8" s="48">
        <f>data!C139</f>
        <v>602</v>
      </c>
      <c r="D8" s="48">
        <f>data!C140</f>
        <v>8474</v>
      </c>
      <c r="E8" s="48">
        <f>data!C141</f>
        <v>4834810.62</v>
      </c>
      <c r="F8" s="48">
        <f>data!C142</f>
        <v>20793868.09</v>
      </c>
      <c r="G8" s="48">
        <f>data!C141+data!C142</f>
        <v>25628678.710000001</v>
      </c>
    </row>
    <row r="9" spans="1:13" ht="20.149999999999999" customHeight="1" x14ac:dyDescent="0.35">
      <c r="A9" s="23" t="s">
        <v>1058</v>
      </c>
      <c r="B9" s="48">
        <f>data!D138</f>
        <v>221</v>
      </c>
      <c r="C9" s="48">
        <f>data!D139</f>
        <v>526</v>
      </c>
      <c r="D9" s="48">
        <f>data!D140</f>
        <v>8825</v>
      </c>
      <c r="E9" s="48">
        <f>data!D141</f>
        <v>3472674.94</v>
      </c>
      <c r="F9" s="48">
        <f>data!D142</f>
        <v>23120143.120000001</v>
      </c>
      <c r="G9" s="48">
        <f>data!D141+data!D142</f>
        <v>26592818.060000002</v>
      </c>
    </row>
    <row r="10" spans="1:13" ht="20.149999999999999" customHeight="1" x14ac:dyDescent="0.35">
      <c r="A10" s="111" t="s">
        <v>203</v>
      </c>
      <c r="B10" s="48">
        <f>data!E138</f>
        <v>825</v>
      </c>
      <c r="C10" s="48">
        <f>data!E139</f>
        <v>2109</v>
      </c>
      <c r="D10" s="48">
        <f>data!E140</f>
        <v>28290</v>
      </c>
      <c r="E10" s="48">
        <f>data!E141</f>
        <v>13333866.449999999</v>
      </c>
      <c r="F10" s="48">
        <f>data!E142</f>
        <v>71967613.850000009</v>
      </c>
      <c r="G10" s="48">
        <f>data!E141+data!E142</f>
        <v>85301480.300000012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10</v>
      </c>
      <c r="C16" s="48">
        <f>data!B145</f>
        <v>128</v>
      </c>
      <c r="D16" s="48">
        <f>data!B146</f>
        <v>0</v>
      </c>
      <c r="E16" s="48">
        <f>data!B147</f>
        <v>167483.01</v>
      </c>
      <c r="F16" s="48">
        <f>data!B148</f>
        <v>0</v>
      </c>
      <c r="G16" s="48">
        <f>data!B147+data!B148</f>
        <v>167483.01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10</v>
      </c>
      <c r="C19" s="48">
        <f>data!E145</f>
        <v>128</v>
      </c>
      <c r="D19" s="48">
        <f>data!E146</f>
        <v>0</v>
      </c>
      <c r="E19" s="48">
        <f>data!E147</f>
        <v>167483.01</v>
      </c>
      <c r="F19" s="48">
        <f>data!E148</f>
        <v>0</v>
      </c>
      <c r="G19" s="48">
        <f>data!E147+data!E148</f>
        <v>167483.01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12941951.939999999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3774706.09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46" zoomScale="75" workbookViewId="0">
      <selection activeCell="D5" sqref="D5:E29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Mid Valley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1249239.06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80979.86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305672.84999999998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2128836.29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39360.18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367456.29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24691.62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20148.5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4216384.6500000004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2600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265781.40999999997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268381.40999999997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415964.64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201270.38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617235.02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45325.58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210894.72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256220.3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295392.90000000002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295392.90000000002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22" zoomScale="75" workbookViewId="0">
      <selection activeCell="D5" sqref="D5:E29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Mid Valley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146305.63</v>
      </c>
      <c r="D7" s="21">
        <f>data!C195</f>
        <v>0</v>
      </c>
      <c r="E7" s="21">
        <f>data!D195</f>
        <v>0</v>
      </c>
      <c r="F7" s="21">
        <f>data!E195</f>
        <v>146305.63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1102509.73</v>
      </c>
      <c r="D8" s="21">
        <f>data!C196</f>
        <v>0</v>
      </c>
      <c r="E8" s="21">
        <f>data!D196</f>
        <v>0</v>
      </c>
      <c r="F8" s="21">
        <f>data!E196</f>
        <v>1102509.73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7917589.3899999997</v>
      </c>
      <c r="D9" s="21">
        <f>data!C197</f>
        <v>364874.95</v>
      </c>
      <c r="E9" s="21">
        <f>data!D197</f>
        <v>10315.68</v>
      </c>
      <c r="F9" s="21">
        <f>data!E197</f>
        <v>8272148.6600000001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5885689.25</v>
      </c>
      <c r="D10" s="21">
        <f>data!C198</f>
        <v>33546.550000000003</v>
      </c>
      <c r="E10" s="21">
        <f>data!D198</f>
        <v>7596.12</v>
      </c>
      <c r="F10" s="21">
        <f>data!E198</f>
        <v>5911639.6799999997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297986.88</v>
      </c>
      <c r="D11" s="21">
        <f>data!C199</f>
        <v>31439.46</v>
      </c>
      <c r="E11" s="21">
        <f>data!D199</f>
        <v>50202.9</v>
      </c>
      <c r="F11" s="21">
        <f>data!E199</f>
        <v>279223.44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10331461.75</v>
      </c>
      <c r="D12" s="21">
        <f>data!C200</f>
        <v>1199486.8700000001</v>
      </c>
      <c r="E12" s="21">
        <f>data!D200</f>
        <v>1328812.04</v>
      </c>
      <c r="F12" s="21">
        <f>data!E200</f>
        <v>10202136.580000002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51092.5</v>
      </c>
      <c r="D15" s="21">
        <f>data!C203</f>
        <v>42620</v>
      </c>
      <c r="E15" s="21">
        <f>data!D203</f>
        <v>51092.5</v>
      </c>
      <c r="F15" s="21">
        <f>data!E203</f>
        <v>42620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25732635.130000003</v>
      </c>
      <c r="D16" s="21">
        <f>data!C204</f>
        <v>1671967.83</v>
      </c>
      <c r="E16" s="21">
        <f>data!D204</f>
        <v>1448019.24</v>
      </c>
      <c r="F16" s="21">
        <f>data!E204</f>
        <v>25956583.719999999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853762.86</v>
      </c>
      <c r="D24" s="21">
        <f>data!C209</f>
        <v>29586.9</v>
      </c>
      <c r="E24" s="21">
        <f>data!D209</f>
        <v>0</v>
      </c>
      <c r="F24" s="21">
        <f>data!E209</f>
        <v>883349.76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4861886.18</v>
      </c>
      <c r="D25" s="21">
        <f>data!C210</f>
        <v>274499.59999999998</v>
      </c>
      <c r="E25" s="21">
        <f>data!D210</f>
        <v>10315.68</v>
      </c>
      <c r="F25" s="21">
        <f>data!E210</f>
        <v>5126070.0999999996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3177910.11</v>
      </c>
      <c r="D26" s="21">
        <f>data!C211</f>
        <v>287392.98</v>
      </c>
      <c r="E26" s="21">
        <f>data!D211</f>
        <v>7596.12</v>
      </c>
      <c r="F26" s="21">
        <f>data!E211</f>
        <v>3457706.9699999997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177031.73</v>
      </c>
      <c r="D27" s="21">
        <f>data!C212</f>
        <v>13911.63</v>
      </c>
      <c r="E27" s="21">
        <f>data!D212</f>
        <v>49880.7</v>
      </c>
      <c r="F27" s="21">
        <f>data!E212</f>
        <v>141062.66000000003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7071284.7400000002</v>
      </c>
      <c r="D28" s="21">
        <f>data!C213</f>
        <v>1496508.87</v>
      </c>
      <c r="E28" s="21">
        <f>data!D213</f>
        <v>1321109.19</v>
      </c>
      <c r="F28" s="21">
        <f>data!E213</f>
        <v>7246684.4199999999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16141875.620000001</v>
      </c>
      <c r="D32" s="21">
        <f>data!C217</f>
        <v>2101899.98</v>
      </c>
      <c r="E32" s="21">
        <f>data!D217</f>
        <v>1388901.69</v>
      </c>
      <c r="F32" s="21">
        <f>data!E217</f>
        <v>16854873.909999996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5" sqref="D5:E29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Mid Valley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1599022.55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17510686.289999999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14022702.460000001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1077288.8899999999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312950.45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4347763.03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37271391.119999997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2380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124921.01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1199466.68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1324387.69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5522090.9500000002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245130.02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45962022.329999991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view="pageBreakPreview" topLeftCell="B143" zoomScale="90" zoomScaleNormal="75" zoomScaleSheetLayoutView="90" workbookViewId="0">
      <selection activeCell="B166" sqref="B166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Mid Valley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17776426.370000001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13038900.57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8027477.1799999997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750293.38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114071.99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828805.94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184427.79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24665448.860000003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467289.55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467289.55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146305.63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1102509.73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8272148.6600000001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5911639.6799999997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279223.44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10223435.1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42620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25977882.239999998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16856284.77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9121597.4699999988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1583839.38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1350671.35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233168.0299999998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34487503.910000004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Mid Valley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961862.38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1620825.8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896000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562031.41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1390435.82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5431155.4100000001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3786075.3400000003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2578725.5500000003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6364800.8900000006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1390435.82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4974365.07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24081983.43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24081983.43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34487503.909999996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Mid Valley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13501349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71967614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85468963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1550302.21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41220879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1324387.69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1866453.13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45962022.030000001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39506940.969999999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817590.17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1080075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1897665.17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41404606.140000001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18053147.969999999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4216384.6500000004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5337530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5745149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472683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2655962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2105373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268381.40999999997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617235.02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256220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295392.90000000002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285207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40308665.949999996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1095940.1900000051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7586835.1699999999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8682775.360000005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8682775.360000005</v>
      </c>
    </row>
    <row r="152" spans="1:3" ht="20.149999999999999" customHeight="1" x14ac:dyDescent="0.35">
      <c r="A152" s="40">
        <v>45</v>
      </c>
      <c r="B152" s="49" t="s">
        <v>1172</v>
      </c>
      <c r="C152" s="24" t="s">
        <v>1282</v>
      </c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2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D5" sqref="D5:E29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Mid Valley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2109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27.080000000000002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2402355.79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530878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187185.33000000002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141257.59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112074.46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105254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28729.360000000001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18566.53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3526301.0599999996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1628376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3055614.62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1612216.56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4667831.18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6251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7833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4161.01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97619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16.010000000000002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Mid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411</v>
      </c>
      <c r="D41" s="14">
        <f>data!K59</f>
        <v>0</v>
      </c>
      <c r="E41" s="14">
        <f>data!L59</f>
        <v>128</v>
      </c>
      <c r="F41" s="14">
        <f>data!M59</f>
        <v>0</v>
      </c>
      <c r="G41" s="14">
        <f>data!N59</f>
        <v>0</v>
      </c>
      <c r="H41" s="14">
        <f>data!O59</f>
        <v>310</v>
      </c>
      <c r="I41" s="14">
        <f>data!P59</f>
        <v>110137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8.5399999999999991</v>
      </c>
      <c r="I42" s="26">
        <f>data!P60</f>
        <v>9.31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769069.88</v>
      </c>
      <c r="I43" s="14">
        <f>data!P61</f>
        <v>782282.86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170237</v>
      </c>
      <c r="I44" s="14">
        <f>data!P62</f>
        <v>186534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480132.18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92784.78</v>
      </c>
      <c r="I46" s="14">
        <f>data!P64</f>
        <v>1058013.3899999999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18.989999999999998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23040.19</v>
      </c>
      <c r="I48" s="14">
        <f>data!P66</f>
        <v>120376.25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2991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39762</v>
      </c>
      <c r="I49" s="14">
        <f>data!P67</f>
        <v>304981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6930.54</v>
      </c>
      <c r="I50" s="14">
        <f>data!P68</f>
        <v>5453.74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11271.16</v>
      </c>
      <c r="I51" s="14">
        <f>data!P69</f>
        <v>19246.099999999999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3009.99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1593227.73</v>
      </c>
      <c r="I53" s="14">
        <f>data!P71</f>
        <v>2476887.3400000003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21973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540229</v>
      </c>
      <c r="I55" s="48">
        <f>+data!M681</f>
        <v>753358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461618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1677505.22</v>
      </c>
      <c r="I56" s="14">
        <f>data!P73</f>
        <v>1153611.24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70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154392.78</v>
      </c>
      <c r="I57" s="14">
        <f>data!P74</f>
        <v>5792678.9900000002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461688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1831898</v>
      </c>
      <c r="I58" s="14">
        <f>data!P75</f>
        <v>6946290.2300000004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142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1720</v>
      </c>
      <c r="I60" s="14">
        <f>data!P76</f>
        <v>4085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2473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990.64</v>
      </c>
      <c r="I62" s="14">
        <f>data!P78</f>
        <v>1369.06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10015</v>
      </c>
      <c r="I63" s="14">
        <f>data!P79</f>
        <v>54322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7.42</v>
      </c>
      <c r="I64" s="26">
        <f>data!P80</f>
        <v>3.21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Mid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129375</v>
      </c>
      <c r="D73" s="48">
        <f>data!R59</f>
        <v>119033</v>
      </c>
      <c r="E73" s="212"/>
      <c r="F73" s="212"/>
      <c r="G73" s="14">
        <f>data!U59</f>
        <v>95490</v>
      </c>
      <c r="H73" s="14">
        <f>data!V59</f>
        <v>2510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5.13</v>
      </c>
      <c r="D74" s="26">
        <f>data!R60</f>
        <v>0</v>
      </c>
      <c r="E74" s="26">
        <f>data!S60</f>
        <v>1.962</v>
      </c>
      <c r="F74" s="26">
        <f>data!T60</f>
        <v>0</v>
      </c>
      <c r="G74" s="26">
        <f>data!U60</f>
        <v>9.1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536713.53</v>
      </c>
      <c r="D75" s="14">
        <f>data!R61</f>
        <v>0</v>
      </c>
      <c r="E75" s="14">
        <f>data!S61</f>
        <v>63716.42</v>
      </c>
      <c r="F75" s="14">
        <f>data!T61</f>
        <v>0</v>
      </c>
      <c r="G75" s="14">
        <f>data!U61</f>
        <v>624317.62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112365</v>
      </c>
      <c r="D76" s="14">
        <f>data!R62</f>
        <v>0</v>
      </c>
      <c r="E76" s="14">
        <f>data!S62</f>
        <v>29166</v>
      </c>
      <c r="F76" s="14">
        <f>data!T62</f>
        <v>0</v>
      </c>
      <c r="G76" s="14">
        <f>data!U62</f>
        <v>153945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68291.179999999993</v>
      </c>
      <c r="D77" s="14">
        <f>data!R63</f>
        <v>888778.48</v>
      </c>
      <c r="E77" s="14">
        <f>data!S63</f>
        <v>0</v>
      </c>
      <c r="F77" s="14">
        <f>data!T63</f>
        <v>0</v>
      </c>
      <c r="G77" s="14">
        <f>data!U63</f>
        <v>133370.68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30601.09</v>
      </c>
      <c r="D78" s="14">
        <f>data!R64</f>
        <v>6932.77</v>
      </c>
      <c r="E78" s="14">
        <f>data!S64</f>
        <v>1217171.1599999999</v>
      </c>
      <c r="F78" s="14">
        <f>data!T64</f>
        <v>0</v>
      </c>
      <c r="G78" s="14">
        <f>data!U64</f>
        <v>1139504.6599999999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1613.58</v>
      </c>
      <c r="D80" s="14">
        <f>data!R66</f>
        <v>8620</v>
      </c>
      <c r="E80" s="14">
        <f>data!S66</f>
        <v>5808.46</v>
      </c>
      <c r="F80" s="14">
        <f>data!T66</f>
        <v>0</v>
      </c>
      <c r="G80" s="14">
        <f>data!U66</f>
        <v>214571.08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27893</v>
      </c>
      <c r="D81" s="14">
        <f>data!R67</f>
        <v>0</v>
      </c>
      <c r="E81" s="14">
        <f>data!S67</f>
        <v>18328</v>
      </c>
      <c r="F81" s="14">
        <f>data!T67</f>
        <v>0</v>
      </c>
      <c r="G81" s="14">
        <f>data!U67</f>
        <v>52102</v>
      </c>
      <c r="H81" s="14">
        <f>data!V67</f>
        <v>1172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5261.7</v>
      </c>
      <c r="D82" s="14">
        <f>data!R68</f>
        <v>13131.6</v>
      </c>
      <c r="E82" s="14">
        <f>data!S68</f>
        <v>0</v>
      </c>
      <c r="F82" s="14">
        <f>data!T68</f>
        <v>0</v>
      </c>
      <c r="G82" s="14">
        <f>data!U68</f>
        <v>36640.85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1687.57</v>
      </c>
      <c r="D83" s="14">
        <f>data!R69</f>
        <v>284.93</v>
      </c>
      <c r="E83" s="14">
        <f>data!S69</f>
        <v>11547</v>
      </c>
      <c r="F83" s="14">
        <f>data!T69</f>
        <v>0</v>
      </c>
      <c r="G83" s="14">
        <f>data!U69</f>
        <v>50815.59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-14128.85</v>
      </c>
      <c r="F84" s="14">
        <f>-data!T70</f>
        <v>0</v>
      </c>
      <c r="G84" s="14">
        <f>-data!U70</f>
        <v>-150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784426.64999999979</v>
      </c>
      <c r="D85" s="14">
        <f>data!R71</f>
        <v>917747.78</v>
      </c>
      <c r="E85" s="14">
        <f>data!S71</f>
        <v>1331608.1899999997</v>
      </c>
      <c r="F85" s="14">
        <f>data!T71</f>
        <v>0</v>
      </c>
      <c r="G85" s="14">
        <f>data!U71</f>
        <v>2405117.48</v>
      </c>
      <c r="H85" s="14">
        <f>data!V71</f>
        <v>1172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311660</v>
      </c>
      <c r="D87" s="48">
        <f>+data!M683</f>
        <v>220707</v>
      </c>
      <c r="E87" s="48">
        <f>+data!M684</f>
        <v>403997</v>
      </c>
      <c r="F87" s="48">
        <f>+data!M685</f>
        <v>0</v>
      </c>
      <c r="G87" s="48">
        <f>+data!M686</f>
        <v>569317</v>
      </c>
      <c r="H87" s="48">
        <f>+data!M687</f>
        <v>8095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296112.60000000003</v>
      </c>
      <c r="D88" s="14">
        <f>data!R73</f>
        <v>903686.35</v>
      </c>
      <c r="E88" s="14">
        <f>data!S73</f>
        <v>1098665.2</v>
      </c>
      <c r="F88" s="14">
        <f>data!T73</f>
        <v>0</v>
      </c>
      <c r="G88" s="14">
        <f>data!U73</f>
        <v>1045794.88</v>
      </c>
      <c r="H88" s="14">
        <f>data!V73</f>
        <v>12035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2448051.6</v>
      </c>
      <c r="D89" s="14">
        <f>data!R74</f>
        <v>3452259.4</v>
      </c>
      <c r="E89" s="14">
        <f>data!S74</f>
        <v>4776891.9800000004</v>
      </c>
      <c r="F89" s="14">
        <f>data!T74</f>
        <v>0</v>
      </c>
      <c r="G89" s="14">
        <f>data!U74</f>
        <v>6971070.0099999998</v>
      </c>
      <c r="H89" s="14">
        <f>data!V74</f>
        <v>196295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2744164.2</v>
      </c>
      <c r="D90" s="14">
        <f>data!R75</f>
        <v>4355945.75</v>
      </c>
      <c r="E90" s="14">
        <f>data!S75</f>
        <v>5875557.1800000006</v>
      </c>
      <c r="F90" s="14">
        <f>data!T75</f>
        <v>0</v>
      </c>
      <c r="G90" s="14">
        <f>data!U75</f>
        <v>8016864.8899999997</v>
      </c>
      <c r="H90" s="14">
        <f>data!V75</f>
        <v>208330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1261</v>
      </c>
      <c r="D92" s="14">
        <f>data!R76</f>
        <v>0</v>
      </c>
      <c r="E92" s="14">
        <f>data!S76</f>
        <v>1628</v>
      </c>
      <c r="F92" s="14">
        <f>data!T76</f>
        <v>0</v>
      </c>
      <c r="G92" s="14">
        <f>data!U76</f>
        <v>1213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1173.96</v>
      </c>
      <c r="D94" s="14">
        <f>data!R78</f>
        <v>0</v>
      </c>
      <c r="E94" s="14">
        <f>data!S78</f>
        <v>222.01</v>
      </c>
      <c r="F94" s="14">
        <f>data!T78</f>
        <v>0</v>
      </c>
      <c r="G94" s="14">
        <f>data!U78</f>
        <v>551.66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5.13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Mid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18393</v>
      </c>
      <c r="E105" s="14">
        <f>data!Z59</f>
        <v>0</v>
      </c>
      <c r="F105" s="14">
        <f>data!AA59</f>
        <v>0</v>
      </c>
      <c r="G105" s="212"/>
      <c r="H105" s="14">
        <f>data!AC59</f>
        <v>2874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12.36</v>
      </c>
      <c r="E106" s="26">
        <f>data!Z60</f>
        <v>0</v>
      </c>
      <c r="F106" s="26">
        <f>data!AA60</f>
        <v>0</v>
      </c>
      <c r="G106" s="26">
        <f>data!AB60</f>
        <v>2</v>
      </c>
      <c r="H106" s="26">
        <f>data!AC60</f>
        <v>2.59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983633.99</v>
      </c>
      <c r="E107" s="14">
        <f>data!Z61</f>
        <v>0</v>
      </c>
      <c r="F107" s="14">
        <f>data!AA61</f>
        <v>0</v>
      </c>
      <c r="G107" s="14">
        <f>data!AB61</f>
        <v>202794.47</v>
      </c>
      <c r="H107" s="14">
        <f>data!AC61</f>
        <v>285010.05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243496</v>
      </c>
      <c r="E108" s="14">
        <f>data!Z62</f>
        <v>0</v>
      </c>
      <c r="F108" s="14">
        <f>data!AA62</f>
        <v>0</v>
      </c>
      <c r="G108" s="14">
        <f>data!AB62</f>
        <v>46808</v>
      </c>
      <c r="H108" s="14">
        <f>data!AC62</f>
        <v>55540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950235.78</v>
      </c>
      <c r="E109" s="14">
        <f>data!Z63</f>
        <v>0</v>
      </c>
      <c r="F109" s="14">
        <f>data!AA63</f>
        <v>0</v>
      </c>
      <c r="G109" s="14">
        <f>data!AB63</f>
        <v>75517.5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413653.92</v>
      </c>
      <c r="E110" s="14">
        <f>data!Z64</f>
        <v>0</v>
      </c>
      <c r="F110" s="14">
        <f>data!AA64</f>
        <v>0</v>
      </c>
      <c r="G110" s="14">
        <f>data!AB64</f>
        <v>674919.92</v>
      </c>
      <c r="H110" s="14">
        <f>data!AC64</f>
        <v>64186.58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515959.28</v>
      </c>
      <c r="E112" s="14">
        <f>data!Z66</f>
        <v>0</v>
      </c>
      <c r="F112" s="14">
        <f>data!AA66</f>
        <v>0</v>
      </c>
      <c r="G112" s="14">
        <f>data!AB66</f>
        <v>10043.27</v>
      </c>
      <c r="H112" s="14">
        <f>data!AC66</f>
        <v>8493.84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591925</v>
      </c>
      <c r="E113" s="14">
        <f>data!Z67</f>
        <v>0</v>
      </c>
      <c r="F113" s="14">
        <f>data!AA67</f>
        <v>0</v>
      </c>
      <c r="G113" s="14">
        <f>data!AB67</f>
        <v>6489</v>
      </c>
      <c r="H113" s="14">
        <f>data!AC67</f>
        <v>8847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75949.850000000006</v>
      </c>
      <c r="E114" s="14">
        <f>data!Z68</f>
        <v>0</v>
      </c>
      <c r="F114" s="14">
        <f>data!AA68</f>
        <v>0</v>
      </c>
      <c r="G114" s="14">
        <f>data!AB68</f>
        <v>3811.32</v>
      </c>
      <c r="H114" s="14">
        <f>data!AC68</f>
        <v>26851.66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9435.2800000000007</v>
      </c>
      <c r="E115" s="14">
        <f>data!Z69</f>
        <v>0</v>
      </c>
      <c r="F115" s="14">
        <f>data!AA69</f>
        <v>0</v>
      </c>
      <c r="G115" s="14">
        <f>data!AB69</f>
        <v>1858.98</v>
      </c>
      <c r="H115" s="14">
        <f>data!AC69</f>
        <v>2273.75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-273485.473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3784289.0999999996</v>
      </c>
      <c r="E117" s="14">
        <f>data!Z71</f>
        <v>0</v>
      </c>
      <c r="F117" s="14">
        <f>data!AA71</f>
        <v>0</v>
      </c>
      <c r="G117" s="14">
        <f>data!AB71</f>
        <v>748756.98699999996</v>
      </c>
      <c r="H117" s="14">
        <f>data!AC71</f>
        <v>451202.88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1273323</v>
      </c>
      <c r="E119" s="48">
        <f>+data!M691</f>
        <v>0</v>
      </c>
      <c r="F119" s="48">
        <f>+data!M692</f>
        <v>0</v>
      </c>
      <c r="G119" s="48">
        <f>+data!M693</f>
        <v>253223</v>
      </c>
      <c r="H119" s="48">
        <f>+data!M694</f>
        <v>96666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822866.5199999999</v>
      </c>
      <c r="E120" s="14">
        <f>data!Z73</f>
        <v>0</v>
      </c>
      <c r="F120" s="14">
        <f>data!AA73</f>
        <v>0</v>
      </c>
      <c r="G120" s="14">
        <f>data!AB73</f>
        <v>1493193.33</v>
      </c>
      <c r="H120" s="14">
        <f>data!AC73</f>
        <v>339185.3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20491365.280000001</v>
      </c>
      <c r="E121" s="14">
        <f>data!Z74</f>
        <v>0</v>
      </c>
      <c r="F121" s="14">
        <f>data!AA74</f>
        <v>0</v>
      </c>
      <c r="G121" s="14">
        <f>data!AB74</f>
        <v>2639590.87</v>
      </c>
      <c r="H121" s="14">
        <f>data!AC74</f>
        <v>533077.41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21314231.800000001</v>
      </c>
      <c r="E122" s="14">
        <f>data!Z75</f>
        <v>0</v>
      </c>
      <c r="F122" s="14">
        <f>data!AA75</f>
        <v>0</v>
      </c>
      <c r="G122" s="14">
        <f>data!AB75</f>
        <v>4132784.2</v>
      </c>
      <c r="H122" s="14">
        <f>data!AC75</f>
        <v>872262.71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5353</v>
      </c>
      <c r="E124" s="14">
        <f>data!Z76</f>
        <v>0</v>
      </c>
      <c r="F124" s="14">
        <f>data!AA76</f>
        <v>0</v>
      </c>
      <c r="G124" s="14">
        <f>data!AB76</f>
        <v>588</v>
      </c>
      <c r="H124" s="14">
        <f>data!AC76</f>
        <v>394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650.89</v>
      </c>
      <c r="E126" s="14">
        <f>data!Z78</f>
        <v>0</v>
      </c>
      <c r="F126" s="14">
        <f>data!AA78</f>
        <v>0</v>
      </c>
      <c r="G126" s="14">
        <f>data!AB78</f>
        <v>144.63999999999999</v>
      </c>
      <c r="H126" s="14">
        <f>data!AC78</f>
        <v>420.47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934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0.34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Mid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10563</v>
      </c>
      <c r="D137" s="14">
        <f>data!AF59</f>
        <v>0</v>
      </c>
      <c r="E137" s="14">
        <f>data!AG59</f>
        <v>9642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6.51</v>
      </c>
      <c r="D138" s="26">
        <f>data!AF60</f>
        <v>0</v>
      </c>
      <c r="E138" s="26">
        <f>data!AG60</f>
        <v>19.79</v>
      </c>
      <c r="F138" s="26">
        <f>data!AH60</f>
        <v>0</v>
      </c>
      <c r="G138" s="26">
        <f>data!AI60</f>
        <v>0</v>
      </c>
      <c r="H138" s="26">
        <f>data!AJ60</f>
        <v>0.38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492666.13</v>
      </c>
      <c r="D139" s="14">
        <f>data!AF61</f>
        <v>0</v>
      </c>
      <c r="E139" s="14">
        <f>data!AG61</f>
        <v>1532289.12</v>
      </c>
      <c r="F139" s="14">
        <f>data!AH61</f>
        <v>0</v>
      </c>
      <c r="G139" s="14">
        <f>data!AI61</f>
        <v>0</v>
      </c>
      <c r="H139" s="14">
        <f>data!AJ61</f>
        <v>31254.85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135570</v>
      </c>
      <c r="D140" s="14">
        <f>data!AF62</f>
        <v>0</v>
      </c>
      <c r="E140" s="14">
        <f>data!AG62</f>
        <v>374500</v>
      </c>
      <c r="F140" s="14">
        <f>data!AH62</f>
        <v>0</v>
      </c>
      <c r="G140" s="14">
        <f>data!AI62</f>
        <v>0</v>
      </c>
      <c r="H140" s="14">
        <f>data!AJ62</f>
        <v>7177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487.5</v>
      </c>
      <c r="D141" s="14">
        <f>data!AF63</f>
        <v>0</v>
      </c>
      <c r="E141" s="14">
        <f>data!AG63</f>
        <v>2361330.7599999998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28878.720000000001</v>
      </c>
      <c r="D142" s="14">
        <f>data!AF64</f>
        <v>0</v>
      </c>
      <c r="E142" s="14">
        <f>data!AG64</f>
        <v>217633.83</v>
      </c>
      <c r="F142" s="14">
        <f>data!AH64</f>
        <v>0</v>
      </c>
      <c r="G142" s="14">
        <f>data!AI64</f>
        <v>0</v>
      </c>
      <c r="H142" s="14">
        <f>data!AJ64</f>
        <v>31165.1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22209.13</v>
      </c>
      <c r="D144" s="14">
        <f>data!AF66</f>
        <v>0</v>
      </c>
      <c r="E144" s="14">
        <f>data!AG66</f>
        <v>132527.07999999999</v>
      </c>
      <c r="F144" s="14">
        <f>data!AH66</f>
        <v>0</v>
      </c>
      <c r="G144" s="14">
        <f>data!AI66</f>
        <v>0</v>
      </c>
      <c r="H144" s="14">
        <f>data!AJ66</f>
        <v>53.55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40769</v>
      </c>
      <c r="D145" s="14">
        <f>data!AF67</f>
        <v>0</v>
      </c>
      <c r="E145" s="14">
        <f>data!AG67</f>
        <v>166448</v>
      </c>
      <c r="F145" s="14">
        <f>data!AH67</f>
        <v>0</v>
      </c>
      <c r="G145" s="14">
        <f>data!AI67</f>
        <v>0</v>
      </c>
      <c r="H145" s="14">
        <f>data!AJ67</f>
        <v>7629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913.09</v>
      </c>
      <c r="D146" s="14">
        <f>data!AF68</f>
        <v>0</v>
      </c>
      <c r="E146" s="14">
        <f>data!AG68</f>
        <v>13011.09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2514.37</v>
      </c>
      <c r="D147" s="14">
        <f>data!AF69</f>
        <v>0</v>
      </c>
      <c r="E147" s="14">
        <f>data!AG69</f>
        <v>11055.54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-20740.419999999998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703267.5199999999</v>
      </c>
      <c r="D149" s="14">
        <f>data!AF71</f>
        <v>0</v>
      </c>
      <c r="E149" s="14">
        <f>data!AG71</f>
        <v>4808795.42</v>
      </c>
      <c r="F149" s="14">
        <f>data!AH71</f>
        <v>0</v>
      </c>
      <c r="G149" s="14">
        <f>data!AI71</f>
        <v>0</v>
      </c>
      <c r="H149" s="14">
        <f>data!AJ71</f>
        <v>77279.5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218176</v>
      </c>
      <c r="D151" s="48">
        <f>+data!M697</f>
        <v>0</v>
      </c>
      <c r="E151" s="48">
        <f>+data!M698</f>
        <v>1364223</v>
      </c>
      <c r="F151" s="48">
        <f>+data!M699</f>
        <v>0</v>
      </c>
      <c r="G151" s="48">
        <f>+data!M700</f>
        <v>0</v>
      </c>
      <c r="H151" s="48">
        <f>+data!M701</f>
        <v>14887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74765</v>
      </c>
      <c r="D152" s="14">
        <f>data!AF73</f>
        <v>0</v>
      </c>
      <c r="E152" s="14">
        <f>data!AG73</f>
        <v>464724.96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1750548.82</v>
      </c>
      <c r="D153" s="14">
        <f>data!AF74</f>
        <v>0</v>
      </c>
      <c r="E153" s="14">
        <f>data!AG74</f>
        <v>13500937.98</v>
      </c>
      <c r="F153" s="14">
        <f>data!AH74</f>
        <v>0</v>
      </c>
      <c r="G153" s="14">
        <f>data!AI74</f>
        <v>0</v>
      </c>
      <c r="H153" s="14">
        <f>data!AJ74</f>
        <v>87895.67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1825313.82</v>
      </c>
      <c r="D154" s="14">
        <f>data!AF75</f>
        <v>0</v>
      </c>
      <c r="E154" s="14">
        <f>data!AG75</f>
        <v>13965662.940000001</v>
      </c>
      <c r="F154" s="14">
        <f>data!AH75</f>
        <v>0</v>
      </c>
      <c r="G154" s="14">
        <f>data!AI75</f>
        <v>0</v>
      </c>
      <c r="H154" s="14">
        <f>data!AJ75</f>
        <v>87895.67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2826</v>
      </c>
      <c r="D156" s="14">
        <f>data!AF76</f>
        <v>0</v>
      </c>
      <c r="E156" s="14">
        <f>data!AG76</f>
        <v>3601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127.82</v>
      </c>
      <c r="D158" s="14">
        <f>data!AF78</f>
        <v>0</v>
      </c>
      <c r="E158" s="14">
        <f>data!AG78</f>
        <v>5815.99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25233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0.05</v>
      </c>
      <c r="D160" s="26">
        <f>data!AF80</f>
        <v>0</v>
      </c>
      <c r="E160" s="26">
        <f>data!AG80</f>
        <v>10.35</v>
      </c>
      <c r="F160" s="26">
        <f>data!AH80</f>
        <v>0</v>
      </c>
      <c r="G160" s="26">
        <f>data!AI80</f>
        <v>0</v>
      </c>
      <c r="H160" s="26">
        <f>data!AJ80</f>
        <v>0.38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Mid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21696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41.37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4833489.22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905502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8608.86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214423.81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49815.37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286670.56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233122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14651.23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162106.72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-176182.09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6532207.6799999997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1388260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601971.24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7560271.5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8162242.7400000002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15729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2583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1.36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Mid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10306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6.97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315524.49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99434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186675.96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9361.99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33316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1216.98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-101307.07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544222.34999999986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2387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Mid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82579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</v>
      </c>
      <c r="H234" s="26">
        <f>data!BE60</f>
        <v>2.9</v>
      </c>
      <c r="I234" s="26">
        <f>data!BF60</f>
        <v>11.02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121016.61</v>
      </c>
      <c r="H235" s="14">
        <f>data!BE61</f>
        <v>198774.28</v>
      </c>
      <c r="I235" s="14">
        <f>data!BF61</f>
        <v>421439.75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37230</v>
      </c>
      <c r="H236" s="14">
        <f>data!BE62</f>
        <v>54539</v>
      </c>
      <c r="I236" s="14">
        <f>data!BF62</f>
        <v>135321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798.97</v>
      </c>
      <c r="E238" s="14">
        <f>data!BB64</f>
        <v>0</v>
      </c>
      <c r="F238" s="14">
        <f>data!BC64</f>
        <v>0</v>
      </c>
      <c r="G238" s="14">
        <f>data!BD64</f>
        <v>1900.58</v>
      </c>
      <c r="H238" s="14">
        <f>data!BE64</f>
        <v>26501.79</v>
      </c>
      <c r="I238" s="14">
        <f>data!BF64</f>
        <v>38695.26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345660.63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199635.02</v>
      </c>
      <c r="E240" s="14">
        <f>data!BB66</f>
        <v>0</v>
      </c>
      <c r="F240" s="14">
        <f>data!BC66</f>
        <v>0</v>
      </c>
      <c r="G240" s="14">
        <f>data!BD66</f>
        <v>6038.28</v>
      </c>
      <c r="H240" s="14">
        <f>data!BE66</f>
        <v>124615.36</v>
      </c>
      <c r="I240" s="14">
        <f>data!BF66</f>
        <v>184.81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5584</v>
      </c>
      <c r="E241" s="14">
        <f>data!BB67</f>
        <v>0</v>
      </c>
      <c r="F241" s="14">
        <f>data!BC67</f>
        <v>0</v>
      </c>
      <c r="G241" s="14">
        <f>data!BD67</f>
        <v>3785</v>
      </c>
      <c r="H241" s="14">
        <f>data!BE67</f>
        <v>323474</v>
      </c>
      <c r="I241" s="14">
        <f>data!BF67</f>
        <v>3863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300</v>
      </c>
      <c r="H243" s="14">
        <f>data!BE69</f>
        <v>1789.85</v>
      </c>
      <c r="I243" s="14">
        <f>data!BF69</f>
        <v>1446.54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206017.99</v>
      </c>
      <c r="E245" s="14">
        <f>data!BB71</f>
        <v>0</v>
      </c>
      <c r="F245" s="14">
        <f>data!BC71</f>
        <v>0</v>
      </c>
      <c r="G245" s="14">
        <f>data!BD71</f>
        <v>170270.46999999997</v>
      </c>
      <c r="H245" s="14">
        <f>data!BE71</f>
        <v>1075354.9100000001</v>
      </c>
      <c r="I245" s="14">
        <f>data!BF71</f>
        <v>600950.3600000001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506</v>
      </c>
      <c r="E252" s="85">
        <f>data!BB76</f>
        <v>0</v>
      </c>
      <c r="F252" s="85">
        <f>data!BC76</f>
        <v>0</v>
      </c>
      <c r="G252" s="85">
        <f>data!BD76</f>
        <v>343</v>
      </c>
      <c r="H252" s="85">
        <f>data!BE76</f>
        <v>24733</v>
      </c>
      <c r="I252" s="85">
        <f>data!BF76</f>
        <v>350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457.48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Mid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0.54</v>
      </c>
      <c r="D266" s="26">
        <f>data!BH60</f>
        <v>4.4400000000000004</v>
      </c>
      <c r="E266" s="26">
        <f>data!BI60</f>
        <v>0</v>
      </c>
      <c r="F266" s="26">
        <f>data!BJ60</f>
        <v>5.5</v>
      </c>
      <c r="G266" s="26">
        <f>data!BK60</f>
        <v>12.37</v>
      </c>
      <c r="H266" s="26">
        <f>data!BL60</f>
        <v>4.9800000000000004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33124.370000000003</v>
      </c>
      <c r="D267" s="14">
        <f>data!BH61</f>
        <v>330081.26</v>
      </c>
      <c r="E267" s="14">
        <f>data!BI61</f>
        <v>0</v>
      </c>
      <c r="F267" s="14">
        <f>data!BJ61</f>
        <v>503456.11</v>
      </c>
      <c r="G267" s="14">
        <f>data!BK61</f>
        <v>554615.69999999995</v>
      </c>
      <c r="H267" s="14">
        <f>data!BL61</f>
        <v>192318.63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15205</v>
      </c>
      <c r="D268" s="14">
        <f>data!BH62</f>
        <v>92429</v>
      </c>
      <c r="E268" s="14">
        <f>data!BI62</f>
        <v>0</v>
      </c>
      <c r="F268" s="14">
        <f>data!BJ62</f>
        <v>118191</v>
      </c>
      <c r="G268" s="14">
        <f>data!BK62</f>
        <v>202053</v>
      </c>
      <c r="H268" s="14">
        <f>data!BL62</f>
        <v>66297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75759.100000000006</v>
      </c>
      <c r="G269" s="14">
        <f>data!BK63</f>
        <v>72809.91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22076.26</v>
      </c>
      <c r="D270" s="14">
        <f>data!BH64</f>
        <v>44610.98</v>
      </c>
      <c r="E270" s="14">
        <f>data!BI64</f>
        <v>0</v>
      </c>
      <c r="F270" s="14">
        <f>data!BJ64</f>
        <v>13611.97</v>
      </c>
      <c r="G270" s="14">
        <f>data!BK64</f>
        <v>21598.7</v>
      </c>
      <c r="H270" s="14">
        <f>data!BL64</f>
        <v>10780.94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77101.75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19895.64</v>
      </c>
      <c r="D272" s="14">
        <f>data!BH66</f>
        <v>320642.25</v>
      </c>
      <c r="E272" s="14">
        <f>data!BI66</f>
        <v>0</v>
      </c>
      <c r="F272" s="14">
        <f>data!BJ66</f>
        <v>79846.399999999994</v>
      </c>
      <c r="G272" s="14">
        <f>data!BK66</f>
        <v>184102.58</v>
      </c>
      <c r="H272" s="14">
        <f>data!BL66</f>
        <v>6038.28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3223</v>
      </c>
      <c r="D273" s="14">
        <f>data!BH67</f>
        <v>42235</v>
      </c>
      <c r="E273" s="14">
        <f>data!BI67</f>
        <v>0</v>
      </c>
      <c r="F273" s="14">
        <f>data!BJ67</f>
        <v>6787</v>
      </c>
      <c r="G273" s="14">
        <f>data!BK67</f>
        <v>19347</v>
      </c>
      <c r="H273" s="14">
        <f>data!BL67</f>
        <v>2781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1686</v>
      </c>
      <c r="D274" s="14">
        <f>data!BH68</f>
        <v>0</v>
      </c>
      <c r="E274" s="14">
        <f>data!BI68</f>
        <v>0</v>
      </c>
      <c r="F274" s="14">
        <f>data!BJ68</f>
        <v>9806.51</v>
      </c>
      <c r="G274" s="14">
        <f>data!BK68</f>
        <v>16198.28</v>
      </c>
      <c r="H274" s="14">
        <f>data!BL68</f>
        <v>990.14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720</v>
      </c>
      <c r="D275" s="14">
        <f>data!BH69</f>
        <v>7832.67</v>
      </c>
      <c r="E275" s="14">
        <f>data!BI69</f>
        <v>0</v>
      </c>
      <c r="F275" s="14">
        <f>data!BJ69</f>
        <v>6205.91</v>
      </c>
      <c r="G275" s="14">
        <f>data!BK69</f>
        <v>1040.1600000000001</v>
      </c>
      <c r="H275" s="14">
        <f>data!BL69</f>
        <v>579.11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173032.02000000002</v>
      </c>
      <c r="D277" s="14">
        <f>data!BH71</f>
        <v>837831.16</v>
      </c>
      <c r="E277" s="14">
        <f>data!BI71</f>
        <v>0</v>
      </c>
      <c r="F277" s="14">
        <f>data!BJ71</f>
        <v>813664</v>
      </c>
      <c r="G277" s="14">
        <f>data!BK71</f>
        <v>1071765.3299999998</v>
      </c>
      <c r="H277" s="14">
        <f>data!BL71</f>
        <v>279785.10000000003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292</v>
      </c>
      <c r="D284" s="85">
        <f>data!BH76</f>
        <v>652</v>
      </c>
      <c r="E284" s="85">
        <f>data!BI76</f>
        <v>0</v>
      </c>
      <c r="F284" s="85">
        <f>data!BJ76</f>
        <v>615</v>
      </c>
      <c r="G284" s="85">
        <f>data!BK76</f>
        <v>1753</v>
      </c>
      <c r="H284" s="85">
        <f>data!BL76</f>
        <v>252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Mid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4.43</v>
      </c>
      <c r="D298" s="26">
        <f>data!BO60</f>
        <v>3.25</v>
      </c>
      <c r="E298" s="26">
        <f>data!BP60</f>
        <v>0</v>
      </c>
      <c r="F298" s="26">
        <f>data!BQ60</f>
        <v>0</v>
      </c>
      <c r="G298" s="26">
        <f>data!BR60</f>
        <v>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681121.22</v>
      </c>
      <c r="D299" s="14">
        <f>data!BO61</f>
        <v>192645.28</v>
      </c>
      <c r="E299" s="14">
        <f>data!BP61</f>
        <v>0</v>
      </c>
      <c r="F299" s="14">
        <f>data!BQ61</f>
        <v>0</v>
      </c>
      <c r="G299" s="14">
        <f>data!BR61</f>
        <v>192801.18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131270</v>
      </c>
      <c r="D300" s="14">
        <f>data!BO62</f>
        <v>52513</v>
      </c>
      <c r="E300" s="14">
        <f>data!BP62</f>
        <v>0</v>
      </c>
      <c r="F300" s="14">
        <f>data!BQ62</f>
        <v>0</v>
      </c>
      <c r="G300" s="14">
        <f>data!BR62</f>
        <v>46091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27498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7524.8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4021.91</v>
      </c>
      <c r="D302" s="14">
        <f>data!BO64</f>
        <v>19503.62</v>
      </c>
      <c r="E302" s="14">
        <f>data!BP64</f>
        <v>0</v>
      </c>
      <c r="F302" s="14">
        <f>data!BQ64</f>
        <v>0</v>
      </c>
      <c r="G302" s="14">
        <f>data!BR64</f>
        <v>1120.9000000000001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105.06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129114.41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10663.44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8807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3565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6820.85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79114.12</v>
      </c>
      <c r="D307" s="14">
        <f>data!BO69</f>
        <v>1192.76</v>
      </c>
      <c r="E307" s="14">
        <f>data!BP69</f>
        <v>0</v>
      </c>
      <c r="F307" s="14">
        <f>data!BQ69</f>
        <v>0</v>
      </c>
      <c r="G307" s="14">
        <f>data!BR69</f>
        <v>55356.07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1067872.57</v>
      </c>
      <c r="D309" s="14">
        <f>data!BO71</f>
        <v>265854.66000000003</v>
      </c>
      <c r="E309" s="14">
        <f>data!BP71</f>
        <v>0</v>
      </c>
      <c r="F309" s="14">
        <f>data!BQ71</f>
        <v>0</v>
      </c>
      <c r="G309" s="14">
        <f>data!BR71</f>
        <v>317122.38999999996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323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Mid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7.91</v>
      </c>
      <c r="E330" s="26">
        <f>data!BW60</f>
        <v>0</v>
      </c>
      <c r="F330" s="26">
        <f>data!BX60</f>
        <v>1.0900000000000001</v>
      </c>
      <c r="G330" s="26">
        <f>data!BY60</f>
        <v>2.2200000000000002</v>
      </c>
      <c r="H330" s="26">
        <f>data!BZ60</f>
        <v>0</v>
      </c>
      <c r="I330" s="26">
        <f>data!CA60</f>
        <v>0.01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403708.81</v>
      </c>
      <c r="E331" s="86">
        <f>data!BW61</f>
        <v>0</v>
      </c>
      <c r="F331" s="86">
        <f>data!BX61</f>
        <v>85654.6</v>
      </c>
      <c r="G331" s="86">
        <f>data!BY61</f>
        <v>261757.27</v>
      </c>
      <c r="H331" s="86">
        <f>data!BZ61</f>
        <v>0</v>
      </c>
      <c r="I331" s="86">
        <f>data!CA61</f>
        <v>1102.97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132073</v>
      </c>
      <c r="E332" s="86">
        <f>data!BW62</f>
        <v>0</v>
      </c>
      <c r="F332" s="86">
        <f>data!BX62</f>
        <v>21918</v>
      </c>
      <c r="G332" s="86">
        <f>data!BY62</f>
        <v>57773</v>
      </c>
      <c r="H332" s="86">
        <f>data!BZ62</f>
        <v>0</v>
      </c>
      <c r="I332" s="86">
        <f>data!CA62</f>
        <v>229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1250.22</v>
      </c>
      <c r="E334" s="86">
        <f>data!BW64</f>
        <v>0</v>
      </c>
      <c r="F334" s="86">
        <f>data!BX64</f>
        <v>215.49</v>
      </c>
      <c r="G334" s="86">
        <f>data!BY64</f>
        <v>249.98</v>
      </c>
      <c r="H334" s="86">
        <f>data!BZ64</f>
        <v>0</v>
      </c>
      <c r="I334" s="86">
        <f>data!CA64</f>
        <v>20407.98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56478.080000000002</v>
      </c>
      <c r="E336" s="86">
        <f>data!BW66</f>
        <v>0</v>
      </c>
      <c r="F336" s="86">
        <f>data!BX66</f>
        <v>1509.6</v>
      </c>
      <c r="G336" s="86">
        <f>data!BY66</f>
        <v>1077.45</v>
      </c>
      <c r="H336" s="86">
        <f>data!BZ66</f>
        <v>0</v>
      </c>
      <c r="I336" s="86">
        <f>data!CA66</f>
        <v>44678.81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16789</v>
      </c>
      <c r="E337" s="86">
        <f>data!BW67</f>
        <v>0</v>
      </c>
      <c r="F337" s="86">
        <f>data!BX67</f>
        <v>0</v>
      </c>
      <c r="G337" s="86">
        <f>data!BY67</f>
        <v>4834</v>
      </c>
      <c r="H337" s="86">
        <f>data!BZ67</f>
        <v>0</v>
      </c>
      <c r="I337" s="86">
        <f>data!CA67</f>
        <v>35347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1543.6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201.41</v>
      </c>
      <c r="E339" s="86">
        <f>data!BW69</f>
        <v>0</v>
      </c>
      <c r="F339" s="86">
        <f>data!BX69</f>
        <v>4729.83</v>
      </c>
      <c r="G339" s="86">
        <f>data!BY69</f>
        <v>-112.53</v>
      </c>
      <c r="H339" s="86">
        <f>data!BZ69</f>
        <v>0</v>
      </c>
      <c r="I339" s="86">
        <f>data!CA69</f>
        <v>4803.6400000000003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-10293.629999999999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-1325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601750.49</v>
      </c>
      <c r="E341" s="14">
        <f>data!BW71</f>
        <v>0</v>
      </c>
      <c r="F341" s="14">
        <f>data!BX71</f>
        <v>114027.52000000002</v>
      </c>
      <c r="G341" s="14">
        <f>data!BY71</f>
        <v>325579.17</v>
      </c>
      <c r="H341" s="14">
        <f>data!BZ71</f>
        <v>0</v>
      </c>
      <c r="I341" s="14">
        <f>data!CA71</f>
        <v>105244.4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1508</v>
      </c>
      <c r="E348" s="85">
        <f>data!BW76</f>
        <v>0</v>
      </c>
      <c r="F348" s="85">
        <f>data!BX76</f>
        <v>0</v>
      </c>
      <c r="G348" s="85">
        <f>data!BY76</f>
        <v>438</v>
      </c>
      <c r="H348" s="85">
        <f>data!BZ76</f>
        <v>0</v>
      </c>
      <c r="I348" s="85">
        <f>data!CA76</f>
        <v>2838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Mid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0.09</v>
      </c>
      <c r="E362" s="217"/>
      <c r="F362" s="211"/>
      <c r="G362" s="211"/>
      <c r="H362" s="211"/>
      <c r="I362" s="87">
        <f>data!CE60</f>
        <v>217.84200000000001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24411.43</v>
      </c>
      <c r="E363" s="218"/>
      <c r="F363" s="219"/>
      <c r="G363" s="219"/>
      <c r="H363" s="219"/>
      <c r="I363" s="86">
        <f>data!CE61</f>
        <v>18053147.889999997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2098</v>
      </c>
      <c r="E364" s="218"/>
      <c r="F364" s="219"/>
      <c r="G364" s="219"/>
      <c r="H364" s="219"/>
      <c r="I364" s="86">
        <f>data!CE62</f>
        <v>4216382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5337530.0599999996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5745148.8300000001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472682.81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2655962.1200000006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2121449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268381.41000000003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689591.61</v>
      </c>
      <c r="F371" s="219"/>
      <c r="G371" s="219"/>
      <c r="H371" s="219"/>
      <c r="I371" s="86">
        <f>data!CE69</f>
        <v>1158671.6499999999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219977.2</v>
      </c>
      <c r="F372" s="220"/>
      <c r="G372" s="220"/>
      <c r="H372" s="220"/>
      <c r="I372" s="14">
        <f>-data!CE70</f>
        <v>-817589.73300000001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26509.43</v>
      </c>
      <c r="E373" s="86">
        <f>data!CD71</f>
        <v>469614.41</v>
      </c>
      <c r="F373" s="219"/>
      <c r="G373" s="219"/>
      <c r="H373" s="219"/>
      <c r="I373" s="14">
        <f>data!CE71</f>
        <v>39211766.036999986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-1080075.01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13501349.460000001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71967613.849999994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85468963.310000002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82579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10306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18668.63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188123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44.25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2022-06-30T23:11:26Z</cp:lastPrinted>
  <dcterms:created xsi:type="dcterms:W3CDTF">1999-06-02T22:01:56Z</dcterms:created>
  <dcterms:modified xsi:type="dcterms:W3CDTF">2022-07-05T16:45:46Z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2022-07-05T16:44:29Z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98dc539d-fb0d-414e-bd0c-e2fe92689c5c</vt:lpwstr>
  </property>
  <property fmtid="{D5CDD505-2E9C-101B-9397-08002B2CF9AE}" pid="8" name="MSIP_Label_1520fa42-cf58-4c22-8b93-58cf1d3bd1cb_ContentBits">
    <vt:lpwstr>0</vt:lpwstr>
  </property>
</Properties>
</file>