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C121B3C0-FFAD-42F9-B308-255DB921658A}" xr6:coauthVersionLast="45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>data!$A$732:$W$813</definedName>
    <definedName name="Edit" localSheetId="9">'Prior Year'!$A$410:$E$477</definedName>
    <definedName name="Edit">data!$A$411:$E$478</definedName>
    <definedName name="Funds">data!$A$728:$CF$730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0" i="1" l="1"/>
  <c r="C140" i="1"/>
  <c r="B140" i="1"/>
  <c r="C379" i="1" l="1"/>
  <c r="C392" i="1"/>
  <c r="C203" i="1" l="1"/>
  <c r="CC64" i="1" l="1"/>
  <c r="AV74" i="1" l="1"/>
  <c r="AV73" i="1"/>
  <c r="BH78" i="1" l="1"/>
  <c r="C615" i="10" l="1"/>
  <c r="I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F535" i="10" s="1"/>
  <c r="E534" i="10"/>
  <c r="D534" i="10"/>
  <c r="B534" i="10"/>
  <c r="H534" i="10" s="1"/>
  <c r="H533" i="10"/>
  <c r="E533" i="10"/>
  <c r="D533" i="10"/>
  <c r="B533" i="10"/>
  <c r="F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H529" i="10"/>
  <c r="E529" i="10"/>
  <c r="D529" i="10"/>
  <c r="B529" i="10"/>
  <c r="F529" i="10" s="1"/>
  <c r="E528" i="10"/>
  <c r="D528" i="10"/>
  <c r="B528" i="10"/>
  <c r="F528" i="10" s="1"/>
  <c r="E527" i="10"/>
  <c r="D527" i="10"/>
  <c r="B527" i="10"/>
  <c r="F527" i="10" s="1"/>
  <c r="E526" i="10"/>
  <c r="D526" i="10"/>
  <c r="B526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B521" i="10"/>
  <c r="E520" i="10"/>
  <c r="D520" i="10"/>
  <c r="B520" i="10"/>
  <c r="F520" i="10" s="1"/>
  <c r="H519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E515" i="10"/>
  <c r="D515" i="10"/>
  <c r="B515" i="10"/>
  <c r="F515" i="10" s="1"/>
  <c r="E514" i="10"/>
  <c r="D514" i="10"/>
  <c r="B514" i="10"/>
  <c r="F514" i="10" s="1"/>
  <c r="B513" i="10"/>
  <c r="H513" i="10" s="1"/>
  <c r="B512" i="10"/>
  <c r="F512" i="10" s="1"/>
  <c r="E511" i="10"/>
  <c r="D511" i="10"/>
  <c r="B511" i="10"/>
  <c r="F511" i="10" s="1"/>
  <c r="E510" i="10"/>
  <c r="D510" i="10"/>
  <c r="B510" i="10"/>
  <c r="F510" i="10" s="1"/>
  <c r="E509" i="10"/>
  <c r="D509" i="10"/>
  <c r="B509" i="10"/>
  <c r="F509" i="10" s="1"/>
  <c r="E508" i="10"/>
  <c r="D508" i="10"/>
  <c r="B508" i="10"/>
  <c r="E507" i="10"/>
  <c r="D507" i="10"/>
  <c r="B507" i="10"/>
  <c r="F507" i="10" s="1"/>
  <c r="H506" i="10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F501" i="10" s="1"/>
  <c r="E500" i="10"/>
  <c r="D500" i="10"/>
  <c r="B500" i="10"/>
  <c r="H500" i="10" s="1"/>
  <c r="H499" i="10"/>
  <c r="E499" i="10"/>
  <c r="D499" i="10"/>
  <c r="B499" i="10"/>
  <c r="F499" i="10" s="1"/>
  <c r="D498" i="10"/>
  <c r="B498" i="10"/>
  <c r="E497" i="10"/>
  <c r="D497" i="10"/>
  <c r="B497" i="10"/>
  <c r="F497" i="10" s="1"/>
  <c r="F496" i="10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30" i="10"/>
  <c r="D329" i="10"/>
  <c r="D328" i="10"/>
  <c r="D319" i="10"/>
  <c r="D314" i="10"/>
  <c r="D339" i="10" s="1"/>
  <c r="C482" i="10" s="1"/>
  <c r="D290" i="10"/>
  <c r="D283" i="10"/>
  <c r="D277" i="10"/>
  <c r="D292" i="10" s="1"/>
  <c r="D341" i="10" s="1"/>
  <c r="C481" i="10" s="1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D463" i="10" s="1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CE77" i="10"/>
  <c r="CF76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BZ67" i="10"/>
  <c r="BJ67" i="10"/>
  <c r="AW67" i="10"/>
  <c r="AO67" i="10"/>
  <c r="AH67" i="10"/>
  <c r="AD67" i="10"/>
  <c r="Z67" i="10"/>
  <c r="V67" i="10"/>
  <c r="R67" i="10"/>
  <c r="N67" i="10"/>
  <c r="J67" i="10"/>
  <c r="F67" i="10"/>
  <c r="CE66" i="10"/>
  <c r="C432" i="10" s="1"/>
  <c r="CE65" i="10"/>
  <c r="C431" i="10" s="1"/>
  <c r="CE64" i="10"/>
  <c r="CC64" i="10"/>
  <c r="CE63" i="10"/>
  <c r="C429" i="10" s="1"/>
  <c r="CE61" i="10"/>
  <c r="BY48" i="10" s="1"/>
  <c r="BY62" i="10" s="1"/>
  <c r="BY71" i="10" s="1"/>
  <c r="CE60" i="10"/>
  <c r="H612" i="10" s="1"/>
  <c r="E59" i="10"/>
  <c r="B53" i="10"/>
  <c r="CC52" i="10"/>
  <c r="CC67" i="10" s="1"/>
  <c r="CB52" i="10"/>
  <c r="CB67" i="10" s="1"/>
  <c r="CA52" i="10"/>
  <c r="CA67" i="10" s="1"/>
  <c r="BZ52" i="10"/>
  <c r="BY52" i="10"/>
  <c r="BY67" i="10" s="1"/>
  <c r="BX52" i="10"/>
  <c r="BX67" i="10" s="1"/>
  <c r="BW52" i="10"/>
  <c r="BW67" i="10" s="1"/>
  <c r="BV52" i="10"/>
  <c r="BV67" i="10" s="1"/>
  <c r="BU52" i="10"/>
  <c r="BU67" i="10" s="1"/>
  <c r="BT52" i="10"/>
  <c r="BT67" i="10" s="1"/>
  <c r="BS52" i="10"/>
  <c r="BS67" i="10" s="1"/>
  <c r="BR52" i="10"/>
  <c r="BR67" i="10" s="1"/>
  <c r="BQ52" i="10"/>
  <c r="BQ67" i="10" s="1"/>
  <c r="BP52" i="10"/>
  <c r="BP67" i="10" s="1"/>
  <c r="BO52" i="10"/>
  <c r="BO67" i="10" s="1"/>
  <c r="BN52" i="10"/>
  <c r="BN67" i="10" s="1"/>
  <c r="BM52" i="10"/>
  <c r="BM67" i="10" s="1"/>
  <c r="BL52" i="10"/>
  <c r="BL67" i="10" s="1"/>
  <c r="BK52" i="10"/>
  <c r="BK67" i="10" s="1"/>
  <c r="BJ52" i="10"/>
  <c r="BI52" i="10"/>
  <c r="BI67" i="10" s="1"/>
  <c r="BH52" i="10"/>
  <c r="BH67" i="10" s="1"/>
  <c r="BG52" i="10"/>
  <c r="BG67" i="10" s="1"/>
  <c r="BF52" i="10"/>
  <c r="BF67" i="10" s="1"/>
  <c r="BE52" i="10"/>
  <c r="BE67" i="10" s="1"/>
  <c r="BD52" i="10"/>
  <c r="BD67" i="10" s="1"/>
  <c r="BC52" i="10"/>
  <c r="BC67" i="10" s="1"/>
  <c r="BB52" i="10"/>
  <c r="BB67" i="10" s="1"/>
  <c r="BA52" i="10"/>
  <c r="BA67" i="10" s="1"/>
  <c r="AZ52" i="10"/>
  <c r="AZ67" i="10" s="1"/>
  <c r="AY52" i="10"/>
  <c r="AY67" i="10" s="1"/>
  <c r="AX52" i="10"/>
  <c r="AX67" i="10" s="1"/>
  <c r="AW52" i="10"/>
  <c r="AV52" i="10"/>
  <c r="AV67" i="10" s="1"/>
  <c r="AU52" i="10"/>
  <c r="AU67" i="10" s="1"/>
  <c r="AT52" i="10"/>
  <c r="AT67" i="10" s="1"/>
  <c r="AS52" i="10"/>
  <c r="AS67" i="10" s="1"/>
  <c r="AR52" i="10"/>
  <c r="AR67" i="10" s="1"/>
  <c r="AQ52" i="10"/>
  <c r="AQ67" i="10" s="1"/>
  <c r="AP52" i="10"/>
  <c r="AP67" i="10" s="1"/>
  <c r="AO52" i="10"/>
  <c r="AN52" i="10"/>
  <c r="AN67" i="10" s="1"/>
  <c r="AM52" i="10"/>
  <c r="AM67" i="10" s="1"/>
  <c r="AL52" i="10"/>
  <c r="AL67" i="10" s="1"/>
  <c r="AK52" i="10"/>
  <c r="AK67" i="10" s="1"/>
  <c r="AJ52" i="10"/>
  <c r="AJ67" i="10" s="1"/>
  <c r="AI52" i="10"/>
  <c r="AI67" i="10" s="1"/>
  <c r="AH52" i="10"/>
  <c r="AG52" i="10"/>
  <c r="AG67" i="10" s="1"/>
  <c r="AF52" i="10"/>
  <c r="AF67" i="10" s="1"/>
  <c r="AE52" i="10"/>
  <c r="AE67" i="10" s="1"/>
  <c r="AD52" i="10"/>
  <c r="AC52" i="10"/>
  <c r="AC67" i="10" s="1"/>
  <c r="AB52" i="10"/>
  <c r="AB67" i="10" s="1"/>
  <c r="AA52" i="10"/>
  <c r="AA67" i="10" s="1"/>
  <c r="Z52" i="10"/>
  <c r="Y52" i="10"/>
  <c r="Y67" i="10" s="1"/>
  <c r="X52" i="10"/>
  <c r="X67" i="10" s="1"/>
  <c r="W52" i="10"/>
  <c r="W67" i="10" s="1"/>
  <c r="V52" i="10"/>
  <c r="U52" i="10"/>
  <c r="U67" i="10" s="1"/>
  <c r="T52" i="10"/>
  <c r="T67" i="10" s="1"/>
  <c r="S52" i="10"/>
  <c r="S67" i="10" s="1"/>
  <c r="R52" i="10"/>
  <c r="Q52" i="10"/>
  <c r="Q67" i="10" s="1"/>
  <c r="P52" i="10"/>
  <c r="P67" i="10" s="1"/>
  <c r="O52" i="10"/>
  <c r="O67" i="10" s="1"/>
  <c r="N52" i="10"/>
  <c r="M52" i="10"/>
  <c r="M67" i="10" s="1"/>
  <c r="L52" i="10"/>
  <c r="L67" i="10" s="1"/>
  <c r="K52" i="10"/>
  <c r="K67" i="10" s="1"/>
  <c r="J52" i="10"/>
  <c r="I52" i="10"/>
  <c r="I67" i="10" s="1"/>
  <c r="H52" i="10"/>
  <c r="H67" i="10" s="1"/>
  <c r="G52" i="10"/>
  <c r="G67" i="10" s="1"/>
  <c r="F52" i="10"/>
  <c r="E52" i="10"/>
  <c r="E67" i="10" s="1"/>
  <c r="D52" i="10"/>
  <c r="D67" i="10" s="1"/>
  <c r="C52" i="10"/>
  <c r="CE52" i="10" s="1"/>
  <c r="CE51" i="10"/>
  <c r="B49" i="10"/>
  <c r="BB48" i="10"/>
  <c r="BB62" i="10" s="1"/>
  <c r="BB71" i="10" s="1"/>
  <c r="AT48" i="10"/>
  <c r="AT62" i="10" s="1"/>
  <c r="AT71" i="10" s="1"/>
  <c r="AL48" i="10"/>
  <c r="AL62" i="10" s="1"/>
  <c r="AL71" i="10" s="1"/>
  <c r="AA48" i="10"/>
  <c r="AA62" i="10" s="1"/>
  <c r="X48" i="10"/>
  <c r="X62" i="10" s="1"/>
  <c r="X71" i="10" s="1"/>
  <c r="W48" i="10"/>
  <c r="W62" i="10" s="1"/>
  <c r="V48" i="10"/>
  <c r="V62" i="10" s="1"/>
  <c r="V71" i="10" s="1"/>
  <c r="U48" i="10"/>
  <c r="U62" i="10" s="1"/>
  <c r="T48" i="10"/>
  <c r="T62" i="10" s="1"/>
  <c r="T71" i="10" s="1"/>
  <c r="S48" i="10"/>
  <c r="S62" i="10" s="1"/>
  <c r="S71" i="10" s="1"/>
  <c r="R48" i="10"/>
  <c r="R62" i="10" s="1"/>
  <c r="R71" i="10" s="1"/>
  <c r="Q48" i="10"/>
  <c r="Q62" i="10" s="1"/>
  <c r="P48" i="10"/>
  <c r="P62" i="10" s="1"/>
  <c r="P71" i="10" s="1"/>
  <c r="O48" i="10"/>
  <c r="O62" i="10" s="1"/>
  <c r="N48" i="10"/>
  <c r="N62" i="10" s="1"/>
  <c r="N71" i="10" s="1"/>
  <c r="M48" i="10"/>
  <c r="M62" i="10" s="1"/>
  <c r="L48" i="10"/>
  <c r="L62" i="10" s="1"/>
  <c r="L71" i="10" s="1"/>
  <c r="K48" i="10"/>
  <c r="K62" i="10" s="1"/>
  <c r="J48" i="10"/>
  <c r="J62" i="10" s="1"/>
  <c r="J71" i="10" s="1"/>
  <c r="I48" i="10"/>
  <c r="I62" i="10" s="1"/>
  <c r="H48" i="10"/>
  <c r="H62" i="10" s="1"/>
  <c r="H71" i="10" s="1"/>
  <c r="G48" i="10"/>
  <c r="G62" i="10" s="1"/>
  <c r="F48" i="10"/>
  <c r="F62" i="10" s="1"/>
  <c r="F71" i="10" s="1"/>
  <c r="E48" i="10"/>
  <c r="E62" i="10" s="1"/>
  <c r="D48" i="10"/>
  <c r="D62" i="10" s="1"/>
  <c r="D71" i="10" s="1"/>
  <c r="C48" i="10"/>
  <c r="C62" i="10" s="1"/>
  <c r="C71" i="10" s="1"/>
  <c r="CE47" i="10"/>
  <c r="F504" i="10" l="1"/>
  <c r="H525" i="10"/>
  <c r="H536" i="10"/>
  <c r="H545" i="10"/>
  <c r="H502" i="10"/>
  <c r="F500" i="10"/>
  <c r="F513" i="10"/>
  <c r="H528" i="10"/>
  <c r="F530" i="10"/>
  <c r="H515" i="10"/>
  <c r="H532" i="10"/>
  <c r="F534" i="10"/>
  <c r="H507" i="10"/>
  <c r="F508" i="10"/>
  <c r="F522" i="10"/>
  <c r="H537" i="10"/>
  <c r="AD48" i="10"/>
  <c r="AD62" i="10" s="1"/>
  <c r="AD71" i="10" s="1"/>
  <c r="BJ48" i="10"/>
  <c r="BJ62" i="10" s="1"/>
  <c r="BJ71" i="10" s="1"/>
  <c r="BR48" i="10"/>
  <c r="BR62" i="10" s="1"/>
  <c r="BR71" i="10" s="1"/>
  <c r="BZ48" i="10"/>
  <c r="BZ62" i="10" s="1"/>
  <c r="BZ71" i="10" s="1"/>
  <c r="AE48" i="10"/>
  <c r="AE62" i="10" s="1"/>
  <c r="AM48" i="10"/>
  <c r="AM62" i="10" s="1"/>
  <c r="AM71" i="10" s="1"/>
  <c r="AU48" i="10"/>
  <c r="AU62" i="10" s="1"/>
  <c r="AU71" i="10" s="1"/>
  <c r="BC48" i="10"/>
  <c r="BC62" i="10" s="1"/>
  <c r="BC71" i="10" s="1"/>
  <c r="C633" i="10" s="1"/>
  <c r="BK48" i="10"/>
  <c r="BK62" i="10" s="1"/>
  <c r="BK71" i="10" s="1"/>
  <c r="BS48" i="10"/>
  <c r="BS62" i="10" s="1"/>
  <c r="BS71" i="10" s="1"/>
  <c r="CA48" i="10"/>
  <c r="CA62" i="10" s="1"/>
  <c r="CA71" i="10" s="1"/>
  <c r="AF48" i="10"/>
  <c r="AF62" i="10" s="1"/>
  <c r="AF71" i="10" s="1"/>
  <c r="AN48" i="10"/>
  <c r="AN62" i="10" s="1"/>
  <c r="AN71" i="10" s="1"/>
  <c r="AV48" i="10"/>
  <c r="AV62" i="10" s="1"/>
  <c r="AV71" i="10" s="1"/>
  <c r="BD48" i="10"/>
  <c r="BD62" i="10" s="1"/>
  <c r="BD71" i="10" s="1"/>
  <c r="BL48" i="10"/>
  <c r="BL62" i="10" s="1"/>
  <c r="BL71" i="10" s="1"/>
  <c r="C557" i="10" s="1"/>
  <c r="BT48" i="10"/>
  <c r="BT62" i="10" s="1"/>
  <c r="BT71" i="10" s="1"/>
  <c r="CB48" i="10"/>
  <c r="CB62" i="10" s="1"/>
  <c r="CB71" i="10" s="1"/>
  <c r="Y48" i="10"/>
  <c r="Y62" i="10" s="1"/>
  <c r="Y71" i="10" s="1"/>
  <c r="AG48" i="10"/>
  <c r="AG62" i="10" s="1"/>
  <c r="AG71" i="10" s="1"/>
  <c r="AO48" i="10"/>
  <c r="AO62" i="10" s="1"/>
  <c r="AO71" i="10" s="1"/>
  <c r="AW48" i="10"/>
  <c r="AW62" i="10" s="1"/>
  <c r="AW71" i="10" s="1"/>
  <c r="BE48" i="10"/>
  <c r="BE62" i="10" s="1"/>
  <c r="BE71" i="10" s="1"/>
  <c r="BM48" i="10"/>
  <c r="BM62" i="10" s="1"/>
  <c r="BM71" i="10" s="1"/>
  <c r="C558" i="10" s="1"/>
  <c r="BU48" i="10"/>
  <c r="BU62" i="10" s="1"/>
  <c r="BU71" i="10" s="1"/>
  <c r="CC48" i="10"/>
  <c r="CC62" i="10" s="1"/>
  <c r="CC71" i="10" s="1"/>
  <c r="Z48" i="10"/>
  <c r="Z62" i="10" s="1"/>
  <c r="Z71" i="10" s="1"/>
  <c r="AH48" i="10"/>
  <c r="AH62" i="10" s="1"/>
  <c r="AH71" i="10" s="1"/>
  <c r="AP48" i="10"/>
  <c r="AP62" i="10" s="1"/>
  <c r="AP71" i="10" s="1"/>
  <c r="AX48" i="10"/>
  <c r="AX62" i="10" s="1"/>
  <c r="AX71" i="10" s="1"/>
  <c r="BF48" i="10"/>
  <c r="BF62" i="10" s="1"/>
  <c r="BF71" i="10" s="1"/>
  <c r="BN48" i="10"/>
  <c r="BN62" i="10" s="1"/>
  <c r="BN71" i="10" s="1"/>
  <c r="C559" i="10" s="1"/>
  <c r="BV48" i="10"/>
  <c r="BV62" i="10" s="1"/>
  <c r="AI48" i="10"/>
  <c r="AI62" i="10" s="1"/>
  <c r="AI71" i="10" s="1"/>
  <c r="AQ48" i="10"/>
  <c r="AQ62" i="10" s="1"/>
  <c r="AQ71" i="10" s="1"/>
  <c r="AY48" i="10"/>
  <c r="AY62" i="10" s="1"/>
  <c r="AY71" i="10" s="1"/>
  <c r="BG48" i="10"/>
  <c r="BG62" i="10" s="1"/>
  <c r="BG71" i="10" s="1"/>
  <c r="BO48" i="10"/>
  <c r="BO62" i="10" s="1"/>
  <c r="BO71" i="10" s="1"/>
  <c r="BW48" i="10"/>
  <c r="BW62" i="10" s="1"/>
  <c r="BW71" i="10" s="1"/>
  <c r="AB48" i="10"/>
  <c r="AB62" i="10" s="1"/>
  <c r="AB71" i="10" s="1"/>
  <c r="C693" i="10" s="1"/>
  <c r="AJ48" i="10"/>
  <c r="AJ62" i="10" s="1"/>
  <c r="AJ71" i="10" s="1"/>
  <c r="AR48" i="10"/>
  <c r="AR62" i="10" s="1"/>
  <c r="AR71" i="10" s="1"/>
  <c r="AZ48" i="10"/>
  <c r="AZ62" i="10" s="1"/>
  <c r="AZ71" i="10" s="1"/>
  <c r="BH48" i="10"/>
  <c r="BH62" i="10" s="1"/>
  <c r="BH71" i="10" s="1"/>
  <c r="BP48" i="10"/>
  <c r="BP62" i="10" s="1"/>
  <c r="BP71" i="10" s="1"/>
  <c r="BX48" i="10"/>
  <c r="BX62" i="10" s="1"/>
  <c r="BX71" i="10" s="1"/>
  <c r="AC48" i="10"/>
  <c r="AC62" i="10" s="1"/>
  <c r="AC71" i="10" s="1"/>
  <c r="AK48" i="10"/>
  <c r="AK62" i="10" s="1"/>
  <c r="AK71" i="10" s="1"/>
  <c r="C702" i="10" s="1"/>
  <c r="AS48" i="10"/>
  <c r="AS62" i="10" s="1"/>
  <c r="AS71" i="10" s="1"/>
  <c r="BA48" i="10"/>
  <c r="BA62" i="10" s="1"/>
  <c r="BA71" i="10" s="1"/>
  <c r="BI48" i="10"/>
  <c r="BI62" i="10" s="1"/>
  <c r="BI71" i="10" s="1"/>
  <c r="BQ48" i="10"/>
  <c r="BQ62" i="10" s="1"/>
  <c r="BQ71" i="10" s="1"/>
  <c r="C671" i="10"/>
  <c r="C499" i="10"/>
  <c r="G499" i="10" s="1"/>
  <c r="C679" i="10"/>
  <c r="C507" i="10"/>
  <c r="G507" i="10" s="1"/>
  <c r="C691" i="10"/>
  <c r="C519" i="10"/>
  <c r="G519" i="10" s="1"/>
  <c r="C703" i="10"/>
  <c r="C531" i="10"/>
  <c r="G531" i="10" s="1"/>
  <c r="C616" i="10"/>
  <c r="C543" i="10"/>
  <c r="C551" i="10"/>
  <c r="C629" i="10"/>
  <c r="C528" i="10"/>
  <c r="G528" i="10" s="1"/>
  <c r="C700" i="10"/>
  <c r="C627" i="10"/>
  <c r="C560" i="10"/>
  <c r="C673" i="10"/>
  <c r="C501" i="10"/>
  <c r="G501" i="10" s="1"/>
  <c r="C681" i="10"/>
  <c r="C509" i="10"/>
  <c r="G509" i="10" s="1"/>
  <c r="C701" i="10"/>
  <c r="C529" i="10"/>
  <c r="G529" i="10" s="1"/>
  <c r="C705" i="10"/>
  <c r="C533" i="10"/>
  <c r="G533" i="10" s="1"/>
  <c r="C709" i="10"/>
  <c r="C537" i="10"/>
  <c r="G537" i="10" s="1"/>
  <c r="C713" i="10"/>
  <c r="C541" i="10"/>
  <c r="C628" i="10"/>
  <c r="C545" i="10"/>
  <c r="G545" i="10" s="1"/>
  <c r="C549" i="10"/>
  <c r="C624" i="10"/>
  <c r="C553" i="10"/>
  <c r="C636" i="10"/>
  <c r="C561" i="10"/>
  <c r="C621" i="10"/>
  <c r="C565" i="10"/>
  <c r="C640" i="10"/>
  <c r="C644" i="10"/>
  <c r="C569" i="10"/>
  <c r="C622" i="10"/>
  <c r="C573" i="10"/>
  <c r="G71" i="10"/>
  <c r="W71" i="10"/>
  <c r="C704" i="10"/>
  <c r="C532" i="10"/>
  <c r="G532" i="10" s="1"/>
  <c r="C548" i="10"/>
  <c r="C564" i="10"/>
  <c r="C639" i="10"/>
  <c r="C675" i="10"/>
  <c r="C503" i="10"/>
  <c r="C687" i="10"/>
  <c r="C515" i="10"/>
  <c r="G515" i="10" s="1"/>
  <c r="C699" i="10"/>
  <c r="C527" i="10"/>
  <c r="G527" i="10" s="1"/>
  <c r="C711" i="10"/>
  <c r="C539" i="10"/>
  <c r="G539" i="10" s="1"/>
  <c r="C684" i="10"/>
  <c r="C512" i="10"/>
  <c r="C625" i="10"/>
  <c r="C544" i="10"/>
  <c r="G544" i="10" s="1"/>
  <c r="C669" i="10"/>
  <c r="C497" i="10"/>
  <c r="G497" i="10" s="1"/>
  <c r="C677" i="10"/>
  <c r="C505" i="10"/>
  <c r="G505" i="10" s="1"/>
  <c r="C685" i="10"/>
  <c r="C513" i="10"/>
  <c r="G513" i="10" s="1"/>
  <c r="C689" i="10"/>
  <c r="C517" i="10"/>
  <c r="G517" i="10" s="1"/>
  <c r="C697" i="10"/>
  <c r="C525" i="10"/>
  <c r="G525" i="10" s="1"/>
  <c r="E71" i="10"/>
  <c r="I71" i="10"/>
  <c r="M71" i="10"/>
  <c r="Q71" i="10"/>
  <c r="U71" i="10"/>
  <c r="C690" i="10"/>
  <c r="C518" i="10"/>
  <c r="C694" i="10"/>
  <c r="C522" i="10"/>
  <c r="G522" i="10" s="1"/>
  <c r="C698" i="10"/>
  <c r="C526" i="10"/>
  <c r="G526" i="10" s="1"/>
  <c r="C706" i="10"/>
  <c r="C534" i="10"/>
  <c r="G534" i="10" s="1"/>
  <c r="C710" i="10"/>
  <c r="C538" i="10"/>
  <c r="G538" i="10" s="1"/>
  <c r="C631" i="10"/>
  <c r="C542" i="10"/>
  <c r="C546" i="10"/>
  <c r="C630" i="10"/>
  <c r="C550" i="10"/>
  <c r="C614" i="10"/>
  <c r="C634" i="10"/>
  <c r="C554" i="10"/>
  <c r="C623" i="10"/>
  <c r="C562" i="10"/>
  <c r="C641" i="10"/>
  <c r="C566" i="10"/>
  <c r="C645" i="10"/>
  <c r="C570" i="10"/>
  <c r="C620" i="10"/>
  <c r="C574" i="10"/>
  <c r="K71" i="10"/>
  <c r="AA71" i="10"/>
  <c r="C708" i="10"/>
  <c r="C536" i="10"/>
  <c r="G536" i="10" s="1"/>
  <c r="C618" i="10"/>
  <c r="C552" i="10"/>
  <c r="C643" i="10"/>
  <c r="C568" i="10"/>
  <c r="C683" i="10"/>
  <c r="C511" i="10"/>
  <c r="C695" i="10"/>
  <c r="C523" i="10"/>
  <c r="G523" i="10" s="1"/>
  <c r="C707" i="10"/>
  <c r="C535" i="10"/>
  <c r="G535" i="10" s="1"/>
  <c r="C547" i="10"/>
  <c r="C632" i="10"/>
  <c r="C555" i="10"/>
  <c r="C617" i="10"/>
  <c r="C619" i="10"/>
  <c r="C563" i="10"/>
  <c r="C626" i="10"/>
  <c r="BV71" i="10"/>
  <c r="C571" i="10"/>
  <c r="C646" i="10"/>
  <c r="O71" i="10"/>
  <c r="AE71" i="10"/>
  <c r="C712" i="10"/>
  <c r="C540" i="10"/>
  <c r="G540" i="10" s="1"/>
  <c r="C556" i="10"/>
  <c r="C635" i="10"/>
  <c r="C647" i="10"/>
  <c r="C572" i="10"/>
  <c r="E498" i="10"/>
  <c r="D415" i="10"/>
  <c r="C67" i="10"/>
  <c r="CE67" i="10" s="1"/>
  <c r="C433" i="10" s="1"/>
  <c r="CE75" i="10"/>
  <c r="G612" i="10"/>
  <c r="CF77" i="10"/>
  <c r="C427" i="10"/>
  <c r="D435" i="10"/>
  <c r="D438" i="10"/>
  <c r="C430" i="10"/>
  <c r="F612" i="10"/>
  <c r="D242" i="10"/>
  <c r="B448" i="10" s="1"/>
  <c r="F538" i="10"/>
  <c r="D464" i="10"/>
  <c r="D465" i="10" s="1"/>
  <c r="E204" i="10"/>
  <c r="C476" i="10" s="1"/>
  <c r="F498" i="10"/>
  <c r="F516" i="10"/>
  <c r="H522" i="10"/>
  <c r="F526" i="10"/>
  <c r="F550" i="10"/>
  <c r="H497" i="10"/>
  <c r="H501" i="10"/>
  <c r="H505" i="10"/>
  <c r="H509" i="10"/>
  <c r="H517" i="10"/>
  <c r="F521" i="10"/>
  <c r="H523" i="10"/>
  <c r="H527" i="10"/>
  <c r="H531" i="10"/>
  <c r="H539" i="10"/>
  <c r="H544" i="10"/>
  <c r="C530" i="10" l="1"/>
  <c r="G530" i="10" s="1"/>
  <c r="C638" i="10"/>
  <c r="C637" i="10"/>
  <c r="C521" i="10"/>
  <c r="C441" i="10"/>
  <c r="CE62" i="10"/>
  <c r="C428" i="10" s="1"/>
  <c r="CE48" i="10"/>
  <c r="CE71" i="10"/>
  <c r="C716" i="10" s="1"/>
  <c r="G518" i="10"/>
  <c r="H518" i="10" s="1"/>
  <c r="C672" i="10"/>
  <c r="C500" i="10"/>
  <c r="G500" i="10" s="1"/>
  <c r="G550" i="10"/>
  <c r="H550" i="10"/>
  <c r="C502" i="10"/>
  <c r="G502" i="10" s="1"/>
  <c r="C674" i="10"/>
  <c r="C506" i="10"/>
  <c r="G506" i="10" s="1"/>
  <c r="C678" i="10"/>
  <c r="K612" i="10"/>
  <c r="C465" i="10"/>
  <c r="C696" i="10"/>
  <c r="C524" i="10"/>
  <c r="C692" i="10"/>
  <c r="C520" i="10"/>
  <c r="C686" i="10"/>
  <c r="C514" i="10"/>
  <c r="C498" i="10"/>
  <c r="C670" i="10"/>
  <c r="G511" i="10"/>
  <c r="H511" i="10" s="1"/>
  <c r="C648" i="10"/>
  <c r="M716" i="10" s="1"/>
  <c r="D615" i="10"/>
  <c r="H535" i="10"/>
  <c r="H526" i="10"/>
  <c r="C680" i="10"/>
  <c r="C508" i="10"/>
  <c r="C642" i="10"/>
  <c r="C567" i="10"/>
  <c r="C676" i="10"/>
  <c r="C504" i="10"/>
  <c r="G504" i="10" s="1"/>
  <c r="H546" i="10"/>
  <c r="G546" i="10"/>
  <c r="C682" i="10"/>
  <c r="C510" i="10"/>
  <c r="G512" i="10"/>
  <c r="H512" i="10"/>
  <c r="G503" i="10"/>
  <c r="H503" i="10" s="1"/>
  <c r="C688" i="10"/>
  <c r="C516" i="10"/>
  <c r="G521" i="10" l="1"/>
  <c r="H521" i="10"/>
  <c r="G510" i="10"/>
  <c r="H510" i="10" s="1"/>
  <c r="C668" i="10"/>
  <c r="C715" i="10" s="1"/>
  <c r="C496" i="10"/>
  <c r="G524" i="10"/>
  <c r="H524" i="10" s="1"/>
  <c r="G514" i="10"/>
  <c r="H514" i="10" s="1"/>
  <c r="G508" i="10"/>
  <c r="H508" i="10" s="1"/>
  <c r="G516" i="10"/>
  <c r="H516" i="10" s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6" i="10"/>
  <c r="D684" i="10"/>
  <c r="D680" i="10"/>
  <c r="D676" i="10"/>
  <c r="D672" i="10"/>
  <c r="D668" i="10"/>
  <c r="D705" i="10"/>
  <c r="D685" i="10"/>
  <c r="D681" i="10"/>
  <c r="D677" i="10"/>
  <c r="D673" i="10"/>
  <c r="D669" i="10"/>
  <c r="D709" i="10"/>
  <c r="D693" i="10"/>
  <c r="D682" i="10"/>
  <c r="D678" i="10"/>
  <c r="D674" i="10"/>
  <c r="D670" i="10"/>
  <c r="D647" i="10"/>
  <c r="D646" i="10"/>
  <c r="D645" i="10"/>
  <c r="D697" i="10"/>
  <c r="D679" i="10"/>
  <c r="D627" i="10"/>
  <c r="D713" i="10"/>
  <c r="D683" i="10"/>
  <c r="D643" i="10"/>
  <c r="D629" i="10"/>
  <c r="D626" i="10"/>
  <c r="D623" i="10"/>
  <c r="D621" i="10"/>
  <c r="D619" i="10"/>
  <c r="D617" i="10"/>
  <c r="D689" i="10"/>
  <c r="D671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5" i="10"/>
  <c r="D642" i="10"/>
  <c r="D622" i="10"/>
  <c r="D620" i="10"/>
  <c r="D616" i="10"/>
  <c r="D628" i="10"/>
  <c r="D618" i="10"/>
  <c r="D644" i="10"/>
  <c r="G498" i="10"/>
  <c r="H498" i="10" s="1"/>
  <c r="G520" i="10"/>
  <c r="H520" i="10" s="1"/>
  <c r="E612" i="10" l="1"/>
  <c r="D715" i="10"/>
  <c r="E623" i="10"/>
  <c r="G496" i="10"/>
  <c r="H496" i="10" s="1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1" i="10"/>
  <c r="E677" i="10"/>
  <c r="E673" i="10"/>
  <c r="E669" i="10"/>
  <c r="E702" i="10"/>
  <c r="E682" i="10"/>
  <c r="E678" i="10"/>
  <c r="E674" i="10"/>
  <c r="E670" i="10"/>
  <c r="E647" i="10"/>
  <c r="E646" i="10"/>
  <c r="E645" i="10"/>
  <c r="E706" i="10"/>
  <c r="E690" i="10"/>
  <c r="E687" i="10"/>
  <c r="E683" i="10"/>
  <c r="E679" i="10"/>
  <c r="E675" i="10"/>
  <c r="E671" i="10"/>
  <c r="E644" i="10"/>
  <c r="E643" i="10"/>
  <c r="E642" i="10"/>
  <c r="E641" i="10"/>
  <c r="E676" i="10"/>
  <c r="E629" i="10"/>
  <c r="E626" i="10"/>
  <c r="E680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86" i="10"/>
  <c r="E684" i="10"/>
  <c r="E668" i="10"/>
  <c r="E628" i="10"/>
  <c r="E710" i="10"/>
  <c r="E627" i="10"/>
  <c r="E672" i="10"/>
  <c r="E715" i="10" l="1"/>
  <c r="F624" i="10"/>
  <c r="F712" i="10" l="1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8" i="10"/>
  <c r="F682" i="10"/>
  <c r="F678" i="10"/>
  <c r="F674" i="10"/>
  <c r="F670" i="10"/>
  <c r="F647" i="10"/>
  <c r="F646" i="10"/>
  <c r="F645" i="10"/>
  <c r="F716" i="10"/>
  <c r="F699" i="10"/>
  <c r="F687" i="10"/>
  <c r="F683" i="10"/>
  <c r="F679" i="10"/>
  <c r="F675" i="10"/>
  <c r="F671" i="10"/>
  <c r="F644" i="10"/>
  <c r="F643" i="10"/>
  <c r="F642" i="10"/>
  <c r="F641" i="10"/>
  <c r="F703" i="10"/>
  <c r="F684" i="10"/>
  <c r="F680" i="10"/>
  <c r="F676" i="10"/>
  <c r="F672" i="10"/>
  <c r="F668" i="10"/>
  <c r="F691" i="10"/>
  <c r="F673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7" i="10"/>
  <c r="F677" i="10"/>
  <c r="F628" i="10"/>
  <c r="F681" i="10"/>
  <c r="F627" i="10"/>
  <c r="F669" i="10"/>
  <c r="F629" i="10"/>
  <c r="F626" i="10"/>
  <c r="F715" i="10" l="1"/>
  <c r="G625" i="10"/>
  <c r="G713" i="10" l="1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3" i="10"/>
  <c r="G679" i="10"/>
  <c r="G675" i="10"/>
  <c r="G671" i="10"/>
  <c r="G644" i="10"/>
  <c r="G643" i="10"/>
  <c r="G642" i="10"/>
  <c r="G712" i="10"/>
  <c r="G696" i="10"/>
  <c r="G684" i="10"/>
  <c r="G680" i="10"/>
  <c r="G676" i="10"/>
  <c r="G672" i="10"/>
  <c r="G668" i="10"/>
  <c r="G700" i="10"/>
  <c r="G689" i="10"/>
  <c r="G681" i="10"/>
  <c r="G677" i="10"/>
  <c r="G673" i="10"/>
  <c r="G669" i="10"/>
  <c r="G670" i="10"/>
  <c r="G647" i="10"/>
  <c r="G645" i="10"/>
  <c r="G628" i="10"/>
  <c r="H628" i="10" s="1"/>
  <c r="G674" i="10"/>
  <c r="G641" i="10"/>
  <c r="G627" i="10"/>
  <c r="G678" i="10"/>
  <c r="G646" i="10"/>
  <c r="G629" i="10"/>
  <c r="G626" i="10"/>
  <c r="G688" i="10"/>
  <c r="G639" i="10"/>
  <c r="G637" i="10"/>
  <c r="G635" i="10"/>
  <c r="G633" i="10"/>
  <c r="G631" i="10"/>
  <c r="G682" i="10"/>
  <c r="G704" i="10"/>
  <c r="G640" i="10"/>
  <c r="G638" i="10"/>
  <c r="G636" i="10"/>
  <c r="G634" i="10"/>
  <c r="G632" i="10"/>
  <c r="G630" i="10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4" i="10"/>
  <c r="H680" i="10"/>
  <c r="H676" i="10"/>
  <c r="H672" i="10"/>
  <c r="H668" i="10"/>
  <c r="H709" i="10"/>
  <c r="H693" i="10"/>
  <c r="H689" i="10"/>
  <c r="H681" i="10"/>
  <c r="H677" i="10"/>
  <c r="H673" i="10"/>
  <c r="H669" i="10"/>
  <c r="H713" i="10"/>
  <c r="H697" i="10"/>
  <c r="H686" i="10"/>
  <c r="H682" i="10"/>
  <c r="H678" i="10"/>
  <c r="H674" i="10"/>
  <c r="H670" i="10"/>
  <c r="H647" i="10"/>
  <c r="H646" i="10"/>
  <c r="H645" i="10"/>
  <c r="H683" i="10"/>
  <c r="H643" i="10"/>
  <c r="H641" i="10"/>
  <c r="H701" i="10"/>
  <c r="H671" i="10"/>
  <c r="H629" i="10"/>
  <c r="H675" i="10"/>
  <c r="H644" i="10"/>
  <c r="H642" i="10"/>
  <c r="H640" i="10"/>
  <c r="H639" i="10"/>
  <c r="H638" i="10"/>
  <c r="H637" i="10"/>
  <c r="H636" i="10"/>
  <c r="H635" i="10"/>
  <c r="H634" i="10"/>
  <c r="H633" i="10"/>
  <c r="H632" i="10"/>
  <c r="H631" i="10"/>
  <c r="H630" i="10"/>
  <c r="H685" i="10"/>
  <c r="H679" i="10"/>
  <c r="G715" i="10"/>
  <c r="H715" i="10" l="1"/>
  <c r="I629" i="10"/>
  <c r="I716" i="10" l="1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7" i="10"/>
  <c r="I681" i="10"/>
  <c r="I677" i="10"/>
  <c r="I673" i="10"/>
  <c r="I669" i="10"/>
  <c r="I706" i="10"/>
  <c r="I690" i="10"/>
  <c r="I686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43" i="10"/>
  <c r="I642" i="10"/>
  <c r="I641" i="10"/>
  <c r="I680" i="10"/>
  <c r="I684" i="10"/>
  <c r="I668" i="10"/>
  <c r="I640" i="10"/>
  <c r="I639" i="10"/>
  <c r="I638" i="10"/>
  <c r="I637" i="10"/>
  <c r="I636" i="10"/>
  <c r="I635" i="10"/>
  <c r="I634" i="10"/>
  <c r="I633" i="10"/>
  <c r="I632" i="10"/>
  <c r="I631" i="10"/>
  <c r="I630" i="10"/>
  <c r="I672" i="10"/>
  <c r="I676" i="10"/>
  <c r="I698" i="10"/>
  <c r="I715" i="10" l="1"/>
  <c r="J630" i="10"/>
  <c r="J712" i="10" l="1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645" i="10"/>
  <c r="J703" i="10"/>
  <c r="J683" i="10"/>
  <c r="J679" i="10"/>
  <c r="J675" i="10"/>
  <c r="J671" i="10"/>
  <c r="J644" i="10"/>
  <c r="J643" i="10"/>
  <c r="J642" i="10"/>
  <c r="J641" i="10"/>
  <c r="J707" i="10"/>
  <c r="J691" i="10"/>
  <c r="J688" i="10"/>
  <c r="J684" i="10"/>
  <c r="J680" i="10"/>
  <c r="J676" i="10"/>
  <c r="J672" i="10"/>
  <c r="J668" i="10"/>
  <c r="J687" i="10"/>
  <c r="J677" i="10"/>
  <c r="J640" i="10"/>
  <c r="J639" i="10"/>
  <c r="J638" i="10"/>
  <c r="J637" i="10"/>
  <c r="J636" i="10"/>
  <c r="J635" i="10"/>
  <c r="J634" i="10"/>
  <c r="J633" i="10"/>
  <c r="J632" i="10"/>
  <c r="J631" i="10"/>
  <c r="J695" i="10"/>
  <c r="J681" i="10"/>
  <c r="J711" i="10"/>
  <c r="J669" i="10"/>
  <c r="J673" i="10"/>
  <c r="L647" i="10" l="1"/>
  <c r="L716" i="10" s="1"/>
  <c r="K644" i="10"/>
  <c r="K693" i="10" s="1"/>
  <c r="J715" i="10"/>
  <c r="L702" i="10"/>
  <c r="L698" i="10"/>
  <c r="L694" i="10"/>
  <c r="L690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6" i="10"/>
  <c r="L684" i="10"/>
  <c r="L680" i="10"/>
  <c r="L676" i="10"/>
  <c r="L672" i="10"/>
  <c r="L668" i="10"/>
  <c r="L713" i="10"/>
  <c r="L697" i="10"/>
  <c r="L685" i="10"/>
  <c r="L681" i="10"/>
  <c r="L677" i="10"/>
  <c r="L673" i="10"/>
  <c r="L669" i="10"/>
  <c r="L701" i="10"/>
  <c r="L682" i="10"/>
  <c r="L678" i="10"/>
  <c r="L674" i="10"/>
  <c r="L670" i="10"/>
  <c r="L671" i="10"/>
  <c r="L689" i="10"/>
  <c r="L675" i="10"/>
  <c r="L705" i="10"/>
  <c r="L679" i="10"/>
  <c r="L683" i="10"/>
  <c r="L706" i="10" l="1"/>
  <c r="L710" i="10"/>
  <c r="K674" i="10"/>
  <c r="M674" i="10" s="1"/>
  <c r="K711" i="10"/>
  <c r="M711" i="10" s="1"/>
  <c r="K686" i="10"/>
  <c r="M686" i="10" s="1"/>
  <c r="K687" i="10"/>
  <c r="M687" i="10" s="1"/>
  <c r="K685" i="10"/>
  <c r="K710" i="10"/>
  <c r="M710" i="10" s="1"/>
  <c r="K677" i="10"/>
  <c r="M677" i="10" s="1"/>
  <c r="K668" i="10"/>
  <c r="K697" i="10"/>
  <c r="K682" i="10"/>
  <c r="M682" i="10" s="1"/>
  <c r="K684" i="10"/>
  <c r="K700" i="10"/>
  <c r="M700" i="10" s="1"/>
  <c r="M685" i="10"/>
  <c r="K692" i="10"/>
  <c r="M692" i="10" s="1"/>
  <c r="K675" i="10"/>
  <c r="M675" i="10" s="1"/>
  <c r="K696" i="10"/>
  <c r="M696" i="10" s="1"/>
  <c r="K678" i="10"/>
  <c r="M678" i="10" s="1"/>
  <c r="K704" i="10"/>
  <c r="M704" i="10" s="1"/>
  <c r="K671" i="10"/>
  <c r="M671" i="10" s="1"/>
  <c r="K691" i="10"/>
  <c r="M691" i="10" s="1"/>
  <c r="K690" i="10"/>
  <c r="M690" i="10" s="1"/>
  <c r="K701" i="10"/>
  <c r="M701" i="10" s="1"/>
  <c r="K695" i="10"/>
  <c r="K694" i="10"/>
  <c r="M694" i="10" s="1"/>
  <c r="K705" i="10"/>
  <c r="M705" i="10" s="1"/>
  <c r="K708" i="10"/>
  <c r="M708" i="10" s="1"/>
  <c r="K672" i="10"/>
  <c r="M672" i="10" s="1"/>
  <c r="K679" i="10"/>
  <c r="M679" i="10" s="1"/>
  <c r="K699" i="10"/>
  <c r="M699" i="10" s="1"/>
  <c r="K698" i="10"/>
  <c r="M698" i="10" s="1"/>
  <c r="K709" i="10"/>
  <c r="M709" i="10" s="1"/>
  <c r="K669" i="10"/>
  <c r="K676" i="10"/>
  <c r="M676" i="10" s="1"/>
  <c r="K683" i="10"/>
  <c r="M683" i="10" s="1"/>
  <c r="K703" i="10"/>
  <c r="M703" i="10" s="1"/>
  <c r="K702" i="10"/>
  <c r="M702" i="10" s="1"/>
  <c r="K713" i="10"/>
  <c r="M713" i="10" s="1"/>
  <c r="M695" i="10"/>
  <c r="K673" i="10"/>
  <c r="M673" i="10" s="1"/>
  <c r="K680" i="10"/>
  <c r="M680" i="10" s="1"/>
  <c r="K689" i="10"/>
  <c r="M689" i="10" s="1"/>
  <c r="K707" i="10"/>
  <c r="M707" i="10" s="1"/>
  <c r="K706" i="10"/>
  <c r="M697" i="10"/>
  <c r="M693" i="10"/>
  <c r="K670" i="10"/>
  <c r="M670" i="10" s="1"/>
  <c r="K681" i="10"/>
  <c r="M681" i="10" s="1"/>
  <c r="K688" i="10"/>
  <c r="M688" i="10" s="1"/>
  <c r="K712" i="10"/>
  <c r="M712" i="10" s="1"/>
  <c r="K716" i="10"/>
  <c r="L715" i="10"/>
  <c r="M668" i="10"/>
  <c r="M684" i="10"/>
  <c r="M706" i="10" l="1"/>
  <c r="K715" i="10"/>
  <c r="M669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3" i="1"/>
  <c r="N747" i="1"/>
  <c r="C16" i="8"/>
  <c r="F12" i="6"/>
  <c r="C469" i="1"/>
  <c r="F8" i="6"/>
  <c r="I377" i="9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AU48" i="1"/>
  <c r="AU62" i="1" s="1"/>
  <c r="O48" i="1"/>
  <c r="O62" i="1" s="1"/>
  <c r="BI48" i="1"/>
  <c r="BI62" i="1" s="1"/>
  <c r="E268" i="9" s="1"/>
  <c r="CD722" i="1"/>
  <c r="CD71" i="1"/>
  <c r="BA48" i="1"/>
  <c r="BA62" i="1" s="1"/>
  <c r="E48" i="1"/>
  <c r="E62" i="1" s="1"/>
  <c r="BU48" i="1"/>
  <c r="BU62" i="1" s="1"/>
  <c r="AO48" i="1"/>
  <c r="AO62" i="1" s="1"/>
  <c r="I48" i="1"/>
  <c r="I62" i="1" s="1"/>
  <c r="CC48" i="1"/>
  <c r="CC62" i="1" s="1"/>
  <c r="E812" i="1" s="1"/>
  <c r="AY48" i="1"/>
  <c r="AY62" i="1" s="1"/>
  <c r="E782" i="1" s="1"/>
  <c r="AI48" i="1"/>
  <c r="AI62" i="1" s="1"/>
  <c r="E766" i="1" s="1"/>
  <c r="K48" i="1"/>
  <c r="K62" i="1" s="1"/>
  <c r="N765" i="1"/>
  <c r="N757" i="1"/>
  <c r="C615" i="1"/>
  <c r="B440" i="1"/>
  <c r="C48" i="1"/>
  <c r="C62" i="1" s="1"/>
  <c r="E734" i="1" s="1"/>
  <c r="C120" i="8"/>
  <c r="O816" i="1"/>
  <c r="E372" i="9"/>
  <c r="BV48" i="1"/>
  <c r="BV62" i="1" s="1"/>
  <c r="BT48" i="1"/>
  <c r="BT62" i="1" s="1"/>
  <c r="E803" i="1" s="1"/>
  <c r="BP48" i="1"/>
  <c r="BP62" i="1" s="1"/>
  <c r="E799" i="1" s="1"/>
  <c r="BN48" i="1"/>
  <c r="BN62" i="1" s="1"/>
  <c r="BF48" i="1"/>
  <c r="BF62" i="1" s="1"/>
  <c r="BD48" i="1"/>
  <c r="BD62" i="1" s="1"/>
  <c r="G236" i="9" s="1"/>
  <c r="AZ48" i="1"/>
  <c r="AZ62" i="1" s="1"/>
  <c r="C236" i="9" s="1"/>
  <c r="AX48" i="1"/>
  <c r="AX62" i="1" s="1"/>
  <c r="AP48" i="1"/>
  <c r="AP62" i="1" s="1"/>
  <c r="AN48" i="1"/>
  <c r="AN62" i="1" s="1"/>
  <c r="E172" i="9" s="1"/>
  <c r="AJ48" i="1"/>
  <c r="AJ62" i="1" s="1"/>
  <c r="E767" i="1" s="1"/>
  <c r="AH48" i="1"/>
  <c r="AH62" i="1" s="1"/>
  <c r="V48" i="1"/>
  <c r="V62" i="1" s="1"/>
  <c r="R48" i="1"/>
  <c r="R62" i="1" s="1"/>
  <c r="D76" i="9" s="1"/>
  <c r="J48" i="1"/>
  <c r="J62" i="1" s="1"/>
  <c r="F48" i="1"/>
  <c r="F62" i="1" s="1"/>
  <c r="E737" i="1" s="1"/>
  <c r="CF77" i="1"/>
  <c r="I381" i="9" l="1"/>
  <c r="G612" i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G300" i="9" s="1"/>
  <c r="AA48" i="1"/>
  <c r="AA62" i="1" s="1"/>
  <c r="F108" i="9" s="1"/>
  <c r="Q48" i="1"/>
  <c r="Q62" i="1" s="1"/>
  <c r="E748" i="1" s="1"/>
  <c r="U48" i="1"/>
  <c r="U62" i="1" s="1"/>
  <c r="G76" i="9" s="1"/>
  <c r="AE48" i="1"/>
  <c r="AE62" i="1" s="1"/>
  <c r="E762" i="1" s="1"/>
  <c r="X48" i="1"/>
  <c r="X62" i="1" s="1"/>
  <c r="C108" i="9" s="1"/>
  <c r="AG48" i="1"/>
  <c r="AG62" i="1" s="1"/>
  <c r="E140" i="9" s="1"/>
  <c r="AK48" i="1"/>
  <c r="AK62" i="1" s="1"/>
  <c r="E768" i="1" s="1"/>
  <c r="BS48" i="1"/>
  <c r="BS62" i="1" s="1"/>
  <c r="E802" i="1" s="1"/>
  <c r="AB48" i="1"/>
  <c r="AB62" i="1" s="1"/>
  <c r="G108" i="9" s="1"/>
  <c r="Z48" i="1"/>
  <c r="Z62" i="1" s="1"/>
  <c r="E108" i="9" s="1"/>
  <c r="AR48" i="1"/>
  <c r="AR62" i="1" s="1"/>
  <c r="E775" i="1" s="1"/>
  <c r="BH48" i="1"/>
  <c r="BH62" i="1" s="1"/>
  <c r="E791" i="1" s="1"/>
  <c r="BX48" i="1"/>
  <c r="BX62" i="1" s="1"/>
  <c r="E807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D48" i="1"/>
  <c r="AD62" i="1" s="1"/>
  <c r="I108" i="9" s="1"/>
  <c r="AT48" i="1"/>
  <c r="AT62" i="1" s="1"/>
  <c r="D204" i="9" s="1"/>
  <c r="BJ48" i="1"/>
  <c r="BJ62" i="1" s="1"/>
  <c r="F268" i="9" s="1"/>
  <c r="BY48" i="1"/>
  <c r="BY62" i="1" s="1"/>
  <c r="G332" i="9" s="1"/>
  <c r="BO48" i="1"/>
  <c r="BO62" i="1" s="1"/>
  <c r="E798" i="1" s="1"/>
  <c r="BE48" i="1"/>
  <c r="BE62" i="1" s="1"/>
  <c r="H236" i="9" s="1"/>
  <c r="AF48" i="1"/>
  <c r="AF62" i="1" s="1"/>
  <c r="E763" i="1" s="1"/>
  <c r="AV48" i="1"/>
  <c r="AV62" i="1" s="1"/>
  <c r="F204" i="9" s="1"/>
  <c r="BL48" i="1"/>
  <c r="BL62" i="1" s="1"/>
  <c r="E795" i="1" s="1"/>
  <c r="CA48" i="1"/>
  <c r="CA62" i="1" s="1"/>
  <c r="E810" i="1" s="1"/>
  <c r="BW48" i="1"/>
  <c r="BW62" i="1" s="1"/>
  <c r="E332" i="9" s="1"/>
  <c r="BM48" i="1"/>
  <c r="BM62" i="1" s="1"/>
  <c r="E796" i="1" s="1"/>
  <c r="M816" i="1"/>
  <c r="H814" i="10"/>
  <c r="D816" i="1"/>
  <c r="E44" i="9"/>
  <c r="AS48" i="1"/>
  <c r="AS62" i="1" s="1"/>
  <c r="E776" i="1" s="1"/>
  <c r="G10" i="4"/>
  <c r="E10" i="4"/>
  <c r="C473" i="1"/>
  <c r="B10" i="4"/>
  <c r="C141" i="8"/>
  <c r="I372" i="9"/>
  <c r="D815" i="1"/>
  <c r="F815" i="1"/>
  <c r="G816" i="1"/>
  <c r="I366" i="9"/>
  <c r="I300" i="9"/>
  <c r="N752" i="1"/>
  <c r="N758" i="1"/>
  <c r="P816" i="1"/>
  <c r="C430" i="1"/>
  <c r="E787" i="1"/>
  <c r="E300" i="9"/>
  <c r="E792" i="1"/>
  <c r="E749" i="1"/>
  <c r="K816" i="1"/>
  <c r="C434" i="1"/>
  <c r="C12" i="9"/>
  <c r="I140" i="9"/>
  <c r="E783" i="1"/>
  <c r="P814" i="10"/>
  <c r="F814" i="10"/>
  <c r="C44" i="9"/>
  <c r="E741" i="1"/>
  <c r="E742" i="1"/>
  <c r="D44" i="9"/>
  <c r="C332" i="9"/>
  <c r="E804" i="1"/>
  <c r="E373" i="9"/>
  <c r="C575" i="1"/>
  <c r="E752" i="10"/>
  <c r="E771" i="1"/>
  <c r="H140" i="9"/>
  <c r="E764" i="1"/>
  <c r="C14" i="5"/>
  <c r="D428" i="1"/>
  <c r="D612" i="1"/>
  <c r="CF76" i="1"/>
  <c r="V52" i="1" s="1"/>
  <c r="V67" i="1" s="1"/>
  <c r="E740" i="1"/>
  <c r="I12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E756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E745" i="1"/>
  <c r="H44" i="9"/>
  <c r="B446" i="1"/>
  <c r="D242" i="1"/>
  <c r="E779" i="10"/>
  <c r="E795" i="10"/>
  <c r="F12" i="9"/>
  <c r="G140" i="9"/>
  <c r="E12" i="9"/>
  <c r="E736" i="1"/>
  <c r="C418" i="1"/>
  <c r="D438" i="1"/>
  <c r="E755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BD52" i="1"/>
  <c r="BD67" i="1" s="1"/>
  <c r="BD71" i="1" s="1"/>
  <c r="AM52" i="1"/>
  <c r="AM67" i="1" s="1"/>
  <c r="BF52" i="1"/>
  <c r="BF67" i="1" s="1"/>
  <c r="BF71" i="1" s="1"/>
  <c r="BQ52" i="1"/>
  <c r="BQ67" i="1" s="1"/>
  <c r="F52" i="1"/>
  <c r="F67" i="1" s="1"/>
  <c r="F71" i="1" s="1"/>
  <c r="BM52" i="1"/>
  <c r="BM67" i="1" s="1"/>
  <c r="BM71" i="1" s="1"/>
  <c r="CB52" i="1"/>
  <c r="CB67" i="1" s="1"/>
  <c r="AW52" i="1"/>
  <c r="AW67" i="1" s="1"/>
  <c r="AW71" i="1" s="1"/>
  <c r="G213" i="9" s="1"/>
  <c r="T52" i="1"/>
  <c r="T67" i="1" s="1"/>
  <c r="BN52" i="1"/>
  <c r="BN67" i="1" s="1"/>
  <c r="BN71" i="1" s="1"/>
  <c r="M52" i="1"/>
  <c r="M67" i="1" s="1"/>
  <c r="D52" i="1"/>
  <c r="D67" i="1" s="1"/>
  <c r="D71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H300" i="9" l="1"/>
  <c r="E769" i="1"/>
  <c r="E800" i="1"/>
  <c r="BQ71" i="1"/>
  <c r="F309" i="9" s="1"/>
  <c r="E785" i="1"/>
  <c r="E758" i="1"/>
  <c r="G71" i="1"/>
  <c r="G21" i="9" s="1"/>
  <c r="E808" i="1"/>
  <c r="E761" i="1"/>
  <c r="I268" i="9"/>
  <c r="E801" i="1"/>
  <c r="BR71" i="1"/>
  <c r="C563" i="1" s="1"/>
  <c r="F332" i="9"/>
  <c r="I172" i="9"/>
  <c r="E738" i="1"/>
  <c r="E777" i="1"/>
  <c r="E790" i="1"/>
  <c r="D300" i="9"/>
  <c r="E788" i="1"/>
  <c r="BE71" i="1"/>
  <c r="C614" i="1" s="1"/>
  <c r="E779" i="1"/>
  <c r="E759" i="1"/>
  <c r="AA71" i="1"/>
  <c r="C520" i="1" s="1"/>
  <c r="G520" i="1" s="1"/>
  <c r="C76" i="9"/>
  <c r="H268" i="9"/>
  <c r="I332" i="9"/>
  <c r="E757" i="1"/>
  <c r="C204" i="9"/>
  <c r="D140" i="9"/>
  <c r="E806" i="1"/>
  <c r="C140" i="9"/>
  <c r="E793" i="1"/>
  <c r="D268" i="9"/>
  <c r="E752" i="1"/>
  <c r="H172" i="9"/>
  <c r="AK52" i="1"/>
  <c r="AK67" i="1" s="1"/>
  <c r="AK71" i="1" s="1"/>
  <c r="C530" i="1" s="1"/>
  <c r="G530" i="1" s="1"/>
  <c r="BY52" i="1"/>
  <c r="BY67" i="1" s="1"/>
  <c r="BY71" i="1" s="1"/>
  <c r="G341" i="9" s="1"/>
  <c r="BV52" i="1"/>
  <c r="BV67" i="1" s="1"/>
  <c r="BV71" i="1" s="1"/>
  <c r="C642" i="1" s="1"/>
  <c r="AY52" i="1"/>
  <c r="AY67" i="1" s="1"/>
  <c r="AY71" i="1" s="1"/>
  <c r="C544" i="1" s="1"/>
  <c r="G544" i="1" s="1"/>
  <c r="AN52" i="1"/>
  <c r="AN67" i="1" s="1"/>
  <c r="J771" i="1" s="1"/>
  <c r="BX52" i="1"/>
  <c r="BX67" i="1" s="1"/>
  <c r="BX71" i="1" s="1"/>
  <c r="C644" i="1" s="1"/>
  <c r="BP52" i="1"/>
  <c r="BP67" i="1" s="1"/>
  <c r="J799" i="1" s="1"/>
  <c r="BT52" i="1"/>
  <c r="BT67" i="1" s="1"/>
  <c r="J803" i="1" s="1"/>
  <c r="D108" i="9"/>
  <c r="E744" i="1"/>
  <c r="F21" i="9"/>
  <c r="C671" i="1"/>
  <c r="C499" i="1"/>
  <c r="G499" i="1" s="1"/>
  <c r="J753" i="1"/>
  <c r="V71" i="1"/>
  <c r="C687" i="1" s="1"/>
  <c r="C638" i="1"/>
  <c r="C558" i="1"/>
  <c r="I277" i="9"/>
  <c r="AG52" i="1"/>
  <c r="AG67" i="1" s="1"/>
  <c r="BO52" i="1"/>
  <c r="BO67" i="1" s="1"/>
  <c r="BO71" i="1" s="1"/>
  <c r="D309" i="9" s="1"/>
  <c r="M71" i="1"/>
  <c r="C506" i="1" s="1"/>
  <c r="G506" i="1" s="1"/>
  <c r="AB52" i="1"/>
  <c r="AB67" i="1" s="1"/>
  <c r="J759" i="1" s="1"/>
  <c r="H52" i="1"/>
  <c r="H67" i="1" s="1"/>
  <c r="J739" i="1" s="1"/>
  <c r="J52" i="1"/>
  <c r="J67" i="1" s="1"/>
  <c r="AH52" i="1"/>
  <c r="AH67" i="1" s="1"/>
  <c r="J765" i="1" s="1"/>
  <c r="C542" i="1"/>
  <c r="C631" i="1"/>
  <c r="AF52" i="1"/>
  <c r="AF67" i="1" s="1"/>
  <c r="AF71" i="1" s="1"/>
  <c r="C525" i="1" s="1"/>
  <c r="G525" i="1" s="1"/>
  <c r="P52" i="1"/>
  <c r="P67" i="1" s="1"/>
  <c r="I49" i="9" s="1"/>
  <c r="AJ52" i="1"/>
  <c r="AJ67" i="1" s="1"/>
  <c r="AJ71" i="1" s="1"/>
  <c r="C701" i="1" s="1"/>
  <c r="H62" i="1"/>
  <c r="E739" i="1" s="1"/>
  <c r="CE48" i="1"/>
  <c r="E811" i="1"/>
  <c r="F76" i="9"/>
  <c r="E751" i="1"/>
  <c r="T71" i="1"/>
  <c r="C549" i="1"/>
  <c r="G245" i="9"/>
  <c r="C624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C518" i="1" s="1"/>
  <c r="G518" i="1" s="1"/>
  <c r="S52" i="1"/>
  <c r="S67" i="1" s="1"/>
  <c r="S71" i="1" s="1"/>
  <c r="R52" i="1"/>
  <c r="R67" i="1" s="1"/>
  <c r="R71" i="1" s="1"/>
  <c r="Z52" i="1"/>
  <c r="Z67" i="1" s="1"/>
  <c r="Z71" i="1" s="1"/>
  <c r="BB52" i="1"/>
  <c r="BB67" i="1" s="1"/>
  <c r="BB71" i="1" s="1"/>
  <c r="C632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I85" i="9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177" i="9"/>
  <c r="H81" i="9"/>
  <c r="CB71" i="1"/>
  <c r="C373" i="9" s="1"/>
  <c r="F505" i="1"/>
  <c r="H505" i="1"/>
  <c r="F499" i="1"/>
  <c r="H499" i="1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J781" i="1"/>
  <c r="H209" i="9"/>
  <c r="J751" i="1"/>
  <c r="F81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G209" i="9"/>
  <c r="J780" i="1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00" i="1"/>
  <c r="G500" i="1" s="1"/>
  <c r="I245" i="9"/>
  <c r="C629" i="1"/>
  <c r="C551" i="1"/>
  <c r="E782" i="10"/>
  <c r="E806" i="10"/>
  <c r="F516" i="1"/>
  <c r="J735" i="1"/>
  <c r="D17" i="9"/>
  <c r="J800" i="1"/>
  <c r="F305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808" i="1" l="1"/>
  <c r="G337" i="9"/>
  <c r="D337" i="9"/>
  <c r="I209" i="9"/>
  <c r="J782" i="1"/>
  <c r="J805" i="1"/>
  <c r="AN71" i="1"/>
  <c r="E181" i="9" s="1"/>
  <c r="C562" i="1"/>
  <c r="C623" i="1"/>
  <c r="C672" i="1"/>
  <c r="P71" i="1"/>
  <c r="I53" i="9" s="1"/>
  <c r="J768" i="1"/>
  <c r="I145" i="9"/>
  <c r="C626" i="1"/>
  <c r="C529" i="1"/>
  <c r="G529" i="1" s="1"/>
  <c r="G309" i="9"/>
  <c r="C625" i="1"/>
  <c r="I213" i="9"/>
  <c r="C679" i="1"/>
  <c r="F117" i="9"/>
  <c r="C692" i="1"/>
  <c r="C550" i="1"/>
  <c r="G550" i="1" s="1"/>
  <c r="H245" i="9"/>
  <c r="C567" i="1"/>
  <c r="H85" i="9"/>
  <c r="C515" i="1"/>
  <c r="G515" i="1" s="1"/>
  <c r="C645" i="1"/>
  <c r="C570" i="1"/>
  <c r="D341" i="9"/>
  <c r="F341" i="9"/>
  <c r="E814" i="10"/>
  <c r="C702" i="1"/>
  <c r="I149" i="9"/>
  <c r="C688" i="1"/>
  <c r="F53" i="9"/>
  <c r="BT71" i="1"/>
  <c r="I309" i="9" s="1"/>
  <c r="C678" i="1"/>
  <c r="I305" i="9"/>
  <c r="C507" i="1"/>
  <c r="G507" i="1" s="1"/>
  <c r="C574" i="1"/>
  <c r="D373" i="9"/>
  <c r="H149" i="9"/>
  <c r="J767" i="1"/>
  <c r="C573" i="1"/>
  <c r="C622" i="1"/>
  <c r="H145" i="9"/>
  <c r="H17" i="9"/>
  <c r="C569" i="1"/>
  <c r="D145" i="9"/>
  <c r="I117" i="9"/>
  <c r="C708" i="1"/>
  <c r="H181" i="9"/>
  <c r="C531" i="1"/>
  <c r="G531" i="1" s="1"/>
  <c r="C703" i="1"/>
  <c r="H53" i="9"/>
  <c r="C508" i="1"/>
  <c r="G508" i="1" s="1"/>
  <c r="E305" i="9"/>
  <c r="BP71" i="1"/>
  <c r="C621" i="1" s="1"/>
  <c r="C539" i="1"/>
  <c r="G539" i="1" s="1"/>
  <c r="D213" i="9"/>
  <c r="D149" i="9"/>
  <c r="C697" i="1"/>
  <c r="E245" i="9"/>
  <c r="E815" i="1"/>
  <c r="G181" i="9"/>
  <c r="C707" i="1"/>
  <c r="C670" i="1"/>
  <c r="F213" i="9"/>
  <c r="E21" i="9"/>
  <c r="C713" i="1"/>
  <c r="C695" i="1"/>
  <c r="C516" i="1"/>
  <c r="G516" i="1" s="1"/>
  <c r="F277" i="9"/>
  <c r="C528" i="1"/>
  <c r="G528" i="1" s="1"/>
  <c r="C537" i="1"/>
  <c r="G537" i="1" s="1"/>
  <c r="G149" i="9"/>
  <c r="C555" i="1"/>
  <c r="C547" i="1"/>
  <c r="H12" i="9"/>
  <c r="C533" i="1"/>
  <c r="G533" i="1" s="1"/>
  <c r="C705" i="1"/>
  <c r="H117" i="9"/>
  <c r="C522" i="1"/>
  <c r="G522" i="1" s="1"/>
  <c r="C694" i="1"/>
  <c r="C545" i="1"/>
  <c r="G545" i="1" s="1"/>
  <c r="C511" i="1"/>
  <c r="C683" i="1"/>
  <c r="D85" i="9"/>
  <c r="C49" i="9"/>
  <c r="J71" i="1"/>
  <c r="J741" i="1"/>
  <c r="C117" i="9"/>
  <c r="C517" i="1"/>
  <c r="G517" i="1" s="1"/>
  <c r="H517" i="1" s="1"/>
  <c r="C689" i="1"/>
  <c r="C628" i="1"/>
  <c r="C647" i="1"/>
  <c r="D305" i="9"/>
  <c r="AG71" i="1"/>
  <c r="E145" i="9"/>
  <c r="J764" i="1"/>
  <c r="H277" i="9"/>
  <c r="C557" i="1"/>
  <c r="C637" i="1"/>
  <c r="I341" i="9"/>
  <c r="J798" i="1"/>
  <c r="C524" i="1"/>
  <c r="C696" i="1"/>
  <c r="C149" i="9"/>
  <c r="C85" i="9"/>
  <c r="C682" i="1"/>
  <c r="C510" i="1"/>
  <c r="G510" i="1" s="1"/>
  <c r="C710" i="1"/>
  <c r="C213" i="9"/>
  <c r="C538" i="1"/>
  <c r="G538" i="1" s="1"/>
  <c r="G85" i="9"/>
  <c r="C514" i="1"/>
  <c r="G514" i="1" s="1"/>
  <c r="C686" i="1"/>
  <c r="J747" i="1"/>
  <c r="C627" i="1"/>
  <c r="I21" i="9"/>
  <c r="C690" i="1"/>
  <c r="C277" i="9"/>
  <c r="C618" i="1"/>
  <c r="C552" i="1"/>
  <c r="C546" i="1"/>
  <c r="G546" i="1" s="1"/>
  <c r="D245" i="9"/>
  <c r="C630" i="1"/>
  <c r="C540" i="1"/>
  <c r="G540" i="1" s="1"/>
  <c r="E213" i="9"/>
  <c r="C712" i="1"/>
  <c r="D615" i="1"/>
  <c r="C560" i="1"/>
  <c r="C643" i="1"/>
  <c r="H498" i="1"/>
  <c r="C674" i="1"/>
  <c r="D117" i="9"/>
  <c r="C641" i="1"/>
  <c r="C341" i="9"/>
  <c r="C566" i="1"/>
  <c r="C677" i="1"/>
  <c r="C505" i="1"/>
  <c r="G505" i="1" s="1"/>
  <c r="E53" i="9"/>
  <c r="C636" i="1"/>
  <c r="C553" i="1"/>
  <c r="D277" i="9"/>
  <c r="E341" i="9"/>
  <c r="C676" i="1"/>
  <c r="D53" i="9"/>
  <c r="C504" i="1"/>
  <c r="G504" i="1" s="1"/>
  <c r="F181" i="9"/>
  <c r="C706" i="1"/>
  <c r="C534" i="1"/>
  <c r="G534" i="1" s="1"/>
  <c r="I181" i="9"/>
  <c r="G113" i="9"/>
  <c r="AB71" i="1"/>
  <c r="C554" i="1"/>
  <c r="E277" i="9"/>
  <c r="C634" i="1"/>
  <c r="C639" i="1"/>
  <c r="C564" i="1"/>
  <c r="H309" i="9"/>
  <c r="C691" i="1"/>
  <c r="E117" i="9"/>
  <c r="C519" i="1"/>
  <c r="G519" i="1" s="1"/>
  <c r="J763" i="1"/>
  <c r="F145" i="9"/>
  <c r="AH71" i="1"/>
  <c r="CE62" i="1"/>
  <c r="H71" i="1"/>
  <c r="H544" i="1"/>
  <c r="H520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H518" i="1" s="1"/>
  <c r="F546" i="1"/>
  <c r="F506" i="1"/>
  <c r="H506" i="1"/>
  <c r="H500" i="1"/>
  <c r="F500" i="1"/>
  <c r="F509" i="1"/>
  <c r="C681" i="1" l="1"/>
  <c r="C509" i="1"/>
  <c r="G509" i="1" s="1"/>
  <c r="H550" i="1"/>
  <c r="H546" i="1"/>
  <c r="C561" i="1"/>
  <c r="C640" i="1"/>
  <c r="C648" i="1" s="1"/>
  <c r="M716" i="1" s="1"/>
  <c r="Y816" i="1" s="1"/>
  <c r="H508" i="1"/>
  <c r="C565" i="1"/>
  <c r="E309" i="9"/>
  <c r="H516" i="1"/>
  <c r="H514" i="1"/>
  <c r="H522" i="1"/>
  <c r="D644" i="1"/>
  <c r="D645" i="1"/>
  <c r="D704" i="1"/>
  <c r="D639" i="1"/>
  <c r="D628" i="1"/>
  <c r="D705" i="1"/>
  <c r="D711" i="1"/>
  <c r="D631" i="1"/>
  <c r="D706" i="1"/>
  <c r="D676" i="1"/>
  <c r="D682" i="1"/>
  <c r="D683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30" i="1"/>
  <c r="D668" i="1"/>
  <c r="D681" i="1"/>
  <c r="D672" i="1"/>
  <c r="D626" i="1"/>
  <c r="D641" i="1"/>
  <c r="D633" i="1"/>
  <c r="D646" i="1"/>
  <c r="D708" i="1"/>
  <c r="D688" i="1"/>
  <c r="D679" i="1"/>
  <c r="D693" i="1"/>
  <c r="D618" i="1"/>
  <c r="D695" i="1"/>
  <c r="D687" i="1"/>
  <c r="D692" i="1"/>
  <c r="D622" i="1"/>
  <c r="D700" i="1"/>
  <c r="D623" i="1"/>
  <c r="D686" i="1"/>
  <c r="D699" i="1"/>
  <c r="D675" i="1"/>
  <c r="D684" i="1"/>
  <c r="D642" i="1"/>
  <c r="D674" i="1"/>
  <c r="D716" i="1"/>
  <c r="D709" i="1"/>
  <c r="D636" i="1"/>
  <c r="D702" i="1"/>
  <c r="D713" i="1"/>
  <c r="D698" i="1"/>
  <c r="D616" i="1"/>
  <c r="D710" i="1"/>
  <c r="D680" i="1"/>
  <c r="D619" i="1"/>
  <c r="D625" i="1"/>
  <c r="D629" i="1"/>
  <c r="D620" i="1"/>
  <c r="D669" i="1"/>
  <c r="D691" i="1"/>
  <c r="D673" i="1"/>
  <c r="D677" i="1"/>
  <c r="D640" i="1"/>
  <c r="D689" i="1"/>
  <c r="D701" i="1"/>
  <c r="D696" i="1"/>
  <c r="D643" i="1"/>
  <c r="D624" i="1"/>
  <c r="C699" i="1"/>
  <c r="C527" i="1"/>
  <c r="G527" i="1" s="1"/>
  <c r="F149" i="9"/>
  <c r="G511" i="1"/>
  <c r="H511" i="1" s="1"/>
  <c r="H510" i="1"/>
  <c r="C496" i="1"/>
  <c r="C668" i="1"/>
  <c r="C21" i="9"/>
  <c r="C693" i="1"/>
  <c r="C521" i="1"/>
  <c r="G521" i="1" s="1"/>
  <c r="G117" i="9"/>
  <c r="G524" i="1"/>
  <c r="H524" i="1" s="1"/>
  <c r="C698" i="1"/>
  <c r="C526" i="1"/>
  <c r="E149" i="9"/>
  <c r="C53" i="9"/>
  <c r="C675" i="1"/>
  <c r="C503" i="1"/>
  <c r="C501" i="1"/>
  <c r="G501" i="1" s="1"/>
  <c r="H21" i="9"/>
  <c r="C673" i="1"/>
  <c r="I364" i="9"/>
  <c r="C428" i="1"/>
  <c r="E816" i="1"/>
  <c r="H512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F535" i="1"/>
  <c r="H535" i="1" s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09" i="1" l="1"/>
  <c r="D715" i="1"/>
  <c r="E623" i="1"/>
  <c r="E716" i="1" s="1"/>
  <c r="H521" i="1"/>
  <c r="G526" i="1"/>
  <c r="H526" i="1" s="1"/>
  <c r="C715" i="1"/>
  <c r="E612" i="1"/>
  <c r="G496" i="1"/>
  <c r="H496" i="1" s="1"/>
  <c r="G503" i="1"/>
  <c r="H503" i="1" s="1"/>
  <c r="C716" i="1"/>
  <c r="I373" i="9"/>
  <c r="C433" i="1"/>
  <c r="C441" i="1" s="1"/>
  <c r="J816" i="1"/>
  <c r="I369" i="9"/>
  <c r="J815" i="10"/>
  <c r="E673" i="1" l="1"/>
  <c r="E639" i="1"/>
  <c r="E634" i="1"/>
  <c r="E692" i="1"/>
  <c r="E709" i="1"/>
  <c r="E670" i="1"/>
  <c r="E699" i="1"/>
  <c r="E712" i="1"/>
  <c r="E669" i="1"/>
  <c r="E690" i="1"/>
  <c r="E698" i="1"/>
  <c r="E705" i="1"/>
  <c r="E691" i="1"/>
  <c r="E706" i="1"/>
  <c r="E671" i="1"/>
  <c r="E684" i="1"/>
  <c r="E695" i="1"/>
  <c r="E630" i="1"/>
  <c r="E631" i="1"/>
  <c r="E694" i="1"/>
  <c r="E638" i="1"/>
  <c r="E678" i="1"/>
  <c r="E637" i="1"/>
  <c r="E685" i="1"/>
  <c r="E710" i="1"/>
  <c r="E675" i="1"/>
  <c r="E679" i="1"/>
  <c r="E629" i="1"/>
  <c r="E702" i="1"/>
  <c r="E676" i="1"/>
  <c r="E628" i="1"/>
  <c r="E686" i="1"/>
  <c r="E688" i="1"/>
  <c r="E689" i="1"/>
  <c r="E668" i="1"/>
  <c r="E644" i="1"/>
  <c r="E687" i="1"/>
  <c r="E677" i="1"/>
  <c r="E635" i="1"/>
  <c r="E624" i="1"/>
  <c r="F624" i="1" s="1"/>
  <c r="E708" i="1"/>
  <c r="E683" i="1"/>
  <c r="E642" i="1"/>
  <c r="E672" i="1"/>
  <c r="E632" i="1"/>
  <c r="E707" i="1"/>
  <c r="E704" i="1"/>
  <c r="E640" i="1"/>
  <c r="E681" i="1"/>
  <c r="E680" i="1"/>
  <c r="E711" i="1"/>
  <c r="E682" i="1"/>
  <c r="E625" i="1"/>
  <c r="E674" i="1"/>
  <c r="E643" i="1"/>
  <c r="E636" i="1"/>
  <c r="E633" i="1"/>
  <c r="E700" i="1"/>
  <c r="E693" i="1"/>
  <c r="E626" i="1"/>
  <c r="E641" i="1"/>
  <c r="E645" i="1"/>
  <c r="E701" i="1"/>
  <c r="E627" i="1"/>
  <c r="E696" i="1"/>
  <c r="E703" i="1"/>
  <c r="E646" i="1"/>
  <c r="E713" i="1"/>
  <c r="E697" i="1"/>
  <c r="E647" i="1"/>
  <c r="F687" i="1" l="1"/>
  <c r="F640" i="1"/>
  <c r="F645" i="1"/>
  <c r="F706" i="1"/>
  <c r="F636" i="1"/>
  <c r="F710" i="1"/>
  <c r="F684" i="1"/>
  <c r="F668" i="1"/>
  <c r="F682" i="1"/>
  <c r="F699" i="1"/>
  <c r="F700" i="1"/>
  <c r="F680" i="1"/>
  <c r="F707" i="1"/>
  <c r="F688" i="1"/>
  <c r="F679" i="1"/>
  <c r="F630" i="1"/>
  <c r="F712" i="1"/>
  <c r="F633" i="1"/>
  <c r="F690" i="1"/>
  <c r="F647" i="1"/>
  <c r="F669" i="1"/>
  <c r="F701" i="1"/>
  <c r="F702" i="1"/>
  <c r="F629" i="1"/>
  <c r="F678" i="1"/>
  <c r="F716" i="1"/>
  <c r="F675" i="1"/>
  <c r="F643" i="1"/>
  <c r="F632" i="1"/>
  <c r="F693" i="1"/>
  <c r="F642" i="1"/>
  <c r="F672" i="1"/>
  <c r="F644" i="1"/>
  <c r="F694" i="1"/>
  <c r="F639" i="1"/>
  <c r="F673" i="1"/>
  <c r="F685" i="1"/>
  <c r="F671" i="1"/>
  <c r="F698" i="1"/>
  <c r="F626" i="1"/>
  <c r="F705" i="1"/>
  <c r="F689" i="1"/>
  <c r="F711" i="1"/>
  <c r="F676" i="1"/>
  <c r="F627" i="1"/>
  <c r="F674" i="1"/>
  <c r="F709" i="1"/>
  <c r="F625" i="1"/>
  <c r="G625" i="1" s="1"/>
  <c r="F681" i="1"/>
  <c r="F703" i="1"/>
  <c r="F692" i="1"/>
  <c r="F641" i="1"/>
  <c r="F637" i="1"/>
  <c r="F635" i="1"/>
  <c r="F704" i="1"/>
  <c r="F683" i="1"/>
  <c r="F631" i="1"/>
  <c r="F696" i="1"/>
  <c r="F646" i="1"/>
  <c r="F695" i="1"/>
  <c r="F691" i="1"/>
  <c r="F638" i="1"/>
  <c r="F670" i="1"/>
  <c r="F697" i="1"/>
  <c r="F628" i="1"/>
  <c r="F708" i="1"/>
  <c r="F686" i="1"/>
  <c r="F677" i="1"/>
  <c r="F634" i="1"/>
  <c r="F713" i="1"/>
  <c r="E715" i="1"/>
  <c r="F715" i="1" l="1"/>
  <c r="G668" i="1"/>
  <c r="G675" i="1"/>
  <c r="G704" i="1"/>
  <c r="G635" i="1"/>
  <c r="G713" i="1"/>
  <c r="G643" i="1"/>
  <c r="G641" i="1"/>
  <c r="G708" i="1"/>
  <c r="G698" i="1"/>
  <c r="G644" i="1"/>
  <c r="G638" i="1"/>
  <c r="G702" i="1"/>
  <c r="G669" i="1"/>
  <c r="G645" i="1"/>
  <c r="G640" i="1"/>
  <c r="G626" i="1"/>
  <c r="G689" i="1"/>
  <c r="G670" i="1"/>
  <c r="G628" i="1"/>
  <c r="G674" i="1"/>
  <c r="G696" i="1"/>
  <c r="G632" i="1"/>
  <c r="G705" i="1"/>
  <c r="G686" i="1"/>
  <c r="G671" i="1"/>
  <c r="G629" i="1"/>
  <c r="G681" i="1"/>
  <c r="G631" i="1"/>
  <c r="G712" i="1"/>
  <c r="G642" i="1"/>
  <c r="G693" i="1"/>
  <c r="G630" i="1"/>
  <c r="G691" i="1"/>
  <c r="G673" i="1"/>
  <c r="G692" i="1"/>
  <c r="G677" i="1"/>
  <c r="G683" i="1"/>
  <c r="G701" i="1"/>
  <c r="G647" i="1"/>
  <c r="G684" i="1"/>
  <c r="G637" i="1"/>
  <c r="G678" i="1"/>
  <c r="G685" i="1"/>
  <c r="G716" i="1"/>
  <c r="G633" i="1"/>
  <c r="G697" i="1"/>
  <c r="G699" i="1"/>
  <c r="G703" i="1"/>
  <c r="G688" i="1"/>
  <c r="G711" i="1"/>
  <c r="G690" i="1"/>
  <c r="G695" i="1"/>
  <c r="G710" i="1"/>
  <c r="G646" i="1"/>
  <c r="G636" i="1"/>
  <c r="G634" i="1"/>
  <c r="G706" i="1"/>
  <c r="G680" i="1"/>
  <c r="G627" i="1"/>
  <c r="G707" i="1"/>
  <c r="G676" i="1"/>
  <c r="G709" i="1"/>
  <c r="G639" i="1"/>
  <c r="G687" i="1"/>
  <c r="G700" i="1"/>
  <c r="G682" i="1"/>
  <c r="G694" i="1"/>
  <c r="G672" i="1"/>
  <c r="G679" i="1"/>
  <c r="H628" i="1" l="1"/>
  <c r="H668" i="1" s="1"/>
  <c r="G715" i="1"/>
  <c r="H629" i="1" l="1"/>
  <c r="I629" i="1" s="1"/>
  <c r="H671" i="1"/>
  <c r="H680" i="1"/>
  <c r="H637" i="1"/>
  <c r="H695" i="1"/>
  <c r="H706" i="1"/>
  <c r="H639" i="1"/>
  <c r="H647" i="1"/>
  <c r="H701" i="1"/>
  <c r="H634" i="1"/>
  <c r="H692" i="1"/>
  <c r="H708" i="1"/>
  <c r="H682" i="1"/>
  <c r="H678" i="1"/>
  <c r="H632" i="1"/>
  <c r="H641" i="1"/>
  <c r="H633" i="1"/>
  <c r="H635" i="1"/>
  <c r="H702" i="1"/>
  <c r="H640" i="1"/>
  <c r="H642" i="1"/>
  <c r="H688" i="1"/>
  <c r="H716" i="1"/>
  <c r="H710" i="1"/>
  <c r="H711" i="1"/>
  <c r="H675" i="1"/>
  <c r="H693" i="1"/>
  <c r="H696" i="1"/>
  <c r="H686" i="1"/>
  <c r="H683" i="1"/>
  <c r="H645" i="1"/>
  <c r="H672" i="1"/>
  <c r="H643" i="1"/>
  <c r="H700" i="1"/>
  <c r="H709" i="1"/>
  <c r="H673" i="1"/>
  <c r="H679" i="1"/>
  <c r="H644" i="1"/>
  <c r="H691" i="1"/>
  <c r="H689" i="1"/>
  <c r="H674" i="1"/>
  <c r="H685" i="1"/>
  <c r="H713" i="1"/>
  <c r="H703" i="1"/>
  <c r="H699" i="1"/>
  <c r="H681" i="1"/>
  <c r="H690" i="1"/>
  <c r="H687" i="1"/>
  <c r="H707" i="1"/>
  <c r="H631" i="1"/>
  <c r="H638" i="1"/>
  <c r="H677" i="1"/>
  <c r="H704" i="1"/>
  <c r="H705" i="1"/>
  <c r="H697" i="1"/>
  <c r="H636" i="1"/>
  <c r="H712" i="1"/>
  <c r="H670" i="1"/>
  <c r="H646" i="1"/>
  <c r="H676" i="1"/>
  <c r="H630" i="1"/>
  <c r="H669" i="1"/>
  <c r="H684" i="1"/>
  <c r="H694" i="1"/>
  <c r="H698" i="1"/>
  <c r="H715" i="1" l="1"/>
  <c r="I700" i="1"/>
  <c r="I699" i="1"/>
  <c r="I691" i="1"/>
  <c r="I688" i="1"/>
  <c r="I698" i="1"/>
  <c r="I701" i="1"/>
  <c r="I679" i="1"/>
  <c r="I632" i="1"/>
  <c r="I641" i="1"/>
  <c r="I635" i="1"/>
  <c r="I696" i="1"/>
  <c r="I644" i="1"/>
  <c r="I680" i="1"/>
  <c r="I695" i="1"/>
  <c r="I713" i="1"/>
  <c r="I643" i="1"/>
  <c r="I678" i="1"/>
  <c r="I633" i="1"/>
  <c r="I705" i="1"/>
  <c r="I702" i="1"/>
  <c r="I645" i="1"/>
  <c r="I670" i="1"/>
  <c r="I642" i="1"/>
  <c r="I681" i="1"/>
  <c r="I684" i="1"/>
  <c r="I711" i="1"/>
  <c r="I693" i="1"/>
  <c r="I634" i="1"/>
  <c r="I674" i="1"/>
  <c r="I673" i="1"/>
  <c r="I636" i="1"/>
  <c r="I716" i="1"/>
  <c r="I677" i="1"/>
  <c r="I683" i="1"/>
  <c r="I697" i="1"/>
  <c r="I704" i="1"/>
  <c r="I712" i="1"/>
  <c r="I708" i="1"/>
  <c r="I669" i="1"/>
  <c r="I646" i="1"/>
  <c r="I685" i="1"/>
  <c r="I675" i="1"/>
  <c r="I690" i="1"/>
  <c r="I686" i="1"/>
  <c r="I639" i="1"/>
  <c r="I631" i="1"/>
  <c r="I638" i="1"/>
  <c r="I689" i="1"/>
  <c r="I668" i="1"/>
  <c r="I703" i="1"/>
  <c r="I682" i="1"/>
  <c r="I687" i="1"/>
  <c r="I710" i="1"/>
  <c r="I671" i="1"/>
  <c r="I706" i="1"/>
  <c r="I707" i="1"/>
  <c r="I637" i="1"/>
  <c r="I692" i="1"/>
  <c r="I647" i="1"/>
  <c r="I676" i="1"/>
  <c r="I672" i="1"/>
  <c r="I640" i="1"/>
  <c r="I709" i="1"/>
  <c r="I630" i="1"/>
  <c r="I694" i="1"/>
  <c r="I715" i="1" l="1"/>
  <c r="J630" i="1"/>
  <c r="J705" i="1" l="1"/>
  <c r="J697" i="1"/>
  <c r="J681" i="1"/>
  <c r="J686" i="1"/>
  <c r="J692" i="1"/>
  <c r="J668" i="1"/>
  <c r="J639" i="1"/>
  <c r="J700" i="1"/>
  <c r="J674" i="1"/>
  <c r="J704" i="1"/>
  <c r="J689" i="1"/>
  <c r="J676" i="1"/>
  <c r="J645" i="1"/>
  <c r="J673" i="1"/>
  <c r="J702" i="1"/>
  <c r="J641" i="1"/>
  <c r="J675" i="1"/>
  <c r="J691" i="1"/>
  <c r="J693" i="1"/>
  <c r="J678" i="1"/>
  <c r="J637" i="1"/>
  <c r="J695" i="1"/>
  <c r="J683" i="1"/>
  <c r="J712" i="1"/>
  <c r="J698" i="1"/>
  <c r="J690" i="1"/>
  <c r="J643" i="1"/>
  <c r="J688" i="1"/>
  <c r="J710" i="1"/>
  <c r="J647" i="1"/>
  <c r="J633" i="1"/>
  <c r="J670" i="1"/>
  <c r="J706" i="1"/>
  <c r="J669" i="1"/>
  <c r="J708" i="1"/>
  <c r="J687" i="1"/>
  <c r="J672" i="1"/>
  <c r="J699" i="1"/>
  <c r="J711" i="1"/>
  <c r="J642" i="1"/>
  <c r="J684" i="1"/>
  <c r="J713" i="1"/>
  <c r="J696" i="1"/>
  <c r="J680" i="1"/>
  <c r="J682" i="1"/>
  <c r="J634" i="1"/>
  <c r="J640" i="1"/>
  <c r="J646" i="1"/>
  <c r="J677" i="1"/>
  <c r="J644" i="1"/>
  <c r="J707" i="1"/>
  <c r="J638" i="1"/>
  <c r="J703" i="1"/>
  <c r="J679" i="1"/>
  <c r="J631" i="1"/>
  <c r="J685" i="1"/>
  <c r="J636" i="1"/>
  <c r="J701" i="1"/>
  <c r="J709" i="1"/>
  <c r="J632" i="1"/>
  <c r="J635" i="1"/>
  <c r="J716" i="1"/>
  <c r="J671" i="1"/>
  <c r="J694" i="1"/>
  <c r="L647" i="1" l="1"/>
  <c r="L712" i="1" s="1"/>
  <c r="K644" i="1"/>
  <c r="K716" i="1" s="1"/>
  <c r="J715" i="1"/>
  <c r="K686" i="1" l="1"/>
  <c r="L700" i="1"/>
  <c r="L674" i="1"/>
  <c r="L684" i="1"/>
  <c r="L683" i="1"/>
  <c r="L702" i="1"/>
  <c r="L691" i="1"/>
  <c r="L708" i="1"/>
  <c r="L697" i="1"/>
  <c r="L681" i="1"/>
  <c r="L677" i="1"/>
  <c r="L670" i="1"/>
  <c r="L686" i="1"/>
  <c r="L682" i="1"/>
  <c r="L703" i="1"/>
  <c r="L705" i="1"/>
  <c r="L693" i="1"/>
  <c r="L685" i="1"/>
  <c r="L692" i="1"/>
  <c r="L673" i="1"/>
  <c r="L675" i="1"/>
  <c r="L709" i="1"/>
  <c r="K683" i="1"/>
  <c r="K688" i="1"/>
  <c r="K707" i="1"/>
  <c r="K699" i="1"/>
  <c r="K706" i="1"/>
  <c r="K705" i="1"/>
  <c r="K693" i="1"/>
  <c r="K698" i="1"/>
  <c r="K710" i="1"/>
  <c r="K692" i="1"/>
  <c r="K700" i="1"/>
  <c r="K701" i="1"/>
  <c r="K668" i="1"/>
  <c r="K681" i="1"/>
  <c r="K677" i="1"/>
  <c r="K671" i="1"/>
  <c r="K673" i="1"/>
  <c r="K691" i="1"/>
  <c r="K711" i="1"/>
  <c r="K685" i="1"/>
  <c r="K682" i="1"/>
  <c r="K708" i="1"/>
  <c r="K696" i="1"/>
  <c r="K694" i="1"/>
  <c r="K680" i="1"/>
  <c r="K712" i="1"/>
  <c r="M712" i="1" s="1"/>
  <c r="Y778" i="1" s="1"/>
  <c r="K672" i="1"/>
  <c r="K674" i="1"/>
  <c r="K669" i="1"/>
  <c r="K713" i="1"/>
  <c r="K689" i="1"/>
  <c r="K702" i="1"/>
  <c r="M702" i="1" s="1"/>
  <c r="Y768" i="1" s="1"/>
  <c r="K678" i="1"/>
  <c r="K695" i="1"/>
  <c r="K675" i="1"/>
  <c r="K703" i="1"/>
  <c r="K676" i="1"/>
  <c r="K684" i="1"/>
  <c r="K679" i="1"/>
  <c r="K687" i="1"/>
  <c r="K690" i="1"/>
  <c r="K709" i="1"/>
  <c r="K697" i="1"/>
  <c r="K704" i="1"/>
  <c r="K670" i="1"/>
  <c r="L671" i="1"/>
  <c r="L695" i="1"/>
  <c r="L707" i="1"/>
  <c r="L706" i="1"/>
  <c r="L716" i="1"/>
  <c r="L699" i="1"/>
  <c r="L676" i="1"/>
  <c r="L713" i="1"/>
  <c r="L694" i="1"/>
  <c r="L672" i="1"/>
  <c r="L701" i="1"/>
  <c r="L690" i="1"/>
  <c r="M690" i="1" s="1"/>
  <c r="D119" i="9" s="1"/>
  <c r="L668" i="1"/>
  <c r="L711" i="1"/>
  <c r="L680" i="1"/>
  <c r="L704" i="1"/>
  <c r="L689" i="1"/>
  <c r="L669" i="1"/>
  <c r="L698" i="1"/>
  <c r="L679" i="1"/>
  <c r="L696" i="1"/>
  <c r="L687" i="1"/>
  <c r="L688" i="1"/>
  <c r="L710" i="1"/>
  <c r="L678" i="1"/>
  <c r="M684" i="1" l="1"/>
  <c r="Y750" i="1" s="1"/>
  <c r="M697" i="1"/>
  <c r="Y763" i="1" s="1"/>
  <c r="M685" i="1"/>
  <c r="F87" i="9" s="1"/>
  <c r="M706" i="1"/>
  <c r="Y772" i="1" s="1"/>
  <c r="M673" i="1"/>
  <c r="Y739" i="1" s="1"/>
  <c r="M668" i="1"/>
  <c r="C23" i="9" s="1"/>
  <c r="M696" i="1"/>
  <c r="Y762" i="1" s="1"/>
  <c r="M701" i="1"/>
  <c r="Y767" i="1" s="1"/>
  <c r="M709" i="1"/>
  <c r="I183" i="9" s="1"/>
  <c r="M691" i="1"/>
  <c r="Y757" i="1" s="1"/>
  <c r="M692" i="1"/>
  <c r="F119" i="9" s="1"/>
  <c r="M674" i="1"/>
  <c r="Y740" i="1" s="1"/>
  <c r="M683" i="1"/>
  <c r="Y749" i="1" s="1"/>
  <c r="M703" i="1"/>
  <c r="Y769" i="1" s="1"/>
  <c r="M699" i="1"/>
  <c r="F151" i="9" s="1"/>
  <c r="M678" i="1"/>
  <c r="Y744" i="1" s="1"/>
  <c r="M710" i="1"/>
  <c r="Y776" i="1" s="1"/>
  <c r="M670" i="1"/>
  <c r="E23" i="9" s="1"/>
  <c r="M676" i="1"/>
  <c r="D55" i="9" s="1"/>
  <c r="M682" i="1"/>
  <c r="C87" i="9" s="1"/>
  <c r="M677" i="1"/>
  <c r="Y743" i="1" s="1"/>
  <c r="M680" i="1"/>
  <c r="H55" i="9" s="1"/>
  <c r="M675" i="1"/>
  <c r="Y741" i="1" s="1"/>
  <c r="M700" i="1"/>
  <c r="Y766" i="1" s="1"/>
  <c r="M686" i="1"/>
  <c r="G87" i="9" s="1"/>
  <c r="M707" i="1"/>
  <c r="Y773" i="1" s="1"/>
  <c r="M695" i="1"/>
  <c r="Y761" i="1" s="1"/>
  <c r="M688" i="1"/>
  <c r="Y754" i="1" s="1"/>
  <c r="M708" i="1"/>
  <c r="Y774" i="1" s="1"/>
  <c r="M672" i="1"/>
  <c r="G23" i="9" s="1"/>
  <c r="M687" i="1"/>
  <c r="H87" i="9" s="1"/>
  <c r="M694" i="1"/>
  <c r="H119" i="9" s="1"/>
  <c r="M679" i="1"/>
  <c r="Y745" i="1" s="1"/>
  <c r="M689" i="1"/>
  <c r="C119" i="9" s="1"/>
  <c r="M693" i="1"/>
  <c r="G119" i="9" s="1"/>
  <c r="M711" i="1"/>
  <c r="Y777" i="1" s="1"/>
  <c r="M681" i="1"/>
  <c r="Y747" i="1" s="1"/>
  <c r="M705" i="1"/>
  <c r="Y771" i="1" s="1"/>
  <c r="M669" i="1"/>
  <c r="Y735" i="1" s="1"/>
  <c r="I151" i="9"/>
  <c r="K715" i="1"/>
  <c r="M698" i="1"/>
  <c r="E151" i="9" s="1"/>
  <c r="M704" i="1"/>
  <c r="D183" i="9" s="1"/>
  <c r="Y756" i="1"/>
  <c r="E215" i="9"/>
  <c r="M671" i="1"/>
  <c r="M713" i="1"/>
  <c r="L715" i="1"/>
  <c r="E87" i="9" l="1"/>
  <c r="D151" i="9"/>
  <c r="H151" i="9"/>
  <c r="Y751" i="1"/>
  <c r="H23" i="9"/>
  <c r="C151" i="9"/>
  <c r="F183" i="9"/>
  <c r="Y734" i="1"/>
  <c r="Y758" i="1"/>
  <c r="Y742" i="1"/>
  <c r="I23" i="9"/>
  <c r="Y748" i="1"/>
  <c r="Y765" i="1"/>
  <c r="Y775" i="1"/>
  <c r="Y736" i="1"/>
  <c r="C183" i="9"/>
  <c r="E119" i="9"/>
  <c r="F55" i="9"/>
  <c r="D87" i="9"/>
  <c r="Y746" i="1"/>
  <c r="E55" i="9"/>
  <c r="C215" i="9"/>
  <c r="C55" i="9"/>
  <c r="G151" i="9"/>
  <c r="Y752" i="1"/>
  <c r="Y755" i="1"/>
  <c r="D215" i="9"/>
  <c r="I87" i="9"/>
  <c r="G183" i="9"/>
  <c r="Y759" i="1"/>
  <c r="H183" i="9"/>
  <c r="I119" i="9"/>
  <c r="Y753" i="1"/>
  <c r="Y760" i="1"/>
  <c r="G55" i="9"/>
  <c r="D23" i="9"/>
  <c r="Y738" i="1"/>
  <c r="E183" i="9"/>
  <c r="I55" i="9"/>
  <c r="Y764" i="1"/>
  <c r="M715" i="1"/>
  <c r="Y770" i="1"/>
  <c r="Y737" i="1"/>
  <c r="F23" i="9"/>
  <c r="F215" i="9"/>
  <c r="Y779" i="1"/>
  <c r="Y815" i="1" l="1"/>
</calcChain>
</file>

<file path=xl/sharedStrings.xml><?xml version="1.0" encoding="utf-8"?>
<sst xmlns="http://schemas.openxmlformats.org/spreadsheetml/2006/main" count="4941" uniqueCount="1282">
  <si>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</si>
  <si>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</si>
  <si>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</si>
  <si>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</si>
  <si>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</si>
  <si>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</si>
  <si>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</si>
  <si>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</si>
  <si>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</si>
  <si>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</si>
  <si>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</si>
  <si>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</si>
  <si>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</si>
  <si>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</si>
  <si>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</si>
  <si>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</si>
  <si>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</si>
  <si>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</si>
  <si>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</si>
  <si>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</si>
  <si>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</si>
  <si>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</si>
  <si>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</si>
  <si>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</si>
  <si>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</si>
  <si>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</si>
  <si>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</si>
  <si>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</si>
  <si>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</si>
  <si>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</si>
  <si>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</si>
  <si>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</si>
  <si>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</si>
  <si>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</si>
  <si>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</si>
  <si>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</si>
  <si>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</si>
  <si>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</si>
  <si>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</si>
  <si>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</si>
  <si>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</si>
  <si>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</si>
  <si>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</si>
  <si>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</si>
  <si>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</si>
  <si>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</si>
  <si>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</si>
  <si>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</si>
  <si>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</si>
  <si>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</si>
  <si>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</si>
  <si>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</si>
  <si>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</si>
  <si>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</si>
  <si>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</si>
  <si>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</si>
  <si>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</si>
  <si>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</si>
  <si>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</si>
  <si>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</si>
  <si>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</si>
  <si>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</si>
  <si>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</si>
  <si>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</si>
  <si>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</si>
  <si>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</si>
  <si>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</si>
  <si>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</si>
  <si>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</si>
  <si>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</si>
  <si>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</si>
  <si>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</si>
  <si>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</si>
  <si>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</si>
  <si>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</si>
  <si>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</si>
  <si>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</si>
  <si>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</si>
  <si>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</si>
  <si>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</si>
  <si>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</si>
  <si>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</si>
  <si>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</si>
  <si>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</si>
  <si>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</si>
  <si>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</si>
  <si>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</si>
  <si>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</si>
  <si>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</si>
  <si>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</si>
  <si>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</si>
  <si>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</si>
  <si>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</si>
  <si>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</si>
  <si>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</si>
  <si>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</si>
  <si>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</si>
  <si>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</si>
  <si>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</si>
  <si>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</si>
  <si>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</si>
  <si>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</si>
  <si>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</si>
  <si>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</si>
  <si>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</si>
  <si>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</si>
  <si>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</si>
  <si>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</si>
  <si>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</si>
  <si>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</si>
  <si>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</si>
  <si>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</si>
  <si>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</si>
  <si>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</si>
  <si>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</si>
  <si>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</si>
  <si>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</si>
  <si>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</si>
  <si>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</si>
  <si>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</si>
  <si>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</si>
  <si>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</si>
  <si>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</si>
  <si>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</si>
  <si>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</si>
  <si>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</si>
  <si>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</si>
  <si>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</si>
  <si>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</si>
  <si>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</si>
  <si>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</si>
  <si>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</si>
  <si>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</si>
  <si>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</si>
  <si>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</si>
  <si>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</si>
  <si>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</si>
  <si>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</si>
  <si>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</si>
  <si>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</si>
  <si>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</si>
  <si>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</si>
  <si>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</si>
  <si>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</si>
  <si>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</si>
  <si>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</si>
  <si>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</si>
  <si>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</si>
  <si>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</si>
  <si>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</si>
  <si>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</si>
  <si>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</si>
  <si>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</si>
  <si>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</si>
  <si>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</si>
  <si>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</si>
  <si>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</si>
  <si>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</si>
  <si>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</si>
  <si>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</si>
  <si>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</si>
  <si>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</si>
  <si>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</si>
  <si>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</si>
  <si>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</si>
  <si>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</si>
  <si>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</si>
  <si>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</si>
  <si>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</si>
  <si>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</si>
  <si>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</si>
  <si>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</si>
  <si>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</si>
  <si>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</si>
  <si>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</si>
  <si>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</si>
  <si>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</si>
  <si>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</si>
  <si>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</si>
  <si>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</si>
  <si>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</si>
  <si>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</si>
  <si>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</si>
  <si>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</si>
  <si>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</si>
  <si>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</si>
  <si>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</si>
  <si>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</si>
  <si>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</si>
  <si>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</si>
  <si>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</si>
  <si>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</si>
  <si>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</si>
  <si>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</si>
  <si>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</si>
  <si>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</si>
  <si>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</si>
  <si>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</si>
  <si>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</si>
  <si>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</si>
  <si>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</si>
  <si>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</si>
  <si>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</si>
  <si>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</si>
  <si>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</si>
  <si>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</si>
  <si>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</si>
  <si>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</si>
  <si>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</si>
  <si>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</si>
  <si>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</si>
  <si>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</si>
  <si>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</si>
  <si>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</si>
  <si>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</si>
  <si>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</si>
  <si>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</si>
  <si>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</si>
  <si>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</si>
  <si>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</si>
  <si>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</si>
  <si>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</si>
  <si>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</si>
  <si>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</si>
  <si>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</si>
  <si>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</si>
  <si>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</si>
  <si>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</si>
  <si>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</si>
  <si>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</si>
  <si>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</si>
  <si>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</si>
  <si>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</si>
  <si>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</si>
  <si>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</si>
  <si>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</si>
  <si>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</si>
  <si>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</si>
  <si>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</si>
  <si>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</si>
  <si>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</si>
  <si>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</si>
  <si>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</si>
  <si>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</si>
  <si>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</si>
  <si>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</si>
  <si>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</si>
  <si>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</si>
  <si>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</si>
  <si>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</si>
  <si>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</si>
  <si>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</si>
  <si>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</si>
  <si>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</si>
  <si>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</si>
  <si>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</si>
  <si>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</si>
  <si>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</si>
  <si>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</si>
  <si>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</si>
  <si>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</si>
  <si>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</si>
  <si>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</si>
  <si>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</si>
  <si>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</si>
  <si>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</si>
  <si>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</si>
  <si>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</si>
  <si>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</si>
  <si>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</si>
  <si>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</si>
  <si>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</si>
  <si>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</si>
  <si>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</si>
  <si>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</si>
  <si>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</si>
  <si>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</si>
  <si>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</si>
  <si>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</si>
  <si>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</si>
  <si>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</si>
  <si>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</si>
  <si>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</si>
  <si>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</si>
  <si>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</si>
  <si>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</si>
  <si>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</si>
  <si>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</si>
  <si>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</si>
  <si>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</si>
  <si>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</si>
  <si>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</si>
  <si>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</si>
  <si>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</si>
  <si>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</si>
  <si>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</si>
  <si>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</si>
  <si>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</si>
  <si>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</si>
  <si>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</si>
  <si>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</si>
  <si>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</si>
  <si>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</si>
  <si>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</si>
  <si>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</si>
  <si>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</si>
  <si>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</si>
  <si>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</si>
  <si>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</si>
  <si>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</si>
  <si>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</si>
  <si>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</si>
  <si>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</si>
  <si>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</si>
  <si>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</si>
  <si>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</si>
  <si>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</si>
  <si>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</si>
  <si>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</si>
  <si>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</si>
  <si>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</si>
  <si>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</si>
  <si>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</si>
  <si>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</si>
  <si>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</si>
  <si>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</si>
  <si>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</si>
  <si>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</si>
  <si>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</si>
  <si>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</si>
  <si>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</si>
  <si>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</si>
  <si>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</si>
  <si>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</si>
  <si>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</si>
  <si>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</si>
  <si>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</si>
  <si>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</si>
  <si>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</si>
  <si>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</si>
  <si>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</si>
  <si>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</si>
  <si>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</si>
  <si>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</si>
  <si>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</si>
  <si>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</si>
  <si>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</si>
  <si>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</si>
  <si>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</si>
  <si>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</si>
  <si>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</si>
  <si>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</si>
  <si>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</si>
  <si>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</si>
  <si>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</si>
  <si>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</si>
  <si>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</si>
  <si>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</si>
  <si>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</si>
  <si>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</si>
  <si>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</si>
  <si>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</si>
  <si>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</si>
  <si>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</si>
  <si>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</si>
  <si>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</si>
  <si>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</si>
  <si>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</si>
  <si>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</si>
  <si>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</si>
  <si>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</si>
  <si>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</si>
  <si>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</si>
  <si>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</si>
  <si>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</si>
  <si>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</si>
  <si>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</si>
  <si>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</si>
  <si>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</si>
  <si>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</si>
  <si>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</si>
  <si>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</si>
  <si>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</si>
  <si>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</si>
  <si>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</si>
  <si>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</si>
  <si>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</si>
  <si>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</si>
  <si>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</si>
  <si>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</si>
  <si>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</si>
  <si>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</si>
  <si>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</si>
  <si>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</si>
  <si>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</si>
  <si>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</si>
  <si>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</si>
  <si>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</si>
  <si>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</si>
  <si>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</si>
  <si>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</si>
  <si>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</si>
  <si>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</si>
  <si>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</si>
  <si>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</si>
  <si>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</si>
  <si>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</si>
  <si>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</si>
  <si>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</si>
  <si>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</si>
  <si>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</si>
  <si>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</si>
  <si>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</si>
  <si>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</si>
  <si>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</si>
  <si>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</si>
  <si>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</si>
  <si>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</si>
  <si>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</si>
  <si>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</si>
  <si>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</si>
  <si>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</si>
  <si>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</si>
  <si>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</si>
  <si>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</si>
  <si>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</si>
  <si>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</si>
  <si>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</si>
  <si>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</si>
  <si>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</si>
  <si>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</si>
  <si>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</si>
  <si>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</si>
  <si>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</si>
  <si>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</si>
  <si>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</si>
  <si>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</si>
  <si>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</si>
  <si>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</si>
  <si>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</si>
  <si>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</si>
  <si>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</si>
  <si>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</si>
  <si>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</si>
  <si>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</si>
  <si>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</si>
  <si>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</si>
  <si>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</si>
  <si>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</si>
  <si>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</si>
  <si>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</si>
  <si>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</si>
  <si>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</si>
  <si>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</si>
  <si>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</si>
  <si>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</si>
  <si>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</si>
  <si>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</si>
  <si>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</si>
  <si>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</si>
  <si>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</si>
  <si>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</si>
  <si>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</si>
  <si>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</si>
  <si>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</si>
  <si>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</si>
  <si>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</si>
  <si>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</si>
  <si>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</si>
  <si>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</si>
  <si>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</si>
  <si>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</si>
  <si>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</si>
  <si>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</si>
  <si>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</si>
  <si>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</si>
  <si>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</si>
  <si>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</si>
  <si>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</si>
  <si>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</si>
  <si>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</si>
  <si>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</si>
  <si>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</si>
  <si>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</si>
  <si>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</si>
  <si>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</si>
  <si>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</si>
  <si>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</si>
  <si>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</si>
  <si>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</si>
  <si>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</si>
  <si>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</si>
  <si>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</si>
  <si>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</si>
  <si>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</si>
  <si>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</si>
  <si>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</si>
  <si>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</si>
  <si>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</si>
  <si>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</si>
  <si>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</si>
  <si>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</si>
  <si>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</si>
  <si>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</si>
  <si>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</si>
  <si>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</si>
  <si>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</si>
  <si>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</si>
  <si>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</si>
  <si>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</si>
  <si>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</si>
  <si>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</si>
  <si>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</si>
  <si>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</si>
  <si>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</si>
  <si>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</si>
  <si>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</si>
  <si>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</si>
  <si>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</si>
  <si>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</si>
  <si>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</si>
  <si>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</si>
  <si>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</si>
  <si>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</si>
  <si>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</si>
  <si>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</si>
  <si>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</si>
  <si>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</si>
  <si>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</si>
  <si>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</si>
  <si>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</si>
  <si>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</si>
  <si>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</si>
  <si>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</si>
  <si>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</si>
  <si>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</si>
  <si>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</si>
  <si>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</si>
  <si>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</si>
  <si>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</si>
  <si>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</si>
  <si>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</si>
  <si>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</si>
  <si>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</si>
  <si>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</si>
  <si>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</si>
  <si>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</si>
  <si>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</si>
  <si>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</si>
  <si>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</si>
  <si>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</si>
  <si>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</si>
  <si>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</si>
  <si>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</si>
  <si>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</si>
  <si>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</si>
  <si>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</si>
  <si>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</si>
  <si>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</si>
  <si>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</si>
  <si>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</si>
  <si>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</si>
  <si>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</si>
  <si>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</si>
  <si>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</si>
  <si>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</si>
  <si>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</si>
  <si>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</si>
  <si>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</si>
  <si>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</si>
  <si>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</si>
  <si>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</si>
  <si>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</si>
  <si>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</si>
  <si>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</si>
  <si>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</si>
  <si>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</si>
  <si>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</si>
  <si>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</si>
  <si>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</si>
  <si>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</si>
  <si>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</si>
  <si>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</si>
  <si>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</si>
  <si>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</si>
  <si>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</si>
  <si>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</si>
  <si>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</si>
  <si>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</si>
  <si>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</si>
  <si>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</si>
  <si>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</si>
  <si>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</si>
  <si>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</si>
  <si>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</si>
  <si>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</si>
  <si>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</si>
  <si>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</si>
  <si>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</si>
  <si>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</si>
  <si>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</si>
  <si>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</si>
  <si>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</si>
  <si>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</si>
  <si>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</si>
  <si>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</si>
  <si>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</si>
  <si>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</si>
  <si>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</si>
  <si>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</si>
  <si>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</si>
  <si>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</si>
  <si>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</si>
  <si>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</si>
  <si>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</si>
  <si>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</si>
  <si>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</si>
  <si>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</si>
  <si>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</si>
  <si>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</si>
  <si>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</si>
  <si>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</si>
  <si>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</si>
  <si>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</si>
  <si>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</si>
  <si>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</si>
  <si>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</si>
  <si>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</si>
  <si>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</si>
  <si>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</si>
  <si>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</si>
  <si>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</si>
  <si>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</si>
  <si>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</si>
  <si>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</si>
  <si>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</si>
  <si>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</si>
  <si>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</si>
  <si>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</si>
  <si>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</si>
  <si>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</si>
  <si>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</si>
  <si>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</si>
  <si>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</si>
  <si>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</si>
  <si>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</si>
  <si>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</si>
  <si>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</si>
  <si>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</si>
  <si>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</si>
  <si>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</si>
  <si>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</si>
  <si>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</si>
  <si>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</si>
  <si>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</si>
  <si>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</si>
  <si>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</si>
  <si>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</si>
  <si>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</si>
  <si>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</si>
  <si>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</si>
  <si>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</si>
  <si>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</si>
  <si>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</si>
  <si>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</si>
  <si>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</si>
  <si>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</si>
  <si>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</si>
  <si>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</si>
  <si>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</si>
  <si>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</si>
  <si>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</si>
  <si>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</si>
  <si>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</si>
  <si>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</si>
  <si>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</si>
  <si>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</si>
  <si>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</si>
  <si>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</si>
  <si>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</si>
  <si>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</si>
  <si>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</si>
  <si>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</si>
  <si>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</si>
  <si>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</si>
  <si>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</si>
  <si>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</si>
  <si>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</si>
  <si>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</si>
  <si>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</si>
  <si>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</si>
  <si>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</si>
  <si>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</si>
  <si>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</si>
  <si>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</si>
  <si>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</si>
  <si>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</si>
  <si>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</si>
  <si>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</si>
  <si>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</si>
  <si>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</si>
  <si>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</si>
  <si>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</si>
  <si>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</si>
  <si>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</si>
  <si>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</si>
  <si>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</si>
  <si>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</si>
  <si>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</si>
  <si>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</si>
  <si>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</si>
  <si>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</si>
  <si>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</si>
  <si>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</si>
  <si>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</si>
  <si>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</si>
  <si>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</si>
  <si>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</si>
  <si>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</si>
  <si>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</si>
  <si>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</si>
  <si>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</si>
  <si>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</si>
  <si>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</si>
  <si>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</si>
  <si>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</si>
  <si>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</si>
  <si>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</si>
  <si>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</si>
  <si>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</si>
  <si>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</si>
  <si>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</si>
  <si>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</si>
  <si>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</si>
  <si>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</si>
  <si>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</si>
  <si>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</si>
  <si>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</si>
  <si>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</si>
  <si>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</si>
  <si>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</si>
  <si>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</si>
  <si>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</si>
  <si>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</si>
  <si>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</si>
  <si>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</si>
  <si>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</si>
  <si>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</si>
  <si>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</si>
  <si>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</si>
  <si>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</si>
  <si>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</si>
  <si>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</si>
  <si>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</si>
  <si>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</si>
  <si>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</si>
  <si>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</si>
  <si>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</si>
  <si>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</si>
  <si>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</si>
  <si>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</si>
  <si>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</si>
  <si>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</si>
  <si>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</si>
  <si>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</si>
  <si>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</si>
  <si>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</si>
  <si>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</si>
  <si>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</si>
  <si>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</si>
  <si>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</si>
  <si>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</si>
  <si>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</si>
  <si>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</si>
  <si>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</si>
  <si>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</si>
  <si>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</si>
  <si>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</si>
  <si>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</si>
  <si>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</si>
  <si>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</si>
  <si>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</si>
  <si>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</si>
  <si>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</si>
  <si>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</si>
  <si>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</si>
  <si>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</si>
  <si>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</si>
  <si>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</si>
  <si>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</si>
  <si>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</si>
  <si>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</si>
  <si>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</si>
  <si>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</si>
  <si>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</si>
  <si>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</si>
  <si>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</si>
  <si>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</si>
  <si>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</si>
  <si>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</si>
  <si>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</si>
  <si>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</si>
  <si>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</si>
  <si>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</si>
  <si>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</si>
  <si>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</si>
  <si>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</si>
  <si>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</si>
  <si>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</si>
  <si>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</si>
  <si>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</si>
  <si>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</si>
  <si>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</si>
  <si>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</si>
  <si>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</si>
  <si>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</si>
  <si>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</si>
  <si>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</si>
  <si>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</si>
  <si>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</si>
  <si>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</si>
  <si>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</si>
  <si>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</si>
  <si>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</si>
  <si>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</si>
  <si>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</si>
  <si>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</si>
  <si>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</si>
  <si>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</si>
  <si>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</si>
  <si>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</si>
  <si>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</si>
  <si>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</si>
  <si>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</si>
  <si>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</si>
  <si>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</si>
  <si>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</si>
  <si>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</si>
  <si>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</si>
  <si>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</si>
  <si>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</si>
  <si>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</si>
  <si>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</si>
  <si>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</si>
  <si>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</si>
  <si>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</si>
  <si>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</si>
  <si>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</si>
  <si>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</si>
  <si>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</si>
  <si>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</si>
  <si>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</si>
  <si>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</si>
  <si>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</si>
  <si>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</si>
  <si>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</si>
  <si>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</si>
  <si>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</si>
  <si>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</si>
  <si>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</si>
  <si>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</si>
  <si>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</si>
  <si>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</si>
  <si>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</si>
  <si>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</si>
  <si>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</si>
  <si>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</si>
  <si>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</si>
  <si>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</si>
  <si>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</si>
  <si>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</si>
  <si>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</si>
  <si>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</si>
  <si>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</si>
  <si>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</si>
  <si>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</si>
  <si>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</si>
  <si>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</si>
  <si>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</si>
  <si>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</si>
  <si>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</si>
  <si>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</si>
  <si>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</si>
  <si>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</si>
  <si>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</si>
  <si>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</si>
  <si>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</si>
  <si>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</si>
  <si>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</si>
  <si>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</si>
  <si>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</si>
  <si>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</si>
  <si>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</si>
  <si>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</si>
  <si>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</si>
  <si>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</si>
  <si>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</si>
  <si>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</si>
  <si>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</si>
  <si>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</si>
  <si>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</si>
  <si>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</si>
  <si>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</si>
  <si>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</si>
  <si>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</si>
  <si>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</si>
  <si>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</si>
  <si>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</si>
  <si>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</si>
  <si>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</si>
  <si>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</si>
  <si>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</si>
  <si>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</si>
  <si>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</si>
  <si>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</si>
  <si>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</si>
  <si>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</si>
  <si>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</si>
  <si>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</si>
  <si>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</si>
  <si>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</si>
  <si>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</si>
  <si>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</si>
  <si>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</si>
  <si>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</si>
  <si>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</si>
  <si>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</si>
  <si>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</si>
  <si>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</si>
  <si>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</si>
  <si>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</si>
  <si>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</si>
  <si>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</si>
  <si>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</si>
  <si>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</si>
  <si>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</si>
  <si>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</si>
  <si>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</si>
  <si>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</si>
  <si>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</si>
  <si>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</si>
  <si>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</si>
  <si>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</si>
  <si>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</si>
  <si>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</si>
  <si>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</si>
  <si>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</si>
  <si>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</si>
  <si>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</si>
  <si>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</si>
  <si>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</si>
  <si>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</si>
  <si>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</si>
  <si>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</si>
  <si>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</si>
  <si>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</si>
  <si>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</si>
  <si>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</si>
  <si>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</si>
  <si>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</si>
  <si>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</si>
  <si>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</si>
  <si>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</si>
  <si>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</si>
  <si>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</si>
  <si>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</si>
  <si>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</si>
  <si>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</si>
  <si>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</si>
  <si>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</si>
  <si>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</si>
  <si>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</si>
  <si>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</si>
  <si>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</si>
  <si>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</si>
  <si>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</si>
  <si>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</si>
  <si>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</si>
  <si>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</si>
  <si>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</si>
  <si>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</si>
  <si>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</si>
  <si>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</si>
  <si>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</si>
  <si>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</si>
  <si>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</si>
  <si>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</si>
  <si>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</si>
  <si>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</si>
  <si>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</si>
  <si>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</si>
  <si>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</si>
  <si>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</si>
  <si>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</si>
  <si>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</si>
  <si>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</si>
  <si>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</si>
  <si>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</si>
  <si>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</si>
  <si>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</si>
  <si>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</si>
  <si>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</si>
  <si>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</si>
  <si>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</si>
  <si>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</si>
  <si>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</si>
  <si>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</si>
  <si>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</si>
  <si>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</si>
  <si>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</si>
  <si>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</si>
  <si>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</si>
  <si>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</si>
  <si>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</si>
  <si>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</si>
  <si>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</si>
  <si>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</si>
  <si>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</si>
  <si>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</si>
  <si>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</si>
  <si>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</si>
  <si>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</si>
  <si>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</si>
  <si>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</si>
  <si>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</si>
  <si>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</si>
  <si>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</si>
  <si>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</si>
  <si>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</si>
  <si>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</si>
  <si>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</si>
  <si>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</si>
  <si>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</si>
  <si>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</si>
  <si>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</si>
  <si>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</si>
  <si>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</si>
  <si>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</si>
  <si>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</si>
  <si>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</si>
  <si>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</si>
  <si>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</si>
  <si>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</si>
  <si>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</si>
  <si>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</si>
  <si>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</si>
  <si>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</si>
  <si>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</si>
  <si>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</si>
  <si>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</si>
  <si>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</si>
  <si>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</si>
  <si>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</si>
  <si>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</si>
  <si>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</si>
  <si>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</si>
  <si>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</si>
  <si>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</si>
  <si>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</si>
  <si>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</si>
  <si>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</si>
  <si>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</si>
  <si>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</si>
  <si>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</si>
  <si>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</si>
  <si>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</si>
  <si>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</si>
  <si>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</si>
  <si>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</si>
  <si>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</si>
  <si>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</si>
  <si>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</si>
  <si>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</si>
  <si>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</si>
  <si>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</si>
  <si>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</si>
  <si>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</si>
  <si>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</si>
  <si>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</si>
  <si>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</si>
  <si>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</si>
  <si>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</si>
  <si>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</si>
  <si>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</si>
  <si>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</si>
  <si>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</si>
  <si>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</si>
  <si>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</si>
  <si>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</si>
  <si>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</si>
  <si>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</si>
  <si>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</si>
  <si>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</si>
  <si>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</si>
  <si>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</si>
  <si>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</si>
  <si>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</si>
  <si>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</si>
  <si>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</si>
  <si>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</si>
  <si>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</si>
  <si>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</si>
  <si>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</si>
  <si>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</si>
  <si>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</si>
  <si>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</si>
  <si>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</si>
  <si>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</si>
  <si>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</si>
  <si>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</si>
  <si>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</si>
  <si>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</si>
  <si>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</si>
  <si>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</si>
  <si>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</si>
  <si>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</si>
  <si>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</si>
  <si>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</si>
  <si>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</si>
  <si>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</si>
  <si>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</si>
  <si>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</si>
  <si>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</si>
  <si>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</si>
  <si>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</si>
  <si>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</si>
  <si>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</si>
  <si>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</si>
  <si>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</si>
  <si>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</si>
  <si>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</si>
  <si>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</si>
  <si>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</si>
  <si>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</si>
  <si>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</si>
  <si>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</si>
  <si>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</si>
  <si>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</si>
  <si>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</si>
  <si>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</si>
  <si>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</si>
  <si>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</si>
  <si>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</si>
  <si>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</si>
  <si>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</si>
  <si>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</si>
  <si>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</si>
  <si>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</si>
  <si>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</si>
  <si>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</si>
  <si>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</si>
  <si>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</si>
  <si>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</si>
  <si>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</si>
  <si>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</si>
  <si>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</si>
  <si>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</si>
  <si>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</si>
  <si>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</si>
  <si>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</si>
  <si>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</si>
  <si>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</si>
  <si>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</si>
  <si>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</si>
  <si>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</si>
  <si>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</si>
  <si>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</si>
  <si>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</si>
  <si>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</si>
  <si>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</si>
  <si>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</si>
  <si>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</si>
  <si>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</si>
  <si>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</si>
  <si>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</si>
  <si>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</si>
  <si>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</si>
  <si>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</si>
  <si>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</si>
  <si>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</si>
  <si>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</si>
  <si>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</si>
  <si>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</si>
  <si>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</si>
  <si>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</si>
  <si>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</si>
  <si>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</si>
  <si>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</si>
  <si>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</si>
  <si>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</si>
  <si>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</si>
  <si>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</si>
  <si>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</si>
  <si>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</si>
  <si>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</si>
  <si>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</si>
  <si>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</si>
  <si>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</si>
  <si>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</si>
  <si>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</si>
  <si>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</si>
  <si>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</si>
  <si>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</si>
  <si>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</si>
  <si>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</si>
  <si>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</si>
  <si>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</si>
  <si>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</si>
  <si>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</si>
  <si>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</si>
  <si>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</si>
  <si>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</si>
  <si>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</si>
  <si>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</si>
  <si>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</si>
  <si>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</si>
  <si>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</si>
  <si>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</si>
  <si>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</si>
  <si>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</si>
  <si>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</si>
  <si>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</si>
  <si>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</si>
  <si>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</si>
  <si>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</si>
  <si>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</si>
  <si>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</si>
  <si>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</si>
  <si>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</si>
  <si>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</si>
  <si>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</si>
  <si>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</si>
  <si>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</si>
  <si>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</si>
  <si>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</si>
  <si>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</si>
  <si>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</si>
  <si>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</si>
  <si>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</si>
  <si>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</si>
  <si>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</si>
  <si>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</si>
  <si>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</si>
  <si>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</si>
  <si>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</si>
  <si>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</si>
  <si>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</si>
  <si>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</si>
  <si>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</si>
  <si>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</si>
  <si>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</si>
  <si>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</si>
  <si>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</si>
  <si>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</si>
  <si>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</si>
  <si>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</si>
  <si>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</si>
  <si>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</si>
  <si>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</si>
  <si>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</si>
  <si>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</si>
  <si>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</si>
  <si>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</si>
  <si>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</si>
  <si>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</si>
  <si>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</si>
  <si>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</si>
  <si>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</si>
  <si>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152</t>
  </si>
  <si>
    <t>Public Hospital District No 1 of Mason County, WA, DBA Mason Health</t>
  </si>
  <si>
    <t>901 Mountain View Drive</t>
  </si>
  <si>
    <t>901 Mountain View Drive, PO Box 1668</t>
  </si>
  <si>
    <t>Shelton, WA 98584</t>
  </si>
  <si>
    <t>Mason</t>
  </si>
  <si>
    <t>Eric Moll</t>
  </si>
  <si>
    <t>Rick Smith, CFO</t>
  </si>
  <si>
    <t>Don Wilson</t>
  </si>
  <si>
    <t>360-432-7721</t>
  </si>
  <si>
    <t>360-427-1921</t>
  </si>
  <si>
    <t/>
  </si>
  <si>
    <t>12/31/2021</t>
  </si>
  <si>
    <t>Darrin Moody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</si>
</sst>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37" fontId="19" fillId="10" borderId="0">
      <alignment horizontal="left" vertical="center"/>
    </xf>
    <xf numFmtId="43" fontId="1" fillId="0" borderId="0" applyFont="0" applyFill="0" applyBorder="0" applyAlignment="0" applyProtection="0"/>
    <xf numFmtId="0" fontId="1" fillId="9" borderId="33" applyNumberFormat="0" applyFont="0" applyAlignment="0" applyProtection="0"/>
    <xf numFmtId="44" fontId="1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49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13" fillId="0" borderId="0" xfId="2" applyNumberFormat="1" applyAlignme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5" fillId="2" borderId="0" xfId="0" applyFont="1" applyFill="1" applyProtection="1"/>
    <xf numFmtId="37" fontId="5" fillId="2" borderId="0" xfId="0" quotePrefix="1" applyFont="1" applyFill="1" applyAlignment="1" applyProtection="1">
      <alignment horizontal="center"/>
    </xf>
    <xf numFmtId="37" fontId="5" fillId="2" borderId="0" xfId="0" quotePrefix="1" applyFont="1" applyFill="1" applyAlignment="1" applyProtection="1"/>
    <xf numFmtId="4" fontId="5" fillId="2" borderId="0" xfId="0" applyNumberFormat="1" applyFont="1" applyFill="1" applyProtection="1"/>
    <xf numFmtId="39" fontId="5" fillId="2" borderId="0" xfId="0" applyNumberFormat="1" applyFont="1" applyFill="1" applyProtection="1"/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0" borderId="0" xfId="2" applyNumberFormat="1" applyFont="1" applyAlignment="1" applyProtection="1">
      <alignment horizontal="left"/>
    </xf>
    <xf numFmtId="37" fontId="5" fillId="8" borderId="0" xfId="0" quotePrefix="1" applyFont="1" applyFill="1" applyAlignment="1" applyProtection="1">
      <alignment horizontal="left"/>
    </xf>
    <xf numFmtId="37" fontId="5" fillId="0" borderId="0" xfId="2" applyNumberFormat="1" applyFont="1" applyAlignment="1" applyProtection="1"/>
    <xf numFmtId="37" fontId="17" fillId="0" borderId="0" xfId="0" quotePrefix="1" applyFont="1" applyAlignment="1" applyProtection="1">
      <alignment horizontal="left"/>
    </xf>
    <xf numFmtId="37" fontId="17" fillId="0" borderId="0" xfId="2" applyNumberFormat="1" applyFont="1" applyAlignment="1" applyProtection="1"/>
    <xf numFmtId="37" fontId="5" fillId="3" borderId="0" xfId="0" applyFont="1" applyFill="1"/>
    <xf numFmtId="38" fontId="5" fillId="3" borderId="0" xfId="0" applyNumberFormat="1" applyFont="1" applyFill="1" applyAlignment="1">
      <alignment horizontal="center"/>
    </xf>
    <xf numFmtId="37" fontId="5" fillId="3" borderId="0" xfId="0" applyFont="1" applyFill="1" applyAlignment="1">
      <alignment horizontal="center"/>
    </xf>
    <xf numFmtId="37" fontId="5" fillId="3" borderId="0" xfId="0" quotePrefix="1" applyFont="1" applyFill="1" applyAlignment="1">
      <alignment horizontal="center"/>
    </xf>
    <xf numFmtId="37" fontId="11" fillId="0" borderId="1" xfId="0" applyFont="1" applyBorder="1" applyProtection="1">
      <protection locked="0"/>
    </xf>
    <xf numFmtId="37" fontId="11" fillId="0" borderId="1" xfId="0" quotePrefix="1" applyFont="1" applyBorder="1" applyProtection="1">
      <protection locked="0"/>
    </xf>
    <xf numFmtId="37" fontId="5" fillId="3" borderId="0" xfId="0" quotePrefix="1" applyFont="1" applyFill="1"/>
    <xf numFmtId="37" fontId="5" fillId="3" borderId="0" xfId="0" quotePrefix="1" applyFont="1" applyFill="1" applyAlignment="1">
      <alignment horizontal="left"/>
    </xf>
    <xf numFmtId="38" fontId="5" fillId="3" borderId="0" xfId="0" applyNumberFormat="1" applyFont="1" applyFill="1"/>
    <xf numFmtId="166" fontId="5" fillId="3" borderId="0" xfId="0" applyNumberFormat="1" applyFont="1" applyFill="1" applyAlignment="1">
      <alignment horizontal="center"/>
    </xf>
    <xf numFmtId="37" fontId="5" fillId="3" borderId="0" xfId="0" quotePrefix="1" applyFont="1" applyFill="1" applyAlignment="1">
      <alignment horizontal="fill"/>
    </xf>
    <xf numFmtId="39" fontId="5" fillId="3" borderId="0" xfId="0" quotePrefix="1" applyNumberFormat="1" applyFont="1" applyFill="1" applyAlignment="1">
      <alignment horizontal="left"/>
    </xf>
    <xf numFmtId="4" fontId="5" fillId="3" borderId="0" xfId="0" applyNumberFormat="1" applyFont="1" applyFill="1"/>
    <xf numFmtId="37" fontId="11" fillId="4" borderId="1" xfId="0" quotePrefix="1" applyFont="1" applyFill="1" applyBorder="1" applyProtection="1">
      <protection locked="0"/>
    </xf>
    <xf numFmtId="39" fontId="5" fillId="3" borderId="0" xfId="0" quotePrefix="1" applyNumberFormat="1" applyFont="1" applyFill="1" applyAlignment="1">
      <alignment horizontal="fill"/>
    </xf>
    <xf numFmtId="39" fontId="5" fillId="3" borderId="0" xfId="0" applyNumberFormat="1" applyFont="1" applyFill="1"/>
    <xf numFmtId="37" fontId="5" fillId="3" borderId="0" xfId="0" applyFont="1" applyFill="1" applyAlignment="1">
      <alignment horizontal="centerContinuous"/>
    </xf>
    <xf numFmtId="37" fontId="5" fillId="3" borderId="0" xfId="0" applyFont="1" applyFill="1" applyAlignment="1">
      <alignment horizontal="right"/>
    </xf>
    <xf numFmtId="49" fontId="11" fillId="4" borderId="1" xfId="0" quotePrefix="1" applyNumberFormat="1" applyFont="1" applyFill="1" applyBorder="1" applyProtection="1">
      <protection locked="0"/>
    </xf>
    <xf numFmtId="37" fontId="12" fillId="3" borderId="0" xfId="0" applyFont="1" applyFill="1"/>
    <xf numFmtId="38" fontId="11" fillId="4" borderId="1" xfId="0" quotePrefix="1" applyNumberFormat="1" applyFont="1" applyFill="1" applyBorder="1" applyProtection="1">
      <protection locked="0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>
      <alignment horizontal="centerContinuous"/>
    </xf>
    <xf numFmtId="38" fontId="5" fillId="3" borderId="0" xfId="0" applyNumberFormat="1" applyFont="1" applyFill="1" applyAlignment="1">
      <alignment horizontal="right"/>
    </xf>
    <xf numFmtId="37" fontId="5" fillId="3" borderId="0" xfId="0" quotePrefix="1" applyFont="1" applyFill="1" applyAlignment="1">
      <alignment horizontal="centerContinuous"/>
    </xf>
    <xf numFmtId="37" fontId="11" fillId="3" borderId="0" xfId="0" quotePrefix="1" applyFont="1" applyFill="1" applyAlignment="1">
      <alignment horizontal="left"/>
    </xf>
    <xf numFmtId="37" fontId="11" fillId="3" borderId="0" xfId="0" applyFont="1" applyFill="1" applyAlignment="1">
      <alignment horizontal="center"/>
    </xf>
    <xf numFmtId="38" fontId="11" fillId="3" borderId="0" xfId="0" applyNumberFormat="1" applyFont="1" applyFill="1" applyAlignment="1">
      <alignment horizontal="center"/>
    </xf>
    <xf numFmtId="37" fontId="5" fillId="0" borderId="0" xfId="0" quotePrefix="1" applyFont="1" applyAlignment="1">
      <alignment horizontal="left"/>
    </xf>
    <xf numFmtId="38" fontId="11" fillId="3" borderId="0" xfId="0" applyNumberFormat="1" applyFont="1" applyFill="1"/>
    <xf numFmtId="37" fontId="11" fillId="3" borderId="0" xfId="0" applyFont="1" applyFill="1"/>
    <xf numFmtId="37" fontId="5" fillId="3" borderId="0" xfId="0" applyFont="1" applyFill="1" applyAlignment="1">
      <alignment horizontal="left"/>
    </xf>
    <xf numFmtId="38" fontId="11" fillId="4" borderId="1" xfId="4" applyNumberFormat="1" applyFont="1" applyFill="1" applyBorder="1" applyProtection="1">
      <protection locked="0"/>
    </xf>
    <xf numFmtId="38" fontId="11" fillId="4" borderId="1" xfId="5" applyNumberFormat="1" applyFont="1" applyFill="1" applyBorder="1" applyProtection="1">
      <protection locked="0"/>
    </xf>
    <xf numFmtId="38" fontId="11" fillId="4" borderId="1" xfId="6" applyNumberFormat="1" applyFont="1" applyFill="1" applyBorder="1" applyProtection="1">
      <protection locked="0"/>
    </xf>
    <xf numFmtId="39" fontId="5" fillId="0" borderId="0" xfId="0" applyNumberFormat="1" applyFont="1"/>
    <xf numFmtId="37" fontId="5" fillId="0" borderId="0" xfId="0" applyFont="1" applyAlignment="1">
      <alignment horizontal="center"/>
    </xf>
    <xf numFmtId="3" fontId="5" fillId="0" borderId="0" xfId="0" applyNumberFormat="1" applyFont="1"/>
    <xf numFmtId="37" fontId="5" fillId="0" borderId="0" xfId="0" quotePrefix="1" applyFont="1" applyAlignment="1">
      <alignment horizontal="fill"/>
    </xf>
    <xf numFmtId="37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37" fontId="5" fillId="0" borderId="0" xfId="0" quotePrefix="1" applyFont="1" applyAlignment="1">
      <alignment horizontal="center"/>
    </xf>
    <xf numFmtId="37" fontId="5" fillId="0" borderId="0" xfId="0" quotePrefix="1" applyFont="1"/>
    <xf numFmtId="2" fontId="5" fillId="0" borderId="0" xfId="0" applyNumberFormat="1" applyFont="1"/>
    <xf numFmtId="10" fontId="5" fillId="0" borderId="0" xfId="0" applyNumberFormat="1" applyFont="1"/>
    <xf numFmtId="164" fontId="5" fillId="0" borderId="0" xfId="0" applyNumberFormat="1" applyFont="1"/>
    <xf numFmtId="37" fontId="5" fillId="8" borderId="0" xfId="0" applyFont="1" applyFill="1"/>
    <xf numFmtId="37" fontId="11" fillId="0" borderId="0" xfId="0" applyFont="1"/>
    <xf numFmtId="164" fontId="5" fillId="0" borderId="0" xfId="0" applyNumberFormat="1" applyFont="1" applyAlignment="1">
      <alignment horizontal="left"/>
    </xf>
    <xf numFmtId="165" fontId="18" fillId="0" borderId="0" xfId="1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  <xf numFmtId="37" fontId="11" fillId="3" borderId="0" xfId="0" applyFont="1" applyFill="1" applyAlignment="1">
      <alignment horizontal="center" vertical="center"/>
    </xf>
  </cellXfs>
  <cellStyles count="19">
    <cellStyle name="Comma" xfId="1" builtinId="3"/>
    <cellStyle name="Comma 2" xfId="14" xr:uid="{A74B52A7-B9C4-41C3-A6AE-D49F5A188637}"/>
    <cellStyle name="Comma 3" xfId="17" xr:uid="{58953DCA-4494-40CB-A1D2-B0E985363C6F}"/>
    <cellStyle name="Comma 4" xfId="9" xr:uid="{959499A5-B294-47B8-8461-DF244C441D2D}"/>
    <cellStyle name="Currency 2" xfId="15" xr:uid="{CCEF527B-8781-4D24-A669-D8F8D2E68064}"/>
    <cellStyle name="Currency 3" xfId="18" xr:uid="{2D8A2D50-740B-4DDC-A8FC-D853DB9F3C3B}"/>
    <cellStyle name="Currency 4" xfId="11" xr:uid="{12DFEF7F-091C-41D7-B050-E0C5008B9577}"/>
    <cellStyle name="Hyperlink" xfId="2" builtinId="8"/>
    <cellStyle name="Normal" xfId="0" builtinId="0"/>
    <cellStyle name="Normal 2" xfId="12" xr:uid="{EC844BBA-6B0D-48AA-A87E-05B660FA99F1}"/>
    <cellStyle name="Normal 3" xfId="13" xr:uid="{C46E0C4C-8F21-4CCD-86E6-B2C6037BF051}"/>
    <cellStyle name="Normal 4" xfId="16" xr:uid="{C3D46A1D-11E9-4804-9A63-8B6622DDC97A}"/>
    <cellStyle name="Normal 5" xfId="7" xr:uid="{39B66C6E-3CCE-4DF1-99F0-733311524564}"/>
    <cellStyle name="Normal 6" xfId="5" xr:uid="{04C42EF6-0171-40A6-9548-95859AD13FA9}"/>
    <cellStyle name="Normal 7" xfId="6" xr:uid="{DC6074A8-E7D8-4F72-AA60-A98F90203E6F}"/>
    <cellStyle name="Normal 8" xfId="4" xr:uid="{56B4DD28-AC68-452B-BA32-D012A77DE561}"/>
    <cellStyle name="Note 2" xfId="10" xr:uid="{423E9DFB-DD05-4DBC-B1DC-B9BB418B61D3}"/>
    <cellStyle name="Percent" xfId="3" builtinId="5"/>
    <cellStyle name="Sub-Section Header" xfId="8" xr:uid="{A61A9EBD-83A3-4132-98B9-1BA587F369C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1155</v>
          </cell>
          <cell r="D59"/>
          <cell r="E59">
            <v>3375</v>
          </cell>
          <cell r="F59"/>
          <cell r="G59"/>
          <cell r="H59"/>
          <cell r="I59"/>
          <cell r="J59">
            <v>648</v>
          </cell>
          <cell r="K59"/>
          <cell r="L59"/>
          <cell r="M59"/>
          <cell r="N59"/>
          <cell r="O59">
            <v>951</v>
          </cell>
          <cell r="P59">
            <v>117668</v>
          </cell>
          <cell r="Q59">
            <v>129253</v>
          </cell>
          <cell r="R59">
            <v>117668</v>
          </cell>
          <cell r="U59">
            <v>238993</v>
          </cell>
          <cell r="V59"/>
          <cell r="W59">
            <v>1983</v>
          </cell>
          <cell r="X59">
            <v>28963</v>
          </cell>
          <cell r="Y59">
            <v>42814</v>
          </cell>
          <cell r="Z59"/>
          <cell r="AA59">
            <v>1325</v>
          </cell>
          <cell r="AC59">
            <v>6616</v>
          </cell>
          <cell r="AD59"/>
          <cell r="AE59">
            <v>22468</v>
          </cell>
          <cell r="AF59"/>
          <cell r="AG59">
            <v>20224</v>
          </cell>
          <cell r="AH59"/>
          <cell r="AI59"/>
          <cell r="AJ59"/>
          <cell r="AK59"/>
          <cell r="AL59"/>
          <cell r="AM59"/>
          <cell r="AN59"/>
          <cell r="AO59"/>
          <cell r="AP59">
            <v>86676</v>
          </cell>
          <cell r="AQ59"/>
          <cell r="AR59"/>
          <cell r="AS59"/>
          <cell r="AT59"/>
          <cell r="AU59"/>
          <cell r="AY59">
            <v>27338.623616236167</v>
          </cell>
          <cell r="AZ59"/>
          <cell r="BA59"/>
          <cell r="BE59">
            <v>185453.38000000003</v>
          </cell>
        </row>
        <row r="72">
          <cell r="C72">
            <v>3062079.01</v>
          </cell>
          <cell r="D72">
            <v>0</v>
          </cell>
          <cell r="E72">
            <v>6376586.4400000004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47182.8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153033.59000000003</v>
          </cell>
          <cell r="P72">
            <v>3502583.61</v>
          </cell>
          <cell r="Q72">
            <v>1833941.7699999996</v>
          </cell>
          <cell r="R72">
            <v>-232096.60000000009</v>
          </cell>
          <cell r="S72">
            <v>4119215.05</v>
          </cell>
          <cell r="T72">
            <v>0</v>
          </cell>
          <cell r="U72">
            <v>5562145.589999998</v>
          </cell>
          <cell r="V72">
            <v>0</v>
          </cell>
          <cell r="W72">
            <v>421344.82000000007</v>
          </cell>
          <cell r="X72">
            <v>1247793.3500000001</v>
          </cell>
          <cell r="Y72">
            <v>3288957.45</v>
          </cell>
          <cell r="Z72">
            <v>0</v>
          </cell>
          <cell r="AA72">
            <v>191330.52000000002</v>
          </cell>
          <cell r="AB72">
            <v>1157822.9200000009</v>
          </cell>
          <cell r="AC72">
            <v>1325828.19</v>
          </cell>
          <cell r="AD72">
            <v>0</v>
          </cell>
          <cell r="AE72">
            <v>2307921.6400000006</v>
          </cell>
          <cell r="AF72">
            <v>0</v>
          </cell>
          <cell r="AG72">
            <v>8966174.4000000004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23290777.740000002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363442.75</v>
          </cell>
          <cell r="AW72">
            <v>0</v>
          </cell>
          <cell r="AX72">
            <v>0</v>
          </cell>
          <cell r="AY72">
            <v>1377360.5799999996</v>
          </cell>
          <cell r="AZ72">
            <v>0</v>
          </cell>
          <cell r="BA72">
            <v>323070.11</v>
          </cell>
          <cell r="BB72">
            <v>0</v>
          </cell>
          <cell r="BC72">
            <v>0</v>
          </cell>
          <cell r="BD72">
            <v>495636.64999999997</v>
          </cell>
          <cell r="BE72">
            <v>2393334.3699999996</v>
          </cell>
          <cell r="BF72">
            <v>1969688.8900000004</v>
          </cell>
          <cell r="BG72">
            <v>0</v>
          </cell>
          <cell r="BH72">
            <v>5587099.209999999</v>
          </cell>
          <cell r="BI72">
            <v>0</v>
          </cell>
          <cell r="BJ72">
            <v>875756.53</v>
          </cell>
          <cell r="BK72">
            <v>2021383.5599999998</v>
          </cell>
          <cell r="BL72">
            <v>1624689.7300000002</v>
          </cell>
          <cell r="BM72">
            <v>0</v>
          </cell>
          <cell r="BN72">
            <v>4355792.4999999991</v>
          </cell>
          <cell r="BO72">
            <v>242456.45</v>
          </cell>
          <cell r="BP72">
            <v>236391.72999999998</v>
          </cell>
          <cell r="BQ72">
            <v>0</v>
          </cell>
          <cell r="BR72">
            <v>1200613.9700000002</v>
          </cell>
          <cell r="BS72">
            <v>0</v>
          </cell>
          <cell r="BT72">
            <v>0</v>
          </cell>
          <cell r="BU72">
            <v>0</v>
          </cell>
          <cell r="BV72">
            <v>2007378.3499999999</v>
          </cell>
          <cell r="BW72">
            <v>291643.48000000004</v>
          </cell>
          <cell r="BX72">
            <v>0</v>
          </cell>
          <cell r="BY72">
            <v>3823570.53</v>
          </cell>
          <cell r="BZ72">
            <v>0</v>
          </cell>
          <cell r="CA72">
            <v>320479.15999999997</v>
          </cell>
          <cell r="CB72">
            <v>0</v>
          </cell>
          <cell r="CC72">
            <v>1401789.9200000002</v>
          </cell>
          <cell r="CD72">
            <v>313579.89999999991</v>
          </cell>
        </row>
        <row r="83">
          <cell r="C83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" transitionEvaluation="1" transitionEntry="1" codeName="Sheet1">
    <pageSetUpPr autoPageBreaks="0" fitToPage="1"/>
  </sheetPr>
  <dimension ref="A1:CF817"/>
  <sheetViews>
    <sheetView showGridLines="0" tabSelected="1" topLeftCell="A43" zoomScale="70" zoomScaleNormal="70" workbookViewId="0">
      <pane xSplit="1" ySplit="4" topLeftCell="B47" activePane="bottomRight" state="frozen"/>
      <selection activeCell="A43" sqref="A43"/>
      <selection pane="topRight" activeCell="B43" sqref="B43"/>
      <selection pane="bottomLeft" activeCell="A47" sqref="A47"/>
      <selection pane="bottomRight" activeCell="C91" sqref="C9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1257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295"/>
      <c r="C15" s="236"/>
    </row>
    <row r="16" spans="1:6" ht="12.75" customHeight="1" x14ac:dyDescent="0.3">
      <c r="A16" s="296" t="s">
        <v>1266</v>
      </c>
      <c r="C16" s="236"/>
      <c r="F16" s="289"/>
    </row>
    <row r="17" spans="1:6" ht="12.75" customHeight="1" x14ac:dyDescent="0.3">
      <c r="A17" s="296" t="s">
        <v>1264</v>
      </c>
      <c r="C17" s="289"/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">
      <c r="A21" s="199"/>
      <c r="C21" s="236"/>
    </row>
    <row r="22" spans="1:6" ht="12.65" customHeight="1" x14ac:dyDescent="0.3">
      <c r="A22" s="238" t="s">
        <v>1253</v>
      </c>
      <c r="B22" s="239"/>
      <c r="C22" s="240"/>
      <c r="D22" s="238"/>
      <c r="E22" s="238"/>
    </row>
    <row r="23" spans="1:6" ht="12.65" customHeight="1" x14ac:dyDescent="0.3">
      <c r="B23" s="199"/>
      <c r="C23" s="236"/>
    </row>
    <row r="24" spans="1:6" ht="12.65" customHeight="1" x14ac:dyDescent="0.3">
      <c r="A24" s="241" t="s">
        <v>3</v>
      </c>
      <c r="C24" s="236"/>
    </row>
    <row r="25" spans="1:6" ht="12.65" customHeight="1" x14ac:dyDescent="0.3">
      <c r="A25" s="198" t="s">
        <v>1234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1235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1236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1237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686355.76</v>
      </c>
      <c r="D47" s="184"/>
      <c r="E47" s="184">
        <v>1567618.1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490976.43</v>
      </c>
      <c r="Q47" s="184">
        <v>484608.93999999994</v>
      </c>
      <c r="R47" s="184">
        <v>209111.28999999998</v>
      </c>
      <c r="S47" s="184"/>
      <c r="T47" s="184"/>
      <c r="U47" s="184">
        <v>708879.66</v>
      </c>
      <c r="V47" s="184"/>
      <c r="W47" s="184">
        <v>83905.12000000001</v>
      </c>
      <c r="X47" s="184">
        <v>148908.13</v>
      </c>
      <c r="Y47" s="184">
        <v>707662.34</v>
      </c>
      <c r="Z47" s="184"/>
      <c r="AA47" s="184">
        <v>29715.789999999997</v>
      </c>
      <c r="AB47" s="184">
        <v>549092.24000000011</v>
      </c>
      <c r="AC47" s="184">
        <v>310348.45</v>
      </c>
      <c r="AD47" s="184"/>
      <c r="AE47" s="184">
        <v>566369.41999999993</v>
      </c>
      <c r="AF47" s="184"/>
      <c r="AG47" s="184">
        <v>938344.39000000013</v>
      </c>
      <c r="AH47" s="184"/>
      <c r="AI47" s="184"/>
      <c r="AJ47" s="184"/>
      <c r="AK47" s="184"/>
      <c r="AL47" s="184"/>
      <c r="AM47" s="184"/>
      <c r="AN47" s="184"/>
      <c r="AO47" s="184"/>
      <c r="AP47" s="184">
        <v>4881682.84</v>
      </c>
      <c r="AQ47" s="184"/>
      <c r="AR47" s="184"/>
      <c r="AS47" s="184"/>
      <c r="AT47" s="184"/>
      <c r="AU47" s="184"/>
      <c r="AV47" s="184">
        <v>98605.73</v>
      </c>
      <c r="AW47" s="184"/>
      <c r="AX47" s="184"/>
      <c r="AY47" s="184">
        <v>449300.24</v>
      </c>
      <c r="AZ47" s="184"/>
      <c r="BA47" s="184">
        <v>45144.999999999993</v>
      </c>
      <c r="BB47" s="184"/>
      <c r="BC47" s="184"/>
      <c r="BD47" s="184">
        <v>122869.95</v>
      </c>
      <c r="BE47" s="184">
        <v>322272.66999999993</v>
      </c>
      <c r="BF47" s="184">
        <v>644212.52999999991</v>
      </c>
      <c r="BG47" s="184"/>
      <c r="BH47" s="184">
        <v>0</v>
      </c>
      <c r="BI47" s="184"/>
      <c r="BJ47" s="184">
        <v>198068.69</v>
      </c>
      <c r="BK47" s="184">
        <v>594825</v>
      </c>
      <c r="BL47" s="184">
        <v>536121.79999999993</v>
      </c>
      <c r="BM47" s="184"/>
      <c r="BN47" s="184">
        <v>560851.14999999991</v>
      </c>
      <c r="BO47" s="184">
        <v>41889.839999999997</v>
      </c>
      <c r="BP47" s="184"/>
      <c r="BQ47" s="184"/>
      <c r="BR47" s="184">
        <v>157000.64000000001</v>
      </c>
      <c r="BS47" s="184"/>
      <c r="BT47" s="184"/>
      <c r="BU47" s="184"/>
      <c r="BV47" s="184">
        <v>539962.70000000007</v>
      </c>
      <c r="BW47" s="184">
        <v>60518.28</v>
      </c>
      <c r="BX47" s="184"/>
      <c r="BY47" s="184">
        <v>973980.52</v>
      </c>
      <c r="BZ47" s="184"/>
      <c r="CA47" s="184">
        <v>29612.01</v>
      </c>
      <c r="CB47" s="184"/>
      <c r="CC47" s="184">
        <v>421978.81</v>
      </c>
      <c r="CD47" s="195"/>
      <c r="CE47" s="195">
        <f>SUM(C47:CC47)</f>
        <v>18160794.460000001</v>
      </c>
    </row>
    <row r="48" spans="1:83" ht="12.65" customHeight="1" x14ac:dyDescent="0.3">
      <c r="A48" s="175" t="s">
        <v>205</v>
      </c>
      <c r="B48" s="183"/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7902106.0799999991</v>
      </c>
      <c r="C51" s="184">
        <v>200723.61368719503</v>
      </c>
      <c r="D51" s="184"/>
      <c r="E51" s="184">
        <v>592913.34961133101</v>
      </c>
      <c r="F51" s="184"/>
      <c r="G51" s="184"/>
      <c r="H51" s="184"/>
      <c r="I51" s="184"/>
      <c r="J51" s="184">
        <v>14843.951180114329</v>
      </c>
      <c r="K51" s="184"/>
      <c r="L51" s="184"/>
      <c r="M51" s="184"/>
      <c r="N51" s="184"/>
      <c r="O51" s="184">
        <v>30021.716502071366</v>
      </c>
      <c r="P51" s="184">
        <v>202182.3568513176</v>
      </c>
      <c r="Q51" s="184">
        <v>223176.92597887141</v>
      </c>
      <c r="R51" s="184">
        <v>9595.9247914765201</v>
      </c>
      <c r="S51" s="184">
        <v>91472.465583908895</v>
      </c>
      <c r="T51" s="184"/>
      <c r="U51" s="184">
        <v>135279.72071488301</v>
      </c>
      <c r="V51" s="184"/>
      <c r="W51" s="184">
        <v>65822.667321450892</v>
      </c>
      <c r="X51" s="184">
        <v>24379.210486403568</v>
      </c>
      <c r="Y51" s="184">
        <v>215321.51551368175</v>
      </c>
      <c r="Z51" s="184"/>
      <c r="AA51" s="184">
        <v>21253.244292819338</v>
      </c>
      <c r="AB51" s="184">
        <v>59198.735410900539</v>
      </c>
      <c r="AC51" s="184">
        <v>24805.100669215801</v>
      </c>
      <c r="AD51" s="184"/>
      <c r="AE51" s="184">
        <v>119684.37976899727</v>
      </c>
      <c r="AF51" s="184"/>
      <c r="AG51" s="184">
        <v>293875.00427232753</v>
      </c>
      <c r="AH51" s="184"/>
      <c r="AI51" s="184"/>
      <c r="AJ51" s="184"/>
      <c r="AK51" s="184"/>
      <c r="AL51" s="184"/>
      <c r="AM51" s="184"/>
      <c r="AN51" s="184"/>
      <c r="AO51" s="184"/>
      <c r="AP51" s="184">
        <v>2875129.63</v>
      </c>
      <c r="AQ51" s="184"/>
      <c r="AR51" s="184"/>
      <c r="AS51" s="184"/>
      <c r="AT51" s="184"/>
      <c r="AU51" s="184"/>
      <c r="AV51" s="184">
        <v>8251.1218787208963</v>
      </c>
      <c r="AW51" s="184"/>
      <c r="AX51" s="184"/>
      <c r="AY51" s="184">
        <v>155202.63558633658</v>
      </c>
      <c r="AZ51" s="184"/>
      <c r="BA51" s="184">
        <v>44985.150972808362</v>
      </c>
      <c r="BB51" s="184"/>
      <c r="BC51" s="184"/>
      <c r="BD51" s="184">
        <v>104773.29622456401</v>
      </c>
      <c r="BE51" s="184">
        <v>867316.27287166787</v>
      </c>
      <c r="BF51" s="184">
        <v>70673.750510056198</v>
      </c>
      <c r="BG51" s="184"/>
      <c r="BH51" s="184">
        <v>100181.81204110023</v>
      </c>
      <c r="BI51" s="184"/>
      <c r="BJ51" s="184">
        <v>61019.623806394928</v>
      </c>
      <c r="BK51" s="184">
        <v>84208.004692700939</v>
      </c>
      <c r="BL51" s="184">
        <v>59186.417545887889</v>
      </c>
      <c r="BM51" s="184"/>
      <c r="BN51" s="184">
        <v>165752.27107641721</v>
      </c>
      <c r="BO51" s="184">
        <v>8600.0254052040927</v>
      </c>
      <c r="BP51" s="184">
        <v>87707.818089418986</v>
      </c>
      <c r="BQ51" s="184"/>
      <c r="BR51" s="184">
        <v>65564.608049435978</v>
      </c>
      <c r="BS51" s="184"/>
      <c r="BT51" s="184"/>
      <c r="BU51" s="184"/>
      <c r="BV51" s="184">
        <v>139982.3736300859</v>
      </c>
      <c r="BW51" s="184">
        <v>31467.21796130537</v>
      </c>
      <c r="BX51" s="184"/>
      <c r="BY51" s="184">
        <v>53292.935030587432</v>
      </c>
      <c r="BZ51" s="184"/>
      <c r="CA51" s="184">
        <v>32211.217008069187</v>
      </c>
      <c r="CB51" s="184"/>
      <c r="CC51" s="184">
        <v>562050.01498227066</v>
      </c>
      <c r="CD51" s="195"/>
      <c r="CE51" s="195">
        <f>SUM(C51:CD51)</f>
        <v>7902106.0799999982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7902106.0799999991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">
      <c r="A59" s="171" t="s">
        <v>233</v>
      </c>
      <c r="B59" s="175"/>
      <c r="C59" s="184">
        <v>1166</v>
      </c>
      <c r="D59" s="184"/>
      <c r="E59" s="184">
        <v>4272</v>
      </c>
      <c r="F59" s="184"/>
      <c r="G59" s="184"/>
      <c r="H59" s="184"/>
      <c r="I59" s="184"/>
      <c r="J59" s="184">
        <v>619</v>
      </c>
      <c r="K59" s="184"/>
      <c r="L59" s="184"/>
      <c r="M59" s="184"/>
      <c r="N59" s="184"/>
      <c r="O59" s="184">
        <v>883</v>
      </c>
      <c r="P59" s="185">
        <v>133270</v>
      </c>
      <c r="Q59" s="185">
        <v>121066</v>
      </c>
      <c r="R59" s="185">
        <v>133270</v>
      </c>
      <c r="S59" s="249"/>
      <c r="T59" s="249"/>
      <c r="U59" s="224">
        <v>263013</v>
      </c>
      <c r="V59" s="185"/>
      <c r="W59" s="185">
        <v>2000</v>
      </c>
      <c r="X59" s="185">
        <v>33716</v>
      </c>
      <c r="Y59" s="185">
        <v>23754</v>
      </c>
      <c r="Z59" s="185"/>
      <c r="AA59" s="185">
        <v>1696</v>
      </c>
      <c r="AB59" s="249"/>
      <c r="AC59" s="185">
        <v>5325</v>
      </c>
      <c r="AD59" s="185"/>
      <c r="AE59" s="185">
        <v>20118</v>
      </c>
      <c r="AF59" s="185"/>
      <c r="AG59" s="185">
        <v>17349</v>
      </c>
      <c r="AH59" s="185"/>
      <c r="AI59" s="185"/>
      <c r="AJ59" s="185"/>
      <c r="AK59" s="185"/>
      <c r="AL59" s="185"/>
      <c r="AM59" s="185"/>
      <c r="AN59" s="185"/>
      <c r="AO59" s="185"/>
      <c r="AP59" s="185">
        <v>84202</v>
      </c>
      <c r="AQ59" s="185"/>
      <c r="AR59" s="185"/>
      <c r="AS59" s="185"/>
      <c r="AT59" s="185"/>
      <c r="AU59" s="185"/>
      <c r="AV59" s="249"/>
      <c r="AW59" s="249"/>
      <c r="AX59" s="249"/>
      <c r="AY59" s="185">
        <v>33137.114391143914</v>
      </c>
      <c r="AZ59" s="185"/>
      <c r="BA59" s="249"/>
      <c r="BB59" s="249"/>
      <c r="BC59" s="249"/>
      <c r="BD59" s="249"/>
      <c r="BE59" s="185">
        <v>241486.90000000002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">
      <c r="A60" s="251" t="s">
        <v>234</v>
      </c>
      <c r="B60" s="175"/>
      <c r="C60" s="186">
        <v>19.982597130494504</v>
      </c>
      <c r="D60" s="187"/>
      <c r="E60" s="187">
        <v>48.04791311195055</v>
      </c>
      <c r="F60" s="223"/>
      <c r="G60" s="187"/>
      <c r="H60" s="187"/>
      <c r="I60" s="187"/>
      <c r="J60" s="223">
        <v>0</v>
      </c>
      <c r="K60" s="187"/>
      <c r="L60" s="187"/>
      <c r="M60" s="187"/>
      <c r="N60" s="187"/>
      <c r="O60" s="187">
        <v>0</v>
      </c>
      <c r="P60" s="221">
        <v>16.607230490899724</v>
      </c>
      <c r="Q60" s="221">
        <v>13.104546598729398</v>
      </c>
      <c r="R60" s="221">
        <v>3.9400814835164826</v>
      </c>
      <c r="S60" s="221"/>
      <c r="T60" s="221"/>
      <c r="U60" s="221">
        <v>27.920440970975271</v>
      </c>
      <c r="V60" s="221"/>
      <c r="W60" s="221">
        <v>2.0669674196428574</v>
      </c>
      <c r="X60" s="221">
        <v>3.9518429646291207</v>
      </c>
      <c r="Y60" s="221">
        <v>23.596347804429946</v>
      </c>
      <c r="Z60" s="221"/>
      <c r="AA60" s="221">
        <v>0.90204462293956034</v>
      </c>
      <c r="AB60" s="221">
        <v>13.614623397493132</v>
      </c>
      <c r="AC60" s="221">
        <v>8.5926150630151099</v>
      </c>
      <c r="AD60" s="221"/>
      <c r="AE60" s="221">
        <v>19.669580366414834</v>
      </c>
      <c r="AF60" s="221"/>
      <c r="AG60" s="221">
        <v>30.697131251263738</v>
      </c>
      <c r="AH60" s="221"/>
      <c r="AI60" s="221"/>
      <c r="AJ60" s="221"/>
      <c r="AK60" s="221"/>
      <c r="AL60" s="221"/>
      <c r="AM60" s="221"/>
      <c r="AN60" s="221"/>
      <c r="AO60" s="221"/>
      <c r="AP60" s="221">
        <v>152.94978771897664</v>
      </c>
      <c r="AQ60" s="221"/>
      <c r="AR60" s="221"/>
      <c r="AS60" s="221"/>
      <c r="AT60" s="221"/>
      <c r="AU60" s="221"/>
      <c r="AV60" s="221">
        <v>3.0691837087912091</v>
      </c>
      <c r="AW60" s="221"/>
      <c r="AX60" s="221"/>
      <c r="AY60" s="221">
        <v>17.278887445329666</v>
      </c>
      <c r="AZ60" s="221"/>
      <c r="BA60" s="221">
        <v>1.0092477106799449</v>
      </c>
      <c r="BB60" s="221"/>
      <c r="BC60" s="221"/>
      <c r="BD60" s="221">
        <v>5.8210046710164827</v>
      </c>
      <c r="BE60" s="221">
        <v>11.239351844436813</v>
      </c>
      <c r="BF60" s="221">
        <v>29.426277298420327</v>
      </c>
      <c r="BG60" s="221"/>
      <c r="BH60" s="221">
        <v>0</v>
      </c>
      <c r="BI60" s="221"/>
      <c r="BJ60" s="221">
        <v>6.2639791149587909</v>
      </c>
      <c r="BK60" s="221">
        <v>22.266723634271976</v>
      </c>
      <c r="BL60" s="221">
        <v>23.099238414313188</v>
      </c>
      <c r="BM60" s="221"/>
      <c r="BN60" s="221">
        <v>10.796932541380494</v>
      </c>
      <c r="BO60" s="221">
        <v>1.8538233598214284</v>
      </c>
      <c r="BP60" s="221"/>
      <c r="BQ60" s="221"/>
      <c r="BR60" s="221">
        <v>5.5315300978708777</v>
      </c>
      <c r="BS60" s="221"/>
      <c r="BT60" s="221"/>
      <c r="BU60" s="221"/>
      <c r="BV60" s="221">
        <v>19.895381862293956</v>
      </c>
      <c r="BW60" s="221">
        <v>2.0088628571428573</v>
      </c>
      <c r="BX60" s="221"/>
      <c r="BY60" s="221">
        <v>29.996631211366754</v>
      </c>
      <c r="BZ60" s="221"/>
      <c r="CA60" s="221">
        <v>1.1600067922390112</v>
      </c>
      <c r="CB60" s="221"/>
      <c r="CC60" s="221">
        <v>14.169508336881867</v>
      </c>
      <c r="CD60" s="250" t="s">
        <v>221</v>
      </c>
      <c r="CE60" s="252">
        <f t="shared" ref="CE60:CE70" si="0">SUM(C60:CD60)</f>
        <v>590.53032129658641</v>
      </c>
    </row>
    <row r="61" spans="1:84" ht="12.65" customHeight="1" x14ac:dyDescent="0.3">
      <c r="A61" s="171" t="s">
        <v>235</v>
      </c>
      <c r="B61" s="175"/>
      <c r="C61" s="184">
        <v>2122612.08</v>
      </c>
      <c r="D61" s="184"/>
      <c r="E61" s="184">
        <v>4659053.33</v>
      </c>
      <c r="F61" s="185"/>
      <c r="G61" s="184"/>
      <c r="H61" s="184"/>
      <c r="I61" s="185"/>
      <c r="J61" s="185">
        <v>0</v>
      </c>
      <c r="K61" s="185"/>
      <c r="L61" s="185"/>
      <c r="M61" s="184"/>
      <c r="N61" s="184"/>
      <c r="O61" s="184">
        <v>0</v>
      </c>
      <c r="P61" s="185">
        <v>1410228.5899999999</v>
      </c>
      <c r="Q61" s="185">
        <v>1401259.7799999998</v>
      </c>
      <c r="R61" s="185">
        <v>903136.77</v>
      </c>
      <c r="S61" s="185"/>
      <c r="T61" s="185"/>
      <c r="U61" s="185">
        <v>1925402.5099999998</v>
      </c>
      <c r="V61" s="185"/>
      <c r="W61" s="185">
        <v>209439.83</v>
      </c>
      <c r="X61" s="185">
        <v>432158.98</v>
      </c>
      <c r="Y61" s="185">
        <v>1942598.86</v>
      </c>
      <c r="Z61" s="185"/>
      <c r="AA61" s="185">
        <v>92301.07</v>
      </c>
      <c r="AB61" s="185">
        <v>1573055.8599999999</v>
      </c>
      <c r="AC61" s="185">
        <v>766905.3400000002</v>
      </c>
      <c r="AD61" s="185"/>
      <c r="AE61" s="185">
        <v>1563883.07</v>
      </c>
      <c r="AF61" s="185"/>
      <c r="AG61" s="185">
        <v>3736888.7199999997</v>
      </c>
      <c r="AH61" s="185"/>
      <c r="AI61" s="185"/>
      <c r="AJ61" s="185"/>
      <c r="AK61" s="185"/>
      <c r="AL61" s="185"/>
      <c r="AM61" s="185"/>
      <c r="AN61" s="185"/>
      <c r="AO61" s="185"/>
      <c r="AP61" s="185">
        <v>15750609.6</v>
      </c>
      <c r="AQ61" s="185"/>
      <c r="AR61" s="185"/>
      <c r="AS61" s="185"/>
      <c r="AT61" s="185"/>
      <c r="AU61" s="185"/>
      <c r="AV61" s="185">
        <v>269586.37</v>
      </c>
      <c r="AW61" s="185"/>
      <c r="AX61" s="185"/>
      <c r="AY61" s="185">
        <v>794769.24</v>
      </c>
      <c r="AZ61" s="185"/>
      <c r="BA61" s="185">
        <v>45416.990000000005</v>
      </c>
      <c r="BB61" s="185"/>
      <c r="BC61" s="185"/>
      <c r="BD61" s="185">
        <v>358491.97000000003</v>
      </c>
      <c r="BE61" s="185">
        <v>774954.44000000006</v>
      </c>
      <c r="BF61" s="185">
        <v>1305266.6099999999</v>
      </c>
      <c r="BG61" s="185"/>
      <c r="BH61" s="185">
        <v>0</v>
      </c>
      <c r="BI61" s="185"/>
      <c r="BJ61" s="185">
        <v>484822.19999999995</v>
      </c>
      <c r="BK61" s="185">
        <v>1322442.7600000002</v>
      </c>
      <c r="BL61" s="185">
        <v>1171736.93</v>
      </c>
      <c r="BM61" s="185"/>
      <c r="BN61" s="185">
        <v>1874858.84</v>
      </c>
      <c r="BO61" s="185">
        <v>165680.26</v>
      </c>
      <c r="BP61" s="185"/>
      <c r="BQ61" s="185"/>
      <c r="BR61" s="185">
        <v>554537.4</v>
      </c>
      <c r="BS61" s="185"/>
      <c r="BT61" s="185"/>
      <c r="BU61" s="185"/>
      <c r="BV61" s="185">
        <v>1174868.96</v>
      </c>
      <c r="BW61" s="185">
        <v>170400.12</v>
      </c>
      <c r="BX61" s="185"/>
      <c r="BY61" s="185">
        <v>2937477.21</v>
      </c>
      <c r="BZ61" s="185"/>
      <c r="CA61" s="185">
        <v>75829.249999999985</v>
      </c>
      <c r="CB61" s="185"/>
      <c r="CC61" s="185">
        <v>1050522.67</v>
      </c>
      <c r="CD61" s="250" t="s">
        <v>221</v>
      </c>
      <c r="CE61" s="195">
        <f t="shared" si="0"/>
        <v>53021196.609999999</v>
      </c>
      <c r="CF61" s="253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686356</v>
      </c>
      <c r="D62" s="195">
        <f t="shared" si="1"/>
        <v>0</v>
      </c>
      <c r="E62" s="195">
        <f t="shared" si="1"/>
        <v>1567618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490976</v>
      </c>
      <c r="Q62" s="195">
        <f t="shared" si="1"/>
        <v>484609</v>
      </c>
      <c r="R62" s="195">
        <f t="shared" si="1"/>
        <v>209111</v>
      </c>
      <c r="S62" s="195">
        <f t="shared" si="1"/>
        <v>0</v>
      </c>
      <c r="T62" s="195">
        <f t="shared" si="1"/>
        <v>0</v>
      </c>
      <c r="U62" s="195">
        <f t="shared" si="1"/>
        <v>708880</v>
      </c>
      <c r="V62" s="195">
        <f t="shared" si="1"/>
        <v>0</v>
      </c>
      <c r="W62" s="195">
        <f t="shared" si="1"/>
        <v>83905</v>
      </c>
      <c r="X62" s="195">
        <f t="shared" si="1"/>
        <v>148908</v>
      </c>
      <c r="Y62" s="195">
        <f t="shared" si="1"/>
        <v>707662</v>
      </c>
      <c r="Z62" s="195">
        <f t="shared" si="1"/>
        <v>0</v>
      </c>
      <c r="AA62" s="195">
        <f t="shared" si="1"/>
        <v>29716</v>
      </c>
      <c r="AB62" s="195">
        <f t="shared" si="1"/>
        <v>549092</v>
      </c>
      <c r="AC62" s="195">
        <f t="shared" si="1"/>
        <v>310348</v>
      </c>
      <c r="AD62" s="195">
        <f t="shared" si="1"/>
        <v>0</v>
      </c>
      <c r="AE62" s="195">
        <f t="shared" si="1"/>
        <v>566369</v>
      </c>
      <c r="AF62" s="195">
        <f t="shared" si="1"/>
        <v>0</v>
      </c>
      <c r="AG62" s="195">
        <f t="shared" si="1"/>
        <v>938344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4881683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98606</v>
      </c>
      <c r="AW62" s="195">
        <f t="shared" si="1"/>
        <v>0</v>
      </c>
      <c r="AX62" s="195">
        <f t="shared" si="1"/>
        <v>0</v>
      </c>
      <c r="AY62" s="195">
        <f>ROUND(AY47+AY48,0)</f>
        <v>449300</v>
      </c>
      <c r="AZ62" s="195">
        <f>ROUND(AZ47+AZ48,0)</f>
        <v>0</v>
      </c>
      <c r="BA62" s="195">
        <f>ROUND(BA47+BA48,0)</f>
        <v>45145</v>
      </c>
      <c r="BB62" s="195">
        <f t="shared" si="1"/>
        <v>0</v>
      </c>
      <c r="BC62" s="195">
        <f t="shared" si="1"/>
        <v>0</v>
      </c>
      <c r="BD62" s="195">
        <f t="shared" si="1"/>
        <v>122870</v>
      </c>
      <c r="BE62" s="195">
        <f t="shared" si="1"/>
        <v>322273</v>
      </c>
      <c r="BF62" s="195">
        <f t="shared" si="1"/>
        <v>644213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198069</v>
      </c>
      <c r="BK62" s="195">
        <f t="shared" si="1"/>
        <v>594825</v>
      </c>
      <c r="BL62" s="195">
        <f t="shared" si="1"/>
        <v>536122</v>
      </c>
      <c r="BM62" s="195">
        <f t="shared" si="1"/>
        <v>0</v>
      </c>
      <c r="BN62" s="195">
        <f t="shared" si="1"/>
        <v>560851</v>
      </c>
      <c r="BO62" s="195">
        <f t="shared" ref="BO62:CC62" si="2">ROUND(BO47+BO48,0)</f>
        <v>41890</v>
      </c>
      <c r="BP62" s="195">
        <f t="shared" si="2"/>
        <v>0</v>
      </c>
      <c r="BQ62" s="195">
        <f t="shared" si="2"/>
        <v>0</v>
      </c>
      <c r="BR62" s="195">
        <f t="shared" si="2"/>
        <v>157001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539963</v>
      </c>
      <c r="BW62" s="195">
        <f t="shared" si="2"/>
        <v>60518</v>
      </c>
      <c r="BX62" s="195">
        <f t="shared" si="2"/>
        <v>0</v>
      </c>
      <c r="BY62" s="195">
        <f t="shared" si="2"/>
        <v>973981</v>
      </c>
      <c r="BZ62" s="195">
        <f t="shared" si="2"/>
        <v>0</v>
      </c>
      <c r="CA62" s="195">
        <f t="shared" si="2"/>
        <v>29612</v>
      </c>
      <c r="CB62" s="195">
        <f t="shared" si="2"/>
        <v>0</v>
      </c>
      <c r="CC62" s="195">
        <f t="shared" si="2"/>
        <v>421979</v>
      </c>
      <c r="CD62" s="250" t="s">
        <v>221</v>
      </c>
      <c r="CE62" s="195">
        <f t="shared" si="0"/>
        <v>18160795</v>
      </c>
      <c r="CF62" s="253"/>
    </row>
    <row r="63" spans="1:84" ht="12.65" customHeight="1" x14ac:dyDescent="0.3">
      <c r="A63" s="171" t="s">
        <v>236</v>
      </c>
      <c r="B63" s="175"/>
      <c r="C63" s="184">
        <v>186078.75</v>
      </c>
      <c r="D63" s="184"/>
      <c r="E63" s="184">
        <v>964317.81</v>
      </c>
      <c r="F63" s="185"/>
      <c r="G63" s="184"/>
      <c r="H63" s="184"/>
      <c r="I63" s="185"/>
      <c r="J63" s="185">
        <v>0</v>
      </c>
      <c r="K63" s="185"/>
      <c r="L63" s="185"/>
      <c r="M63" s="184"/>
      <c r="N63" s="184"/>
      <c r="O63" s="184">
        <v>0</v>
      </c>
      <c r="P63" s="185">
        <v>223065.42</v>
      </c>
      <c r="Q63" s="185">
        <v>0</v>
      </c>
      <c r="R63" s="185">
        <v>113557.82</v>
      </c>
      <c r="S63" s="185">
        <v>0</v>
      </c>
      <c r="T63" s="185"/>
      <c r="U63" s="185">
        <v>164966.19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194654.37000000002</v>
      </c>
      <c r="AF63" s="185"/>
      <c r="AG63" s="185">
        <v>3259513.88</v>
      </c>
      <c r="AH63" s="185"/>
      <c r="AI63" s="185"/>
      <c r="AJ63" s="185"/>
      <c r="AK63" s="185"/>
      <c r="AL63" s="185"/>
      <c r="AM63" s="185"/>
      <c r="AN63" s="185"/>
      <c r="AO63" s="185"/>
      <c r="AP63" s="185">
        <v>2578624.7600000002</v>
      </c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45972.7</v>
      </c>
      <c r="BE63" s="185">
        <v>6764.33</v>
      </c>
      <c r="BF63" s="185">
        <v>0</v>
      </c>
      <c r="BG63" s="185"/>
      <c r="BH63" s="185">
        <v>0</v>
      </c>
      <c r="BI63" s="185"/>
      <c r="BJ63" s="185">
        <v>0</v>
      </c>
      <c r="BK63" s="185">
        <v>63573.099999999991</v>
      </c>
      <c r="BL63" s="185">
        <v>0</v>
      </c>
      <c r="BM63" s="185"/>
      <c r="BN63" s="185">
        <v>182343.24</v>
      </c>
      <c r="BO63" s="185">
        <v>0</v>
      </c>
      <c r="BP63" s="185">
        <v>0</v>
      </c>
      <c r="BQ63" s="185"/>
      <c r="BR63" s="185">
        <v>0</v>
      </c>
      <c r="BS63" s="185"/>
      <c r="BT63" s="185"/>
      <c r="BU63" s="185"/>
      <c r="BV63" s="185">
        <v>0</v>
      </c>
      <c r="BW63" s="185">
        <v>20000</v>
      </c>
      <c r="BX63" s="185"/>
      <c r="BY63" s="185">
        <v>102844.76</v>
      </c>
      <c r="BZ63" s="185"/>
      <c r="CA63" s="185">
        <v>0</v>
      </c>
      <c r="CB63" s="185"/>
      <c r="CC63" s="185">
        <v>38318.300000000003</v>
      </c>
      <c r="CD63" s="250" t="s">
        <v>221</v>
      </c>
      <c r="CE63" s="195">
        <f t="shared" si="0"/>
        <v>8144595.4299999997</v>
      </c>
      <c r="CF63" s="253"/>
    </row>
    <row r="64" spans="1:84" ht="12.65" customHeight="1" x14ac:dyDescent="0.3">
      <c r="A64" s="171" t="s">
        <v>237</v>
      </c>
      <c r="B64" s="175"/>
      <c r="C64" s="184">
        <v>320092.3899999999</v>
      </c>
      <c r="D64" s="184"/>
      <c r="E64" s="185">
        <v>218344.20000000004</v>
      </c>
      <c r="F64" s="185"/>
      <c r="G64" s="184"/>
      <c r="H64" s="184"/>
      <c r="I64" s="185"/>
      <c r="J64" s="185">
        <v>30400.47</v>
      </c>
      <c r="K64" s="185"/>
      <c r="L64" s="185"/>
      <c r="M64" s="184"/>
      <c r="N64" s="184"/>
      <c r="O64" s="184">
        <v>75112.350000000006</v>
      </c>
      <c r="P64" s="185">
        <v>852488.84000000008</v>
      </c>
      <c r="Q64" s="185">
        <v>108313.24</v>
      </c>
      <c r="R64" s="185">
        <v>55471.08</v>
      </c>
      <c r="S64" s="185">
        <v>4611449.82</v>
      </c>
      <c r="T64" s="185"/>
      <c r="U64" s="185">
        <v>2026808.92</v>
      </c>
      <c r="V64" s="185"/>
      <c r="W64" s="185">
        <v>23972.94</v>
      </c>
      <c r="X64" s="185">
        <v>152405.16999999998</v>
      </c>
      <c r="Y64" s="185">
        <v>65569.100000000006</v>
      </c>
      <c r="Z64" s="185"/>
      <c r="AA64" s="185">
        <v>40181.019999999997</v>
      </c>
      <c r="AB64" s="185">
        <v>2757108.99</v>
      </c>
      <c r="AC64" s="185">
        <v>130772.86999999998</v>
      </c>
      <c r="AD64" s="185"/>
      <c r="AE64" s="185">
        <v>43315.14</v>
      </c>
      <c r="AF64" s="185"/>
      <c r="AG64" s="185">
        <v>345947.80000000005</v>
      </c>
      <c r="AH64" s="185"/>
      <c r="AI64" s="185"/>
      <c r="AJ64" s="185"/>
      <c r="AK64" s="185"/>
      <c r="AL64" s="185"/>
      <c r="AM64" s="185"/>
      <c r="AN64" s="185"/>
      <c r="AO64" s="185"/>
      <c r="AP64" s="185">
        <v>1121849.08</v>
      </c>
      <c r="AQ64" s="185"/>
      <c r="AR64" s="185"/>
      <c r="AS64" s="185"/>
      <c r="AT64" s="185"/>
      <c r="AU64" s="185"/>
      <c r="AV64" s="185">
        <v>12196.120000000003</v>
      </c>
      <c r="AW64" s="185"/>
      <c r="AX64" s="185"/>
      <c r="AY64" s="185">
        <v>688351.21</v>
      </c>
      <c r="AZ64" s="185"/>
      <c r="BA64" s="185">
        <v>69746.699999999983</v>
      </c>
      <c r="BB64" s="185"/>
      <c r="BC64" s="185"/>
      <c r="BD64" s="185">
        <v>-15059.340000000006</v>
      </c>
      <c r="BE64" s="185">
        <v>78154.100000000006</v>
      </c>
      <c r="BF64" s="185">
        <v>159695.83000000002</v>
      </c>
      <c r="BG64" s="185"/>
      <c r="BH64" s="185">
        <v>448344.9200000001</v>
      </c>
      <c r="BI64" s="185"/>
      <c r="BJ64" s="185">
        <v>8501.1</v>
      </c>
      <c r="BK64" s="185">
        <v>14164.03</v>
      </c>
      <c r="BL64" s="185">
        <v>19339.04</v>
      </c>
      <c r="BM64" s="185"/>
      <c r="BN64" s="185">
        <v>50668.72</v>
      </c>
      <c r="BO64" s="185">
        <v>1497.0300000000004</v>
      </c>
      <c r="BP64" s="185">
        <v>1166.77</v>
      </c>
      <c r="BQ64" s="185"/>
      <c r="BR64" s="185">
        <v>10050.629999999999</v>
      </c>
      <c r="BS64" s="185"/>
      <c r="BT64" s="185"/>
      <c r="BU64" s="185"/>
      <c r="BV64" s="185">
        <v>8734.14</v>
      </c>
      <c r="BW64" s="185">
        <v>1744.7</v>
      </c>
      <c r="BX64" s="185"/>
      <c r="BY64" s="185">
        <v>8591.0300000000007</v>
      </c>
      <c r="BZ64" s="185"/>
      <c r="CA64" s="185">
        <v>2481.7400000000007</v>
      </c>
      <c r="CB64" s="185"/>
      <c r="CC64" s="185">
        <f>142600.2+686.46</f>
        <v>143286.66</v>
      </c>
      <c r="CD64" s="250" t="s">
        <v>221</v>
      </c>
      <c r="CE64" s="195">
        <f t="shared" si="0"/>
        <v>14691258.549999997</v>
      </c>
      <c r="CF64" s="253"/>
    </row>
    <row r="65" spans="1:84" ht="12.65" customHeight="1" x14ac:dyDescent="0.3">
      <c r="A65" s="171" t="s">
        <v>238</v>
      </c>
      <c r="B65" s="175"/>
      <c r="C65" s="184">
        <v>615.27</v>
      </c>
      <c r="D65" s="184"/>
      <c r="E65" s="184">
        <v>1139.0999999999999</v>
      </c>
      <c r="F65" s="184"/>
      <c r="G65" s="184"/>
      <c r="H65" s="184"/>
      <c r="I65" s="185"/>
      <c r="J65" s="184">
        <v>0</v>
      </c>
      <c r="K65" s="185"/>
      <c r="L65" s="185"/>
      <c r="M65" s="184"/>
      <c r="N65" s="184"/>
      <c r="O65" s="184">
        <v>0</v>
      </c>
      <c r="P65" s="185">
        <v>615.27</v>
      </c>
      <c r="Q65" s="185">
        <v>0</v>
      </c>
      <c r="R65" s="185">
        <v>0</v>
      </c>
      <c r="S65" s="185">
        <v>0</v>
      </c>
      <c r="T65" s="185"/>
      <c r="U65" s="185">
        <v>107.52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480.11999999999995</v>
      </c>
      <c r="AH65" s="185"/>
      <c r="AI65" s="185"/>
      <c r="AJ65" s="185"/>
      <c r="AK65" s="185"/>
      <c r="AL65" s="185"/>
      <c r="AM65" s="185"/>
      <c r="AN65" s="185"/>
      <c r="AO65" s="185"/>
      <c r="AP65" s="185">
        <v>45085.54</v>
      </c>
      <c r="AQ65" s="185"/>
      <c r="AR65" s="185"/>
      <c r="AS65" s="185"/>
      <c r="AT65" s="185"/>
      <c r="AU65" s="185"/>
      <c r="AV65" s="185">
        <v>0</v>
      </c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2428.17</v>
      </c>
      <c r="BE65" s="185">
        <v>745510.20000000007</v>
      </c>
      <c r="BF65" s="185">
        <v>151235.51</v>
      </c>
      <c r="BG65" s="185"/>
      <c r="BH65" s="185">
        <v>274571.53999999998</v>
      </c>
      <c r="BI65" s="185"/>
      <c r="BJ65" s="185">
        <v>434.91999999999985</v>
      </c>
      <c r="BK65" s="185">
        <v>0</v>
      </c>
      <c r="BL65" s="185">
        <v>0</v>
      </c>
      <c r="BM65" s="185"/>
      <c r="BN65" s="185">
        <v>949.43999999999983</v>
      </c>
      <c r="BO65" s="185">
        <v>959.24000000000012</v>
      </c>
      <c r="BP65" s="185">
        <v>0</v>
      </c>
      <c r="BQ65" s="185"/>
      <c r="BR65" s="185">
        <v>998.80999999999983</v>
      </c>
      <c r="BS65" s="185"/>
      <c r="BT65" s="185"/>
      <c r="BU65" s="185"/>
      <c r="BV65" s="185">
        <v>5014.0000000000009</v>
      </c>
      <c r="BW65" s="185">
        <v>0</v>
      </c>
      <c r="BX65" s="185"/>
      <c r="BY65" s="185">
        <v>5520.6999999999989</v>
      </c>
      <c r="BZ65" s="185"/>
      <c r="CA65" s="185">
        <v>0</v>
      </c>
      <c r="CB65" s="185"/>
      <c r="CC65" s="185">
        <v>3941.07</v>
      </c>
      <c r="CD65" s="250" t="s">
        <v>221</v>
      </c>
      <c r="CE65" s="195">
        <f t="shared" si="0"/>
        <v>1239606.42</v>
      </c>
      <c r="CF65" s="253"/>
    </row>
    <row r="66" spans="1:84" ht="12.65" customHeight="1" x14ac:dyDescent="0.3">
      <c r="A66" s="171" t="s">
        <v>239</v>
      </c>
      <c r="B66" s="175"/>
      <c r="C66" s="184">
        <v>5725</v>
      </c>
      <c r="D66" s="184"/>
      <c r="E66" s="184">
        <v>10523.729999999998</v>
      </c>
      <c r="F66" s="184"/>
      <c r="G66" s="184"/>
      <c r="H66" s="184"/>
      <c r="I66" s="184"/>
      <c r="J66" s="184">
        <v>3220.5799999999995</v>
      </c>
      <c r="K66" s="185"/>
      <c r="L66" s="185"/>
      <c r="M66" s="184"/>
      <c r="N66" s="184"/>
      <c r="O66" s="185">
        <v>8662.19</v>
      </c>
      <c r="P66" s="185">
        <v>198000.58</v>
      </c>
      <c r="Q66" s="185">
        <v>6785.8</v>
      </c>
      <c r="R66" s="185">
        <v>58159.54</v>
      </c>
      <c r="S66" s="184">
        <v>109.67</v>
      </c>
      <c r="T66" s="184"/>
      <c r="U66" s="185">
        <v>1089953.4100000001</v>
      </c>
      <c r="V66" s="185"/>
      <c r="W66" s="185">
        <v>10729.4</v>
      </c>
      <c r="X66" s="185">
        <v>90981.610000000015</v>
      </c>
      <c r="Y66" s="185">
        <v>663580.61</v>
      </c>
      <c r="Z66" s="185"/>
      <c r="AA66" s="185">
        <v>38541.49</v>
      </c>
      <c r="AB66" s="185">
        <v>345399.45999999996</v>
      </c>
      <c r="AC66" s="185">
        <v>43134.950000000012</v>
      </c>
      <c r="AD66" s="185"/>
      <c r="AE66" s="185">
        <v>8388.2099999999991</v>
      </c>
      <c r="AF66" s="185"/>
      <c r="AG66" s="185">
        <v>397398.25</v>
      </c>
      <c r="AH66" s="185"/>
      <c r="AI66" s="185"/>
      <c r="AJ66" s="185"/>
      <c r="AK66" s="185"/>
      <c r="AL66" s="185"/>
      <c r="AM66" s="185"/>
      <c r="AN66" s="185"/>
      <c r="AO66" s="185"/>
      <c r="AP66" s="185">
        <v>363737.28</v>
      </c>
      <c r="AQ66" s="185"/>
      <c r="AR66" s="185"/>
      <c r="AS66" s="185"/>
      <c r="AT66" s="185"/>
      <c r="AU66" s="185"/>
      <c r="AV66" s="185">
        <v>11392.93</v>
      </c>
      <c r="AW66" s="185"/>
      <c r="AX66" s="185"/>
      <c r="AY66" s="185">
        <v>24410.720000000001</v>
      </c>
      <c r="AZ66" s="185"/>
      <c r="BA66" s="185">
        <v>166382.35999999999</v>
      </c>
      <c r="BB66" s="185"/>
      <c r="BC66" s="185"/>
      <c r="BD66" s="185">
        <v>1096.52</v>
      </c>
      <c r="BE66" s="185">
        <v>456236.45000000007</v>
      </c>
      <c r="BF66" s="185">
        <v>84397.86</v>
      </c>
      <c r="BG66" s="185"/>
      <c r="BH66" s="185">
        <v>8225096.8300000001</v>
      </c>
      <c r="BI66" s="185"/>
      <c r="BJ66" s="185">
        <v>15649.89</v>
      </c>
      <c r="BK66" s="185">
        <v>318344.02999999997</v>
      </c>
      <c r="BL66" s="185">
        <v>15377.300000000005</v>
      </c>
      <c r="BM66" s="185"/>
      <c r="BN66" s="185">
        <v>461077.06</v>
      </c>
      <c r="BO66" s="185">
        <v>40033</v>
      </c>
      <c r="BP66" s="185">
        <v>175231</v>
      </c>
      <c r="BQ66" s="185"/>
      <c r="BR66" s="185">
        <v>65374.429999999993</v>
      </c>
      <c r="BS66" s="185"/>
      <c r="BT66" s="185"/>
      <c r="BU66" s="185"/>
      <c r="BV66" s="185">
        <v>504142.78</v>
      </c>
      <c r="BW66" s="185">
        <v>13380.04</v>
      </c>
      <c r="BX66" s="185"/>
      <c r="BY66" s="185">
        <v>254018.65</v>
      </c>
      <c r="BZ66" s="185"/>
      <c r="CA66" s="185">
        <v>43841.16</v>
      </c>
      <c r="CB66" s="185"/>
      <c r="CC66" s="185">
        <v>1435886.03</v>
      </c>
      <c r="CD66" s="250" t="s">
        <v>221</v>
      </c>
      <c r="CE66" s="195">
        <f t="shared" si="0"/>
        <v>15654400.800000001</v>
      </c>
      <c r="CF66" s="253"/>
    </row>
    <row r="67" spans="1:84" ht="12.65" customHeight="1" x14ac:dyDescent="0.3">
      <c r="A67" s="171" t="s">
        <v>6</v>
      </c>
      <c r="B67" s="175"/>
      <c r="C67" s="195">
        <f>ROUND(C51+C52,0)</f>
        <v>200724</v>
      </c>
      <c r="D67" s="195">
        <f>ROUND(D51+D52,0)</f>
        <v>0</v>
      </c>
      <c r="E67" s="195">
        <f t="shared" ref="E67:BP67" si="3">ROUND(E51+E52,0)</f>
        <v>592913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14844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30022</v>
      </c>
      <c r="P67" s="195">
        <f t="shared" si="3"/>
        <v>202182</v>
      </c>
      <c r="Q67" s="195">
        <f t="shared" si="3"/>
        <v>223177</v>
      </c>
      <c r="R67" s="195">
        <f t="shared" si="3"/>
        <v>9596</v>
      </c>
      <c r="S67" s="195">
        <f t="shared" si="3"/>
        <v>91472</v>
      </c>
      <c r="T67" s="195">
        <f t="shared" si="3"/>
        <v>0</v>
      </c>
      <c r="U67" s="195">
        <f t="shared" si="3"/>
        <v>135280</v>
      </c>
      <c r="V67" s="195">
        <f t="shared" si="3"/>
        <v>0</v>
      </c>
      <c r="W67" s="195">
        <f t="shared" si="3"/>
        <v>65823</v>
      </c>
      <c r="X67" s="195">
        <f t="shared" si="3"/>
        <v>24379</v>
      </c>
      <c r="Y67" s="195">
        <f t="shared" si="3"/>
        <v>215322</v>
      </c>
      <c r="Z67" s="195">
        <f t="shared" si="3"/>
        <v>0</v>
      </c>
      <c r="AA67" s="195">
        <f t="shared" si="3"/>
        <v>21253</v>
      </c>
      <c r="AB67" s="195">
        <f t="shared" si="3"/>
        <v>59199</v>
      </c>
      <c r="AC67" s="195">
        <f t="shared" si="3"/>
        <v>24805</v>
      </c>
      <c r="AD67" s="195">
        <f t="shared" si="3"/>
        <v>0</v>
      </c>
      <c r="AE67" s="195">
        <f t="shared" si="3"/>
        <v>119684</v>
      </c>
      <c r="AF67" s="195">
        <f t="shared" si="3"/>
        <v>0</v>
      </c>
      <c r="AG67" s="195">
        <f t="shared" si="3"/>
        <v>293875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2875130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8251</v>
      </c>
      <c r="AW67" s="195">
        <f t="shared" si="3"/>
        <v>0</v>
      </c>
      <c r="AX67" s="195">
        <f t="shared" si="3"/>
        <v>0</v>
      </c>
      <c r="AY67" s="195">
        <f t="shared" si="3"/>
        <v>155203</v>
      </c>
      <c r="AZ67" s="195">
        <f>ROUND(AZ51+AZ52,0)</f>
        <v>0</v>
      </c>
      <c r="BA67" s="195">
        <f>ROUND(BA51+BA52,0)</f>
        <v>44985</v>
      </c>
      <c r="BB67" s="195">
        <f t="shared" si="3"/>
        <v>0</v>
      </c>
      <c r="BC67" s="195">
        <f t="shared" si="3"/>
        <v>0</v>
      </c>
      <c r="BD67" s="195">
        <f t="shared" si="3"/>
        <v>104773</v>
      </c>
      <c r="BE67" s="195">
        <f t="shared" si="3"/>
        <v>867316</v>
      </c>
      <c r="BF67" s="195">
        <f t="shared" si="3"/>
        <v>70674</v>
      </c>
      <c r="BG67" s="195">
        <f t="shared" si="3"/>
        <v>0</v>
      </c>
      <c r="BH67" s="195">
        <f t="shared" si="3"/>
        <v>100182</v>
      </c>
      <c r="BI67" s="195">
        <f t="shared" si="3"/>
        <v>0</v>
      </c>
      <c r="BJ67" s="195">
        <f t="shared" si="3"/>
        <v>61020</v>
      </c>
      <c r="BK67" s="195">
        <f t="shared" si="3"/>
        <v>84208</v>
      </c>
      <c r="BL67" s="195">
        <f t="shared" si="3"/>
        <v>59186</v>
      </c>
      <c r="BM67" s="195">
        <f t="shared" si="3"/>
        <v>0</v>
      </c>
      <c r="BN67" s="195">
        <f t="shared" si="3"/>
        <v>165752</v>
      </c>
      <c r="BO67" s="195">
        <f t="shared" si="3"/>
        <v>8600</v>
      </c>
      <c r="BP67" s="195">
        <f t="shared" si="3"/>
        <v>87708</v>
      </c>
      <c r="BQ67" s="195">
        <f t="shared" ref="BQ67:CC67" si="4">ROUND(BQ51+BQ52,0)</f>
        <v>0</v>
      </c>
      <c r="BR67" s="195">
        <f t="shared" si="4"/>
        <v>65565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139982</v>
      </c>
      <c r="BW67" s="195">
        <f t="shared" si="4"/>
        <v>31467</v>
      </c>
      <c r="BX67" s="195">
        <f t="shared" si="4"/>
        <v>0</v>
      </c>
      <c r="BY67" s="195">
        <f t="shared" si="4"/>
        <v>53293</v>
      </c>
      <c r="BZ67" s="195">
        <f t="shared" si="4"/>
        <v>0</v>
      </c>
      <c r="CA67" s="195">
        <f t="shared" si="4"/>
        <v>32211</v>
      </c>
      <c r="CB67" s="195">
        <f t="shared" si="4"/>
        <v>0</v>
      </c>
      <c r="CC67" s="195">
        <f t="shared" si="4"/>
        <v>562050</v>
      </c>
      <c r="CD67" s="250" t="s">
        <v>221</v>
      </c>
      <c r="CE67" s="195">
        <f t="shared" si="0"/>
        <v>7902106</v>
      </c>
      <c r="CF67" s="253"/>
    </row>
    <row r="68" spans="1:84" ht="12.65" customHeight="1" x14ac:dyDescent="0.3">
      <c r="A68" s="171" t="s">
        <v>240</v>
      </c>
      <c r="B68" s="175"/>
      <c r="C68" s="184">
        <v>1665.61</v>
      </c>
      <c r="D68" s="184"/>
      <c r="E68" s="184">
        <v>4261.25</v>
      </c>
      <c r="F68" s="184"/>
      <c r="G68" s="184"/>
      <c r="H68" s="184"/>
      <c r="I68" s="184"/>
      <c r="J68" s="184">
        <v>838.99</v>
      </c>
      <c r="K68" s="185"/>
      <c r="L68" s="185"/>
      <c r="M68" s="184"/>
      <c r="N68" s="184"/>
      <c r="O68" s="184">
        <v>1206.44</v>
      </c>
      <c r="P68" s="185">
        <v>123312.06</v>
      </c>
      <c r="Q68" s="185">
        <v>2750.2999999999993</v>
      </c>
      <c r="R68" s="185">
        <v>1084.0899999999999</v>
      </c>
      <c r="S68" s="185">
        <v>89778.7</v>
      </c>
      <c r="T68" s="185"/>
      <c r="U68" s="185">
        <v>4453.6799999999994</v>
      </c>
      <c r="V68" s="185"/>
      <c r="W68" s="185">
        <v>0</v>
      </c>
      <c r="X68" s="185">
        <v>0</v>
      </c>
      <c r="Y68" s="185">
        <v>4770.2400000000016</v>
      </c>
      <c r="Z68" s="185"/>
      <c r="AA68" s="185">
        <v>0</v>
      </c>
      <c r="AB68" s="185">
        <v>581.99</v>
      </c>
      <c r="AC68" s="185">
        <v>16050.930000000002</v>
      </c>
      <c r="AD68" s="185"/>
      <c r="AE68" s="185">
        <v>4186.6500000000005</v>
      </c>
      <c r="AF68" s="185"/>
      <c r="AG68" s="185">
        <v>7905.63</v>
      </c>
      <c r="AH68" s="185"/>
      <c r="AI68" s="185"/>
      <c r="AJ68" s="185"/>
      <c r="AK68" s="185"/>
      <c r="AL68" s="185"/>
      <c r="AM68" s="185"/>
      <c r="AN68" s="185"/>
      <c r="AO68" s="185"/>
      <c r="AP68" s="185">
        <v>33463.360000000008</v>
      </c>
      <c r="AQ68" s="185"/>
      <c r="AR68" s="185"/>
      <c r="AS68" s="185"/>
      <c r="AT68" s="185"/>
      <c r="AU68" s="185"/>
      <c r="AV68" s="185">
        <v>673.1</v>
      </c>
      <c r="AW68" s="185"/>
      <c r="AX68" s="185"/>
      <c r="AY68" s="185">
        <v>1612.81</v>
      </c>
      <c r="AZ68" s="185"/>
      <c r="BA68" s="185"/>
      <c r="BB68" s="185"/>
      <c r="BC68" s="185"/>
      <c r="BD68" s="185">
        <v>5288.1399999999967</v>
      </c>
      <c r="BE68" s="185">
        <v>31826.339999999997</v>
      </c>
      <c r="BF68" s="185">
        <v>2863.23</v>
      </c>
      <c r="BG68" s="185"/>
      <c r="BH68" s="185">
        <v>242944.06</v>
      </c>
      <c r="BI68" s="185"/>
      <c r="BJ68" s="185">
        <v>30688.82</v>
      </c>
      <c r="BK68" s="185">
        <v>55281.56</v>
      </c>
      <c r="BL68" s="185">
        <v>4089.03</v>
      </c>
      <c r="BM68" s="185"/>
      <c r="BN68" s="185">
        <v>40410.230000000003</v>
      </c>
      <c r="BO68" s="185">
        <v>2459.5300000000002</v>
      </c>
      <c r="BP68" s="185">
        <v>1869.64</v>
      </c>
      <c r="BQ68" s="185"/>
      <c r="BR68" s="185">
        <v>17733.099999999999</v>
      </c>
      <c r="BS68" s="185"/>
      <c r="BT68" s="185"/>
      <c r="BU68" s="185"/>
      <c r="BV68" s="185">
        <v>47582.66</v>
      </c>
      <c r="BW68" s="185">
        <v>779.88000000000011</v>
      </c>
      <c r="BX68" s="185"/>
      <c r="BY68" s="185">
        <v>2457.46</v>
      </c>
      <c r="BZ68" s="185"/>
      <c r="CA68" s="185">
        <v>20725.639999999996</v>
      </c>
      <c r="CB68" s="185"/>
      <c r="CC68" s="185">
        <v>53789.98</v>
      </c>
      <c r="CD68" s="250" t="s">
        <v>221</v>
      </c>
      <c r="CE68" s="195">
        <f t="shared" si="0"/>
        <v>859385.12999999977</v>
      </c>
      <c r="CF68" s="253"/>
    </row>
    <row r="69" spans="1:84" ht="12.65" customHeight="1" x14ac:dyDescent="0.3">
      <c r="A69" s="171" t="s">
        <v>241</v>
      </c>
      <c r="B69" s="175"/>
      <c r="C69" s="184">
        <v>335</v>
      </c>
      <c r="D69" s="184"/>
      <c r="E69" s="185">
        <v>6926.1</v>
      </c>
      <c r="F69" s="185"/>
      <c r="G69" s="184"/>
      <c r="H69" s="184"/>
      <c r="I69" s="185"/>
      <c r="J69" s="185">
        <v>801.03</v>
      </c>
      <c r="K69" s="185"/>
      <c r="L69" s="185"/>
      <c r="M69" s="184"/>
      <c r="N69" s="184"/>
      <c r="O69" s="184">
        <v>4835.99</v>
      </c>
      <c r="P69" s="185">
        <v>7663.66</v>
      </c>
      <c r="Q69" s="185">
        <v>2164.17</v>
      </c>
      <c r="R69" s="224">
        <v>17645.97</v>
      </c>
      <c r="S69" s="185">
        <v>0</v>
      </c>
      <c r="T69" s="184"/>
      <c r="U69" s="185">
        <v>1990.81</v>
      </c>
      <c r="V69" s="185"/>
      <c r="W69" s="184">
        <v>0</v>
      </c>
      <c r="X69" s="185">
        <v>60.26</v>
      </c>
      <c r="Y69" s="185">
        <v>0</v>
      </c>
      <c r="Z69" s="185"/>
      <c r="AA69" s="185">
        <v>0</v>
      </c>
      <c r="AB69" s="185">
        <v>15818.26</v>
      </c>
      <c r="AC69" s="185">
        <v>222.22</v>
      </c>
      <c r="AD69" s="185"/>
      <c r="AE69" s="185">
        <v>8650.51</v>
      </c>
      <c r="AF69" s="185"/>
      <c r="AG69" s="185">
        <v>43987.73</v>
      </c>
      <c r="AH69" s="185"/>
      <c r="AI69" s="185"/>
      <c r="AJ69" s="185"/>
      <c r="AK69" s="185"/>
      <c r="AL69" s="185"/>
      <c r="AM69" s="185"/>
      <c r="AN69" s="185"/>
      <c r="AO69" s="184"/>
      <c r="AP69" s="185">
        <v>360156.63000000006</v>
      </c>
      <c r="AQ69" s="184"/>
      <c r="AR69" s="184"/>
      <c r="AS69" s="184"/>
      <c r="AT69" s="184"/>
      <c r="AU69" s="185"/>
      <c r="AV69" s="185">
        <v>698</v>
      </c>
      <c r="AW69" s="185"/>
      <c r="AX69" s="185"/>
      <c r="AY69" s="185">
        <v>12280.560000000001</v>
      </c>
      <c r="AZ69" s="185"/>
      <c r="BA69" s="185"/>
      <c r="BB69" s="185"/>
      <c r="BC69" s="185"/>
      <c r="BD69" s="185">
        <v>40554.44</v>
      </c>
      <c r="BE69" s="185">
        <v>12742.45</v>
      </c>
      <c r="BF69" s="185">
        <v>6505.6699999999992</v>
      </c>
      <c r="BG69" s="185"/>
      <c r="BH69" s="224">
        <v>50430.62</v>
      </c>
      <c r="BI69" s="185"/>
      <c r="BJ69" s="185">
        <v>160186.22999999998</v>
      </c>
      <c r="BK69" s="185">
        <v>4699.7</v>
      </c>
      <c r="BL69" s="185">
        <v>0</v>
      </c>
      <c r="BM69" s="185"/>
      <c r="BN69" s="185">
        <v>317873.52</v>
      </c>
      <c r="BO69" s="185">
        <v>2423.65</v>
      </c>
      <c r="BP69" s="185">
        <v>53882.46</v>
      </c>
      <c r="BQ69" s="185"/>
      <c r="BR69" s="185">
        <v>154523.71000000002</v>
      </c>
      <c r="BS69" s="185"/>
      <c r="BT69" s="185"/>
      <c r="BU69" s="185"/>
      <c r="BV69" s="185">
        <v>581.76</v>
      </c>
      <c r="BW69" s="185">
        <v>36053.17</v>
      </c>
      <c r="BX69" s="185"/>
      <c r="BY69" s="185">
        <v>39079.640000000007</v>
      </c>
      <c r="BZ69" s="185"/>
      <c r="CA69" s="185">
        <v>15998.7</v>
      </c>
      <c r="CB69" s="185"/>
      <c r="CC69" s="185">
        <v>28309.85</v>
      </c>
      <c r="CD69" s="188">
        <v>3521151.4999999995</v>
      </c>
      <c r="CE69" s="195">
        <f t="shared" si="0"/>
        <v>4929233.9699999988</v>
      </c>
      <c r="CF69" s="253"/>
    </row>
    <row r="70" spans="1:84" ht="12.65" customHeight="1" x14ac:dyDescent="0.3">
      <c r="A70" s="171" t="s">
        <v>242</v>
      </c>
      <c r="B70" s="175"/>
      <c r="C70" s="184">
        <v>0</v>
      </c>
      <c r="D70" s="184"/>
      <c r="E70" s="184">
        <v>0</v>
      </c>
      <c r="F70" s="185"/>
      <c r="G70" s="184"/>
      <c r="H70" s="184"/>
      <c r="I70" s="184"/>
      <c r="J70" s="185">
        <v>0</v>
      </c>
      <c r="K70" s="185"/>
      <c r="L70" s="185"/>
      <c r="M70" s="184"/>
      <c r="N70" s="184"/>
      <c r="O70" s="184">
        <v>0</v>
      </c>
      <c r="P70" s="184">
        <v>0</v>
      </c>
      <c r="Q70" s="184">
        <v>0</v>
      </c>
      <c r="R70" s="184">
        <v>1971107.04</v>
      </c>
      <c r="S70" s="184">
        <v>0</v>
      </c>
      <c r="T70" s="184"/>
      <c r="U70" s="185">
        <v>0</v>
      </c>
      <c r="V70" s="184"/>
      <c r="W70" s="184">
        <v>0</v>
      </c>
      <c r="X70" s="185">
        <v>0</v>
      </c>
      <c r="Y70" s="185">
        <v>0</v>
      </c>
      <c r="Z70" s="185"/>
      <c r="AA70" s="185">
        <v>0</v>
      </c>
      <c r="AB70" s="185">
        <v>3254725.61</v>
      </c>
      <c r="AC70" s="185">
        <v>0</v>
      </c>
      <c r="AD70" s="185"/>
      <c r="AE70" s="185">
        <v>0</v>
      </c>
      <c r="AF70" s="185"/>
      <c r="AG70" s="185">
        <v>0</v>
      </c>
      <c r="AH70" s="185"/>
      <c r="AI70" s="185"/>
      <c r="AJ70" s="185"/>
      <c r="AK70" s="185"/>
      <c r="AL70" s="185"/>
      <c r="AM70" s="185"/>
      <c r="AN70" s="185"/>
      <c r="AO70" s="185"/>
      <c r="AP70" s="185">
        <v>30062.12</v>
      </c>
      <c r="AQ70" s="185"/>
      <c r="AR70" s="185"/>
      <c r="AS70" s="185"/>
      <c r="AT70" s="185"/>
      <c r="AU70" s="185"/>
      <c r="AV70" s="185">
        <v>0</v>
      </c>
      <c r="AW70" s="185"/>
      <c r="AX70" s="185"/>
      <c r="AY70" s="185">
        <v>336662.28</v>
      </c>
      <c r="AZ70" s="185"/>
      <c r="BA70" s="185"/>
      <c r="BB70" s="185"/>
      <c r="BC70" s="185"/>
      <c r="BD70" s="185">
        <v>0</v>
      </c>
      <c r="BE70" s="185">
        <v>0</v>
      </c>
      <c r="BF70" s="185">
        <v>0</v>
      </c>
      <c r="BG70" s="185"/>
      <c r="BH70" s="185">
        <v>0</v>
      </c>
      <c r="BI70" s="185"/>
      <c r="BJ70" s="185">
        <v>0</v>
      </c>
      <c r="BK70" s="185">
        <v>1824.41</v>
      </c>
      <c r="BL70" s="185">
        <v>0</v>
      </c>
      <c r="BM70" s="185"/>
      <c r="BN70" s="185">
        <v>0</v>
      </c>
      <c r="BO70" s="185">
        <v>0</v>
      </c>
      <c r="BP70" s="185">
        <v>0</v>
      </c>
      <c r="BQ70" s="185"/>
      <c r="BR70" s="185">
        <v>0</v>
      </c>
      <c r="BS70" s="185"/>
      <c r="BT70" s="185"/>
      <c r="BU70" s="185"/>
      <c r="BV70" s="185">
        <v>66361.289999999994</v>
      </c>
      <c r="BW70" s="185">
        <v>1500</v>
      </c>
      <c r="BX70" s="185"/>
      <c r="BY70" s="185">
        <v>0</v>
      </c>
      <c r="BZ70" s="185"/>
      <c r="CA70" s="185">
        <v>0</v>
      </c>
      <c r="CB70" s="185"/>
      <c r="CC70" s="185">
        <v>0</v>
      </c>
      <c r="CD70" s="188">
        <v>2616090.85</v>
      </c>
      <c r="CE70" s="195">
        <f t="shared" si="0"/>
        <v>8278333.6000000015</v>
      </c>
      <c r="CF70" s="253"/>
    </row>
    <row r="71" spans="1:84" ht="12.65" customHeight="1" x14ac:dyDescent="0.3">
      <c r="A71" s="171" t="s">
        <v>243</v>
      </c>
      <c r="B71" s="175"/>
      <c r="C71" s="195">
        <f>SUM(C61:C68)+C69-C70</f>
        <v>3524204.0999999996</v>
      </c>
      <c r="D71" s="195">
        <f t="shared" ref="D71:AI71" si="5">SUM(D61:D69)-D70</f>
        <v>0</v>
      </c>
      <c r="E71" s="195">
        <f t="shared" si="5"/>
        <v>8025096.5200000005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50105.07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119838.97000000002</v>
      </c>
      <c r="P71" s="195">
        <f t="shared" si="5"/>
        <v>3508532.42</v>
      </c>
      <c r="Q71" s="195">
        <f t="shared" si="5"/>
        <v>2229059.2899999996</v>
      </c>
      <c r="R71" s="195">
        <f t="shared" si="5"/>
        <v>-603344.76999999979</v>
      </c>
      <c r="S71" s="195">
        <f t="shared" si="5"/>
        <v>4792810.1900000004</v>
      </c>
      <c r="T71" s="195">
        <f t="shared" si="5"/>
        <v>0</v>
      </c>
      <c r="U71" s="195">
        <f t="shared" si="5"/>
        <v>6057843.0399999982</v>
      </c>
      <c r="V71" s="195">
        <f t="shared" si="5"/>
        <v>0</v>
      </c>
      <c r="W71" s="195">
        <f t="shared" si="5"/>
        <v>393870.17</v>
      </c>
      <c r="X71" s="195">
        <f t="shared" si="5"/>
        <v>848893.0199999999</v>
      </c>
      <c r="Y71" s="195">
        <f t="shared" si="5"/>
        <v>3599502.8100000005</v>
      </c>
      <c r="Z71" s="195">
        <f t="shared" si="5"/>
        <v>0</v>
      </c>
      <c r="AA71" s="195">
        <f t="shared" si="5"/>
        <v>221992.58</v>
      </c>
      <c r="AB71" s="195">
        <f t="shared" si="5"/>
        <v>2045529.9499999997</v>
      </c>
      <c r="AC71" s="195">
        <f t="shared" si="5"/>
        <v>1292239.31</v>
      </c>
      <c r="AD71" s="195">
        <f t="shared" si="5"/>
        <v>0</v>
      </c>
      <c r="AE71" s="195">
        <f t="shared" si="5"/>
        <v>2509130.9500000002</v>
      </c>
      <c r="AF71" s="195">
        <f t="shared" si="5"/>
        <v>0</v>
      </c>
      <c r="AG71" s="195">
        <f t="shared" si="5"/>
        <v>9024341.1300000008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27980277.130000003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401403.51999999996</v>
      </c>
      <c r="AW71" s="195">
        <f t="shared" si="6"/>
        <v>0</v>
      </c>
      <c r="AX71" s="195">
        <f t="shared" si="6"/>
        <v>0</v>
      </c>
      <c r="AY71" s="195">
        <f t="shared" si="6"/>
        <v>1789265.26</v>
      </c>
      <c r="AZ71" s="195">
        <f t="shared" si="6"/>
        <v>0</v>
      </c>
      <c r="BA71" s="195">
        <f t="shared" si="6"/>
        <v>371676.05</v>
      </c>
      <c r="BB71" s="195">
        <f t="shared" si="6"/>
        <v>0</v>
      </c>
      <c r="BC71" s="195">
        <f t="shared" si="6"/>
        <v>0</v>
      </c>
      <c r="BD71" s="195">
        <f t="shared" si="6"/>
        <v>666415.60000000009</v>
      </c>
      <c r="BE71" s="195">
        <f t="shared" si="6"/>
        <v>3295777.3100000005</v>
      </c>
      <c r="BF71" s="195">
        <f t="shared" si="6"/>
        <v>2424851.71</v>
      </c>
      <c r="BG71" s="195">
        <f t="shared" si="6"/>
        <v>0</v>
      </c>
      <c r="BH71" s="195">
        <f t="shared" si="6"/>
        <v>9341569.9700000007</v>
      </c>
      <c r="BI71" s="195">
        <f t="shared" si="6"/>
        <v>0</v>
      </c>
      <c r="BJ71" s="195">
        <f t="shared" si="6"/>
        <v>959372.15999999992</v>
      </c>
      <c r="BK71" s="195">
        <f t="shared" si="6"/>
        <v>2455713.7700000005</v>
      </c>
      <c r="BL71" s="195">
        <f t="shared" si="6"/>
        <v>1805850.3</v>
      </c>
      <c r="BM71" s="195">
        <f t="shared" si="6"/>
        <v>0</v>
      </c>
      <c r="BN71" s="195">
        <f t="shared" si="6"/>
        <v>3654784.0500000003</v>
      </c>
      <c r="BO71" s="195">
        <f t="shared" si="6"/>
        <v>263542.71000000002</v>
      </c>
      <c r="BP71" s="195">
        <f t="shared" ref="BP71:CC71" si="7">SUM(BP61:BP69)-BP70</f>
        <v>319857.87000000005</v>
      </c>
      <c r="BQ71" s="195">
        <f t="shared" si="7"/>
        <v>0</v>
      </c>
      <c r="BR71" s="195">
        <f t="shared" si="7"/>
        <v>1025784.0800000001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2354508.0099999998</v>
      </c>
      <c r="BW71" s="195">
        <f t="shared" si="7"/>
        <v>332842.90999999997</v>
      </c>
      <c r="BX71" s="195">
        <f t="shared" si="7"/>
        <v>0</v>
      </c>
      <c r="BY71" s="195">
        <f t="shared" si="7"/>
        <v>4377263.4499999993</v>
      </c>
      <c r="BZ71" s="195">
        <f t="shared" si="7"/>
        <v>0</v>
      </c>
      <c r="CA71" s="195">
        <f t="shared" si="7"/>
        <v>220699.49</v>
      </c>
      <c r="CB71" s="195">
        <f t="shared" si="7"/>
        <v>0</v>
      </c>
      <c r="CC71" s="195">
        <f t="shared" si="7"/>
        <v>3738083.56</v>
      </c>
      <c r="CD71" s="246">
        <f>CD69-CD70</f>
        <v>905060.64999999944</v>
      </c>
      <c r="CE71" s="195">
        <f>SUM(CE61:CE69)-CE70</f>
        <v>116324244.30999997</v>
      </c>
      <c r="CF71" s="253"/>
    </row>
    <row r="72" spans="1:84" ht="12.65" customHeight="1" x14ac:dyDescent="0.3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>
        <v>2332919.7799999998</v>
      </c>
      <c r="CF72" s="253"/>
    </row>
    <row r="73" spans="1:84" ht="12.65" customHeight="1" x14ac:dyDescent="0.3">
      <c r="A73" s="171" t="s">
        <v>245</v>
      </c>
      <c r="B73" s="175"/>
      <c r="C73" s="184">
        <v>11732206.609999999</v>
      </c>
      <c r="D73" s="184"/>
      <c r="E73" s="185">
        <v>22071398.569999997</v>
      </c>
      <c r="F73" s="185"/>
      <c r="G73" s="184"/>
      <c r="H73" s="184"/>
      <c r="I73" s="185"/>
      <c r="J73" s="185">
        <v>1261578.9500000002</v>
      </c>
      <c r="K73" s="185"/>
      <c r="L73" s="185"/>
      <c r="M73" s="184"/>
      <c r="N73" s="184"/>
      <c r="O73" s="184">
        <v>2477639.73</v>
      </c>
      <c r="P73" s="185">
        <v>4774045.49</v>
      </c>
      <c r="Q73" s="185">
        <v>933278.89999999991</v>
      </c>
      <c r="R73" s="185">
        <v>394580.59</v>
      </c>
      <c r="S73" s="185">
        <v>3531152.58</v>
      </c>
      <c r="T73" s="185"/>
      <c r="U73" s="185">
        <v>5930684.21</v>
      </c>
      <c r="V73" s="185"/>
      <c r="W73" s="185">
        <v>452352.66</v>
      </c>
      <c r="X73" s="185">
        <v>2693872.87</v>
      </c>
      <c r="Y73" s="185">
        <v>1658584.9200000002</v>
      </c>
      <c r="Z73" s="185"/>
      <c r="AA73" s="185">
        <v>109834</v>
      </c>
      <c r="AB73" s="185">
        <v>4644541.7299999995</v>
      </c>
      <c r="AC73" s="185">
        <v>5187470.66</v>
      </c>
      <c r="AD73" s="185"/>
      <c r="AE73" s="185">
        <v>561080.46999999986</v>
      </c>
      <c r="AF73" s="185"/>
      <c r="AG73" s="185">
        <v>3615346.0100000002</v>
      </c>
      <c r="AH73" s="185"/>
      <c r="AI73" s="185"/>
      <c r="AJ73" s="185"/>
      <c r="AK73" s="185"/>
      <c r="AL73" s="185"/>
      <c r="AM73" s="185"/>
      <c r="AN73" s="185"/>
      <c r="AO73" s="185"/>
      <c r="AP73" s="185">
        <v>1376774.06</v>
      </c>
      <c r="AQ73" s="185"/>
      <c r="AR73" s="185"/>
      <c r="AS73" s="185"/>
      <c r="AT73" s="185"/>
      <c r="AU73" s="185"/>
      <c r="AV73" s="185">
        <f>0+77006.8</f>
        <v>77006.8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73483429.809999987</v>
      </c>
      <c r="CF73" s="253"/>
    </row>
    <row r="74" spans="1:84" ht="12.65" customHeight="1" x14ac:dyDescent="0.3">
      <c r="A74" s="171" t="s">
        <v>246</v>
      </c>
      <c r="B74" s="175"/>
      <c r="C74" s="184">
        <v>2595214.13</v>
      </c>
      <c r="D74" s="184"/>
      <c r="E74" s="185">
        <v>7644238.2700000005</v>
      </c>
      <c r="F74" s="185"/>
      <c r="G74" s="184"/>
      <c r="H74" s="184"/>
      <c r="I74" s="184"/>
      <c r="J74" s="185">
        <v>85577.85</v>
      </c>
      <c r="K74" s="185"/>
      <c r="L74" s="185"/>
      <c r="M74" s="184"/>
      <c r="N74" s="184"/>
      <c r="O74" s="184">
        <v>701997.38</v>
      </c>
      <c r="P74" s="185">
        <v>14641376.280000001</v>
      </c>
      <c r="Q74" s="185">
        <v>5874348.419999999</v>
      </c>
      <c r="R74" s="185">
        <v>1920213.96</v>
      </c>
      <c r="S74" s="185">
        <v>5688105.4900000002</v>
      </c>
      <c r="T74" s="185"/>
      <c r="U74" s="185">
        <v>31227051.009999998</v>
      </c>
      <c r="V74" s="185"/>
      <c r="W74" s="185">
        <v>7818335.1200000001</v>
      </c>
      <c r="X74" s="185">
        <v>27103586.039999999</v>
      </c>
      <c r="Y74" s="185">
        <v>19749432.240000002</v>
      </c>
      <c r="Z74" s="185"/>
      <c r="AA74" s="185">
        <v>730189.33</v>
      </c>
      <c r="AB74" s="185">
        <v>7337243.7800000003</v>
      </c>
      <c r="AC74" s="185">
        <v>2831955.61</v>
      </c>
      <c r="AD74" s="185"/>
      <c r="AE74" s="185">
        <v>5983622.71</v>
      </c>
      <c r="AF74" s="185"/>
      <c r="AG74" s="185">
        <v>44702068.049999997</v>
      </c>
      <c r="AH74" s="185"/>
      <c r="AI74" s="185"/>
      <c r="AJ74" s="185"/>
      <c r="AK74" s="185"/>
      <c r="AL74" s="185"/>
      <c r="AM74" s="185"/>
      <c r="AN74" s="185"/>
      <c r="AO74" s="185"/>
      <c r="AP74" s="185">
        <v>32624302.779999997</v>
      </c>
      <c r="AQ74" s="185"/>
      <c r="AR74" s="185"/>
      <c r="AS74" s="185"/>
      <c r="AT74" s="185"/>
      <c r="AU74" s="185"/>
      <c r="AV74" s="185">
        <f>434522.5+95429.73</f>
        <v>529952.23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219788810.68000001</v>
      </c>
      <c r="CF74" s="253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14327420.739999998</v>
      </c>
      <c r="D75" s="195">
        <f t="shared" si="9"/>
        <v>0</v>
      </c>
      <c r="E75" s="195">
        <f t="shared" si="9"/>
        <v>29715636.839999996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1347156.8000000003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3179637.11</v>
      </c>
      <c r="P75" s="195">
        <f t="shared" si="9"/>
        <v>19415421.770000003</v>
      </c>
      <c r="Q75" s="195">
        <f t="shared" si="9"/>
        <v>6807627.3199999984</v>
      </c>
      <c r="R75" s="195">
        <f t="shared" si="9"/>
        <v>2314794.5499999998</v>
      </c>
      <c r="S75" s="195">
        <f t="shared" si="9"/>
        <v>9219258.0700000003</v>
      </c>
      <c r="T75" s="195">
        <f t="shared" si="9"/>
        <v>0</v>
      </c>
      <c r="U75" s="195">
        <f t="shared" si="9"/>
        <v>37157735.219999999</v>
      </c>
      <c r="V75" s="195">
        <f t="shared" si="9"/>
        <v>0</v>
      </c>
      <c r="W75" s="195">
        <f t="shared" si="9"/>
        <v>8270687.7800000003</v>
      </c>
      <c r="X75" s="195">
        <f t="shared" si="9"/>
        <v>29797458.91</v>
      </c>
      <c r="Y75" s="195">
        <f t="shared" si="9"/>
        <v>21408017.160000004</v>
      </c>
      <c r="Z75" s="195">
        <f t="shared" si="9"/>
        <v>0</v>
      </c>
      <c r="AA75" s="195">
        <f t="shared" si="9"/>
        <v>840023.33</v>
      </c>
      <c r="AB75" s="195">
        <f t="shared" si="9"/>
        <v>11981785.51</v>
      </c>
      <c r="AC75" s="195">
        <f t="shared" si="9"/>
        <v>8019426.2699999996</v>
      </c>
      <c r="AD75" s="195">
        <f t="shared" si="9"/>
        <v>0</v>
      </c>
      <c r="AE75" s="195">
        <f t="shared" si="9"/>
        <v>6544703.1799999997</v>
      </c>
      <c r="AF75" s="195">
        <f t="shared" si="9"/>
        <v>0</v>
      </c>
      <c r="AG75" s="195">
        <f t="shared" si="9"/>
        <v>48317414.059999995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34001076.839999996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606959.03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293272240.48999995</v>
      </c>
      <c r="CF75" s="253"/>
    </row>
    <row r="76" spans="1:84" ht="12.65" customHeight="1" x14ac:dyDescent="0.3">
      <c r="A76" s="171" t="s">
        <v>248</v>
      </c>
      <c r="B76" s="175"/>
      <c r="C76" s="184">
        <v>6518.13</v>
      </c>
      <c r="D76" s="184"/>
      <c r="E76" s="185">
        <v>19253.77</v>
      </c>
      <c r="F76" s="185"/>
      <c r="G76" s="184"/>
      <c r="H76" s="184"/>
      <c r="I76" s="185"/>
      <c r="J76" s="185">
        <v>482.03</v>
      </c>
      <c r="K76" s="185"/>
      <c r="L76" s="185"/>
      <c r="M76" s="185"/>
      <c r="N76" s="185"/>
      <c r="O76" s="185">
        <v>974.9</v>
      </c>
      <c r="P76" s="185">
        <v>6565.4999999999991</v>
      </c>
      <c r="Q76" s="185">
        <v>7247.26</v>
      </c>
      <c r="R76" s="185">
        <v>311.61</v>
      </c>
      <c r="S76" s="185">
        <v>2970.4</v>
      </c>
      <c r="T76" s="185"/>
      <c r="U76" s="185">
        <v>4392.96</v>
      </c>
      <c r="V76" s="185"/>
      <c r="W76" s="185">
        <v>2137.4699999999998</v>
      </c>
      <c r="X76" s="185">
        <v>791.67</v>
      </c>
      <c r="Y76" s="185">
        <v>6992.17</v>
      </c>
      <c r="Z76" s="185"/>
      <c r="AA76" s="185">
        <v>690.16</v>
      </c>
      <c r="AB76" s="185">
        <v>1922.3700000000001</v>
      </c>
      <c r="AC76" s="185">
        <v>805.5</v>
      </c>
      <c r="AD76" s="185"/>
      <c r="AE76" s="185">
        <v>3886.53</v>
      </c>
      <c r="AF76" s="185"/>
      <c r="AG76" s="185">
        <v>9543.0499999999993</v>
      </c>
      <c r="AH76" s="185"/>
      <c r="AI76" s="185"/>
      <c r="AJ76" s="185"/>
      <c r="AK76" s="185"/>
      <c r="AL76" s="185"/>
      <c r="AM76" s="185"/>
      <c r="AN76" s="185"/>
      <c r="AO76" s="185"/>
      <c r="AP76" s="185">
        <v>78245.09</v>
      </c>
      <c r="AQ76" s="185"/>
      <c r="AR76" s="185"/>
      <c r="AS76" s="185"/>
      <c r="AT76" s="185"/>
      <c r="AU76" s="185"/>
      <c r="AV76" s="185">
        <v>267.94</v>
      </c>
      <c r="AW76" s="185"/>
      <c r="AX76" s="185"/>
      <c r="AY76" s="185">
        <v>5039.92</v>
      </c>
      <c r="AZ76" s="185"/>
      <c r="BA76" s="185">
        <v>1460.81</v>
      </c>
      <c r="BB76" s="185"/>
      <c r="BC76" s="185"/>
      <c r="BD76" s="185">
        <v>3402.32</v>
      </c>
      <c r="BE76" s="185">
        <v>28164.5</v>
      </c>
      <c r="BF76" s="185">
        <v>2295</v>
      </c>
      <c r="BG76" s="185"/>
      <c r="BH76" s="185">
        <v>3253.2200000000003</v>
      </c>
      <c r="BI76" s="185"/>
      <c r="BJ76" s="185">
        <v>1981.5</v>
      </c>
      <c r="BK76" s="185">
        <v>2734.5</v>
      </c>
      <c r="BL76" s="185">
        <v>1921.97</v>
      </c>
      <c r="BM76" s="185"/>
      <c r="BN76" s="185">
        <v>5382.5</v>
      </c>
      <c r="BO76" s="185">
        <v>279.27</v>
      </c>
      <c r="BP76" s="185">
        <v>2848.15</v>
      </c>
      <c r="BQ76" s="185"/>
      <c r="BR76" s="185">
        <v>2129.09</v>
      </c>
      <c r="BS76" s="185"/>
      <c r="BT76" s="185"/>
      <c r="BU76" s="185"/>
      <c r="BV76" s="185">
        <v>4545.67</v>
      </c>
      <c r="BW76" s="185">
        <v>1021.84</v>
      </c>
      <c r="BX76" s="185"/>
      <c r="BY76" s="185">
        <v>1730.5900000000001</v>
      </c>
      <c r="BZ76" s="185"/>
      <c r="CA76" s="185">
        <v>1046</v>
      </c>
      <c r="CB76" s="185"/>
      <c r="CC76" s="185">
        <v>18251.54</v>
      </c>
      <c r="CD76" s="250" t="s">
        <v>221</v>
      </c>
      <c r="CE76" s="195">
        <f t="shared" si="8"/>
        <v>241486.90000000002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5460.6088594605108</v>
      </c>
      <c r="D77" s="184"/>
      <c r="E77" s="184">
        <v>26275.184773848963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281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1120.3837031425446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33137.17733645202</v>
      </c>
      <c r="CF77" s="195">
        <f>AY59-CE77</f>
        <v>-6.2945308105554432E-2</v>
      </c>
    </row>
    <row r="78" spans="1:84" ht="12.65" customHeight="1" x14ac:dyDescent="0.35">
      <c r="A78" s="171" t="s">
        <v>250</v>
      </c>
      <c r="B78" s="175"/>
      <c r="C78" s="184">
        <v>6518.13</v>
      </c>
      <c r="D78" s="184"/>
      <c r="E78" s="184">
        <v>19253.77</v>
      </c>
      <c r="F78" s="184"/>
      <c r="G78" s="184"/>
      <c r="H78" s="184"/>
      <c r="I78" s="184"/>
      <c r="J78" s="184">
        <v>482.03</v>
      </c>
      <c r="K78" s="184"/>
      <c r="L78" s="184"/>
      <c r="M78" s="184"/>
      <c r="N78" s="184"/>
      <c r="O78" s="184">
        <v>974.9</v>
      </c>
      <c r="P78" s="184">
        <v>6565.4999999999991</v>
      </c>
      <c r="Q78" s="184">
        <v>7247.26</v>
      </c>
      <c r="R78" s="184">
        <v>311.61</v>
      </c>
      <c r="S78" s="184">
        <v>2970.4</v>
      </c>
      <c r="T78" s="184"/>
      <c r="U78" s="184">
        <v>4392.96</v>
      </c>
      <c r="V78" s="184"/>
      <c r="W78" s="184">
        <v>2137.4699999999998</v>
      </c>
      <c r="X78" s="184">
        <v>791.67</v>
      </c>
      <c r="Y78" s="184">
        <v>6992.17</v>
      </c>
      <c r="Z78" s="184"/>
      <c r="AA78" s="184">
        <v>690.16</v>
      </c>
      <c r="AB78" s="184">
        <v>1922.3700000000001</v>
      </c>
      <c r="AC78" s="184">
        <v>805.5</v>
      </c>
      <c r="AD78" s="184"/>
      <c r="AE78" s="184">
        <v>3886.53</v>
      </c>
      <c r="AF78" s="184"/>
      <c r="AG78" s="184">
        <v>9543.0499999999993</v>
      </c>
      <c r="AH78" s="184"/>
      <c r="AI78" s="184"/>
      <c r="AJ78" s="184"/>
      <c r="AK78" s="184"/>
      <c r="AL78" s="184"/>
      <c r="AM78" s="184"/>
      <c r="AN78" s="184"/>
      <c r="AO78" s="184"/>
      <c r="AP78" s="184">
        <v>78245.09</v>
      </c>
      <c r="AQ78" s="184"/>
      <c r="AR78" s="184"/>
      <c r="AS78" s="184"/>
      <c r="AT78" s="184"/>
      <c r="AU78" s="184"/>
      <c r="AV78" s="184">
        <v>267.94</v>
      </c>
      <c r="AW78" s="184"/>
      <c r="AX78" s="250" t="s">
        <v>221</v>
      </c>
      <c r="AY78" s="250" t="s">
        <v>221</v>
      </c>
      <c r="AZ78" s="250" t="s">
        <v>221</v>
      </c>
      <c r="BA78" s="184">
        <v>1460.81</v>
      </c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346">
        <f t="shared" ref="BH78" si="10">BH76</f>
        <v>3253.2200000000003</v>
      </c>
      <c r="BI78" s="184"/>
      <c r="BJ78" s="250" t="s">
        <v>221</v>
      </c>
      <c r="BK78" s="184">
        <v>2734.5</v>
      </c>
      <c r="BL78" s="184">
        <v>1921.97</v>
      </c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>
        <v>4545.67</v>
      </c>
      <c r="BW78" s="184">
        <v>1021.84</v>
      </c>
      <c r="BX78" s="184"/>
      <c r="BY78" s="184">
        <v>1730.5900000000001</v>
      </c>
      <c r="BZ78" s="184"/>
      <c r="CA78" s="184">
        <v>1046</v>
      </c>
      <c r="CB78" s="184"/>
      <c r="CC78" s="250" t="s">
        <v>221</v>
      </c>
      <c r="CD78" s="250" t="s">
        <v>221</v>
      </c>
      <c r="CE78" s="195">
        <f t="shared" si="8"/>
        <v>171713.11000000002</v>
      </c>
      <c r="CF78" s="195"/>
    </row>
    <row r="79" spans="1:84" ht="12.65" customHeight="1" x14ac:dyDescent="0.3">
      <c r="A79" s="171" t="s">
        <v>251</v>
      </c>
      <c r="B79" s="175"/>
      <c r="C79" s="225">
        <v>31193</v>
      </c>
      <c r="D79" s="225"/>
      <c r="E79" s="184">
        <v>58134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29403</v>
      </c>
      <c r="P79" s="184">
        <v>30333</v>
      </c>
      <c r="Q79" s="184">
        <v>20847</v>
      </c>
      <c r="R79" s="184"/>
      <c r="S79" s="184"/>
      <c r="T79" s="184"/>
      <c r="U79" s="184">
        <v>611</v>
      </c>
      <c r="V79" s="184"/>
      <c r="W79" s="184"/>
      <c r="X79" s="184"/>
      <c r="Y79" s="184">
        <v>27197</v>
      </c>
      <c r="Z79" s="184"/>
      <c r="AA79" s="184"/>
      <c r="AB79" s="184"/>
      <c r="AC79" s="184"/>
      <c r="AD79" s="184"/>
      <c r="AE79" s="184">
        <v>6407</v>
      </c>
      <c r="AF79" s="184"/>
      <c r="AG79" s="184">
        <v>60842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264967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19.982597130494504</v>
      </c>
      <c r="D80" s="187"/>
      <c r="E80" s="187">
        <v>48.04791311195055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16.607230490899724</v>
      </c>
      <c r="Q80" s="187">
        <v>13.104546598729398</v>
      </c>
      <c r="R80" s="187">
        <v>3.9400814835164826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30.697131251263738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132.37950006685438</v>
      </c>
      <c r="CF80" s="256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3" t="s">
        <v>1280</v>
      </c>
      <c r="D82" s="257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1268</v>
      </c>
      <c r="D83" s="257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1281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7"/>
      <c r="E92" s="175"/>
    </row>
    <row r="93" spans="1:5" ht="12.65" customHeight="1" x14ac:dyDescent="0.3">
      <c r="A93" s="173" t="s">
        <v>264</v>
      </c>
      <c r="B93" s="172" t="s">
        <v>256</v>
      </c>
      <c r="C93" s="271" t="s">
        <v>1278</v>
      </c>
      <c r="D93" s="257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8" t="s">
        <v>266</v>
      </c>
      <c r="B96" s="258"/>
      <c r="C96" s="258"/>
      <c r="D96" s="258"/>
      <c r="E96" s="258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8" t="s">
        <v>269</v>
      </c>
      <c r="B100" s="258"/>
      <c r="C100" s="258"/>
      <c r="D100" s="258"/>
      <c r="E100" s="258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8" t="s">
        <v>271</v>
      </c>
      <c r="B103" s="258"/>
      <c r="C103" s="258"/>
      <c r="D103" s="258"/>
      <c r="E103" s="258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1498</v>
      </c>
      <c r="D111" s="174">
        <v>5438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317</v>
      </c>
      <c r="D114" s="174">
        <v>619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>
        <v>68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798</v>
      </c>
      <c r="C138" s="189">
        <v>416</v>
      </c>
      <c r="D138" s="174">
        <v>284</v>
      </c>
      <c r="E138" s="175">
        <f>SUM(B138:D138)</f>
        <v>1498</v>
      </c>
    </row>
    <row r="139" spans="1:6" ht="12.65" customHeight="1" x14ac:dyDescent="0.3">
      <c r="A139" s="173" t="s">
        <v>215</v>
      </c>
      <c r="B139" s="174">
        <v>3165</v>
      </c>
      <c r="C139" s="189">
        <v>1262</v>
      </c>
      <c r="D139" s="174">
        <v>1011</v>
      </c>
      <c r="E139" s="175">
        <f>SUM(B139:D139)</f>
        <v>5438</v>
      </c>
    </row>
    <row r="140" spans="1:6" ht="12.65" customHeight="1" x14ac:dyDescent="0.3">
      <c r="A140" s="173" t="s">
        <v>298</v>
      </c>
      <c r="B140" s="174">
        <f>27776+10325+20326+7940+4705+985</f>
        <v>72057</v>
      </c>
      <c r="C140" s="174">
        <f>2125+19098+2850+26072+6739+211</f>
        <v>57095</v>
      </c>
      <c r="D140" s="174">
        <f>5066+5717+12430+1739+1823+6541+5875+10820+1711+2067+4867+56</f>
        <v>58712</v>
      </c>
      <c r="E140" s="175">
        <f>SUM(B140:D140)</f>
        <v>187864</v>
      </c>
    </row>
    <row r="141" spans="1:6" ht="12.65" customHeight="1" x14ac:dyDescent="0.3">
      <c r="A141" s="173" t="s">
        <v>245</v>
      </c>
      <c r="B141" s="174">
        <v>38087808.270000003</v>
      </c>
      <c r="C141" s="189">
        <v>20153301.789999999</v>
      </c>
      <c r="D141" s="174">
        <v>15242319.75</v>
      </c>
      <c r="E141" s="175">
        <f>SUM(B141:D141)</f>
        <v>73483429.810000002</v>
      </c>
      <c r="F141" s="199"/>
    </row>
    <row r="142" spans="1:6" ht="12.65" customHeight="1" x14ac:dyDescent="0.3">
      <c r="A142" s="173" t="s">
        <v>246</v>
      </c>
      <c r="B142" s="174">
        <v>94970948.129999995</v>
      </c>
      <c r="C142" s="189">
        <v>62490016.439999998</v>
      </c>
      <c r="D142" s="174">
        <v>62327846.109999999</v>
      </c>
      <c r="E142" s="175">
        <f>SUM(B142:D142)</f>
        <v>219788810.68000001</v>
      </c>
      <c r="F142" s="199"/>
    </row>
    <row r="143" spans="1:6" ht="12.65" customHeight="1" x14ac:dyDescent="0.3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6267693.1399999997</v>
      </c>
      <c r="C157" s="174">
        <v>2819637.43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8" t="s">
        <v>306</v>
      </c>
      <c r="B164" s="258"/>
      <c r="C164" s="258"/>
      <c r="D164" s="258"/>
      <c r="E164" s="258"/>
    </row>
    <row r="165" spans="1:5" ht="11.5" customHeight="1" x14ac:dyDescent="0.3">
      <c r="A165" s="173" t="s">
        <v>307</v>
      </c>
      <c r="B165" s="172" t="s">
        <v>256</v>
      </c>
      <c r="C165" s="189">
        <v>3709281.29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34735.730000000003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214875.59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11007063.310000001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90690.010000000009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2880081.3000000003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224067.23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18160794.460000001</v>
      </c>
      <c r="E173" s="175"/>
    </row>
    <row r="174" spans="1:5" ht="11.5" customHeight="1" x14ac:dyDescent="0.3">
      <c r="A174" s="258" t="s">
        <v>314</v>
      </c>
      <c r="B174" s="258"/>
      <c r="C174" s="258"/>
      <c r="D174" s="258"/>
      <c r="E174" s="258"/>
    </row>
    <row r="175" spans="1:5" ht="11.5" customHeight="1" x14ac:dyDescent="0.3">
      <c r="A175" s="173" t="s">
        <v>315</v>
      </c>
      <c r="B175" s="172" t="s">
        <v>256</v>
      </c>
      <c r="C175" s="189">
        <v>218168.49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641216.64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859385.13</v>
      </c>
      <c r="E177" s="175"/>
    </row>
    <row r="178" spans="1:5" ht="11.5" customHeight="1" x14ac:dyDescent="0.3">
      <c r="A178" s="258" t="s">
        <v>317</v>
      </c>
      <c r="B178" s="258"/>
      <c r="C178" s="258"/>
      <c r="D178" s="258"/>
      <c r="E178" s="258"/>
    </row>
    <row r="179" spans="1:5" ht="11.5" customHeight="1" x14ac:dyDescent="0.3">
      <c r="A179" s="173" t="s">
        <v>318</v>
      </c>
      <c r="B179" s="172" t="s">
        <v>256</v>
      </c>
      <c r="C179" s="189">
        <v>471620.07000000007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436199.95999999996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907820.03</v>
      </c>
      <c r="E181" s="175"/>
    </row>
    <row r="182" spans="1:5" ht="11.5" customHeight="1" x14ac:dyDescent="0.3">
      <c r="A182" s="258" t="s">
        <v>320</v>
      </c>
      <c r="B182" s="258"/>
      <c r="C182" s="258"/>
      <c r="D182" s="258"/>
      <c r="E182" s="258"/>
    </row>
    <row r="183" spans="1:5" ht="11.5" customHeight="1" x14ac:dyDescent="0.3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686822.73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686822.73</v>
      </c>
      <c r="E186" s="175"/>
    </row>
    <row r="187" spans="1:5" ht="11.5" customHeight="1" x14ac:dyDescent="0.3">
      <c r="A187" s="258" t="s">
        <v>323</v>
      </c>
      <c r="B187" s="258"/>
      <c r="C187" s="258"/>
      <c r="D187" s="258"/>
      <c r="E187" s="258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2141746.4899999998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2141746.4899999998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2015497.22</v>
      </c>
      <c r="C195" s="189">
        <v>0</v>
      </c>
      <c r="D195" s="174">
        <v>0</v>
      </c>
      <c r="E195" s="175">
        <f t="shared" ref="E195:E203" si="11">SUM(B195:C195)-D195</f>
        <v>2015497.22</v>
      </c>
    </row>
    <row r="196" spans="1:8" ht="12.65" customHeight="1" x14ac:dyDescent="0.3">
      <c r="A196" s="173" t="s">
        <v>333</v>
      </c>
      <c r="B196" s="174">
        <v>11010199.720000001</v>
      </c>
      <c r="C196" s="189">
        <v>32785.57</v>
      </c>
      <c r="D196" s="174">
        <v>0</v>
      </c>
      <c r="E196" s="175">
        <f t="shared" si="11"/>
        <v>11042985.290000001</v>
      </c>
    </row>
    <row r="197" spans="1:8" ht="12.65" customHeight="1" x14ac:dyDescent="0.3">
      <c r="A197" s="173" t="s">
        <v>334</v>
      </c>
      <c r="B197" s="174">
        <v>57334670.100000001</v>
      </c>
      <c r="C197" s="189">
        <v>29609.09</v>
      </c>
      <c r="D197" s="174">
        <v>0</v>
      </c>
      <c r="E197" s="175">
        <f t="shared" si="11"/>
        <v>57364279.190000005</v>
      </c>
    </row>
    <row r="198" spans="1:8" ht="12.65" customHeight="1" x14ac:dyDescent="0.3">
      <c r="A198" s="173" t="s">
        <v>335</v>
      </c>
      <c r="B198" s="174">
        <v>32196070.280000001</v>
      </c>
      <c r="C198" s="189">
        <v>403918.16</v>
      </c>
      <c r="D198" s="174">
        <v>0</v>
      </c>
      <c r="E198" s="175">
        <f t="shared" si="11"/>
        <v>32599988.440000001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1"/>
        <v>0</v>
      </c>
    </row>
    <row r="200" spans="1:8" ht="12.65" customHeight="1" x14ac:dyDescent="0.3">
      <c r="A200" s="173" t="s">
        <v>337</v>
      </c>
      <c r="B200" s="174">
        <v>39071172.310000002</v>
      </c>
      <c r="C200" s="189">
        <v>1914984.33</v>
      </c>
      <c r="D200" s="174">
        <v>1038423.24</v>
      </c>
      <c r="E200" s="175">
        <f t="shared" si="11"/>
        <v>39947733.399999999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1"/>
        <v>0</v>
      </c>
    </row>
    <row r="202" spans="1:8" ht="12.65" customHeight="1" x14ac:dyDescent="0.3">
      <c r="A202" s="173" t="s">
        <v>339</v>
      </c>
      <c r="B202" s="174">
        <v>1163193.04</v>
      </c>
      <c r="C202" s="189">
        <v>0</v>
      </c>
      <c r="D202" s="174">
        <v>0</v>
      </c>
      <c r="E202" s="175">
        <f t="shared" si="11"/>
        <v>1163193.04</v>
      </c>
    </row>
    <row r="203" spans="1:8" ht="12.65" customHeight="1" x14ac:dyDescent="0.3">
      <c r="A203" s="173" t="s">
        <v>340</v>
      </c>
      <c r="B203" s="174">
        <v>1538936.82</v>
      </c>
      <c r="C203" s="189">
        <f>2811138.6+239405.69</f>
        <v>3050544.29</v>
      </c>
      <c r="D203" s="174">
        <v>1682359.62</v>
      </c>
      <c r="E203" s="175">
        <f t="shared" si="11"/>
        <v>2907121.49</v>
      </c>
    </row>
    <row r="204" spans="1:8" ht="12.65" customHeight="1" x14ac:dyDescent="0.3">
      <c r="A204" s="173" t="s">
        <v>203</v>
      </c>
      <c r="B204" s="175">
        <f>SUM(B195:B203)</f>
        <v>144329739.48999998</v>
      </c>
      <c r="C204" s="191">
        <f>SUM(C195:C203)</f>
        <v>5431841.4399999995</v>
      </c>
      <c r="D204" s="175">
        <f>SUM(D195:D203)</f>
        <v>2720782.8600000003</v>
      </c>
      <c r="E204" s="175">
        <f>SUM(E195:E203)</f>
        <v>147040798.06999999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">
      <c r="A209" s="173" t="s">
        <v>333</v>
      </c>
      <c r="B209" s="174">
        <v>2721542.47</v>
      </c>
      <c r="C209" s="189">
        <v>766060.45</v>
      </c>
      <c r="D209" s="174">
        <v>0</v>
      </c>
      <c r="E209" s="175">
        <f t="shared" ref="E209:E216" si="12">SUM(B209:C209)-D209</f>
        <v>3487602.92</v>
      </c>
      <c r="H209" s="260"/>
    </row>
    <row r="210" spans="1:8" ht="12.65" customHeight="1" x14ac:dyDescent="0.3">
      <c r="A210" s="173" t="s">
        <v>334</v>
      </c>
      <c r="B210" s="174">
        <v>21279639.199999999</v>
      </c>
      <c r="C210" s="189">
        <v>2503630.04</v>
      </c>
      <c r="D210" s="174"/>
      <c r="E210" s="175">
        <f t="shared" si="12"/>
        <v>23783269.239999998</v>
      </c>
      <c r="H210" s="260"/>
    </row>
    <row r="211" spans="1:8" ht="12.65" customHeight="1" x14ac:dyDescent="0.3">
      <c r="A211" s="173" t="s">
        <v>335</v>
      </c>
      <c r="B211" s="174">
        <v>12303772.77</v>
      </c>
      <c r="C211" s="189">
        <v>1810096.38</v>
      </c>
      <c r="D211" s="174">
        <v>0</v>
      </c>
      <c r="E211" s="175">
        <f t="shared" si="12"/>
        <v>14113869.149999999</v>
      </c>
      <c r="H211" s="260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2"/>
        <v>0</v>
      </c>
      <c r="H212" s="260"/>
    </row>
    <row r="213" spans="1:8" ht="12.65" customHeight="1" x14ac:dyDescent="0.3">
      <c r="A213" s="173" t="s">
        <v>337</v>
      </c>
      <c r="B213" s="174">
        <v>30162457.829999998</v>
      </c>
      <c r="C213" s="189">
        <v>2649086.56</v>
      </c>
      <c r="D213" s="174">
        <v>1022559.01</v>
      </c>
      <c r="E213" s="175">
        <f t="shared" si="12"/>
        <v>31788985.379999995</v>
      </c>
      <c r="H213" s="260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2"/>
        <v>0</v>
      </c>
      <c r="H214" s="260"/>
    </row>
    <row r="215" spans="1:8" ht="12.65" customHeight="1" x14ac:dyDescent="0.3">
      <c r="A215" s="173" t="s">
        <v>339</v>
      </c>
      <c r="B215" s="174">
        <v>473101.24</v>
      </c>
      <c r="C215" s="189">
        <v>173232.65</v>
      </c>
      <c r="D215" s="174"/>
      <c r="E215" s="175">
        <f t="shared" si="12"/>
        <v>646333.89</v>
      </c>
      <c r="H215" s="260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2"/>
        <v>0</v>
      </c>
      <c r="H216" s="260"/>
    </row>
    <row r="217" spans="1:8" ht="12.65" customHeight="1" x14ac:dyDescent="0.3">
      <c r="A217" s="173" t="s">
        <v>203</v>
      </c>
      <c r="B217" s="175">
        <f>SUM(B208:B216)</f>
        <v>66940513.509999998</v>
      </c>
      <c r="C217" s="191">
        <f>SUM(C208:C216)</f>
        <v>7902106.0800000001</v>
      </c>
      <c r="D217" s="175">
        <f>SUM(D208:D216)</f>
        <v>1022559.01</v>
      </c>
      <c r="E217" s="175">
        <f>SUM(E208:E216)</f>
        <v>73820060.579999998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7" t="s">
        <v>1254</v>
      </c>
      <c r="C220" s="347"/>
      <c r="D220" s="208"/>
      <c r="E220" s="208"/>
    </row>
    <row r="221" spans="1:8" ht="12.65" customHeight="1" x14ac:dyDescent="0.3">
      <c r="A221" s="273" t="s">
        <v>1254</v>
      </c>
      <c r="B221" s="208"/>
      <c r="C221" s="189">
        <v>3753986.2000000007</v>
      </c>
      <c r="D221" s="172">
        <f>C221</f>
        <v>3753986.2000000007</v>
      </c>
      <c r="E221" s="208"/>
    </row>
    <row r="222" spans="1:8" ht="12.65" customHeight="1" x14ac:dyDescent="0.3">
      <c r="A222" s="258" t="s">
        <v>343</v>
      </c>
      <c r="B222" s="258"/>
      <c r="C222" s="258"/>
      <c r="D222" s="258"/>
      <c r="E222" s="258"/>
    </row>
    <row r="223" spans="1:8" ht="12.65" customHeight="1" x14ac:dyDescent="0.3">
      <c r="A223" s="173" t="s">
        <v>344</v>
      </c>
      <c r="B223" s="172" t="s">
        <v>256</v>
      </c>
      <c r="C223" s="189">
        <v>74649469.299999997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54134856.170000002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4620366.83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27280979.5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160685671.80000001</v>
      </c>
      <c r="E229" s="175"/>
    </row>
    <row r="230" spans="1:5" ht="12.65" customHeight="1" x14ac:dyDescent="0.3">
      <c r="A230" s="258" t="s">
        <v>351</v>
      </c>
      <c r="B230" s="258"/>
      <c r="C230" s="258"/>
      <c r="D230" s="258"/>
      <c r="E230" s="258"/>
    </row>
    <row r="231" spans="1:5" ht="12.65" customHeight="1" x14ac:dyDescent="0.3">
      <c r="A231" s="171" t="s">
        <v>352</v>
      </c>
      <c r="B231" s="172" t="s">
        <v>256</v>
      </c>
      <c r="C231" s="189">
        <v>1741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444332.08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3905197.58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4349529.66</v>
      </c>
      <c r="E236" s="175"/>
    </row>
    <row r="237" spans="1:5" ht="12.65" customHeight="1" x14ac:dyDescent="0.3">
      <c r="A237" s="258" t="s">
        <v>356</v>
      </c>
      <c r="B237" s="258"/>
      <c r="C237" s="258"/>
      <c r="D237" s="258"/>
      <c r="E237" s="258"/>
    </row>
    <row r="238" spans="1:5" ht="12.65" customHeight="1" x14ac:dyDescent="0.3">
      <c r="A238" s="173" t="s">
        <v>357</v>
      </c>
      <c r="B238" s="172" t="s">
        <v>256</v>
      </c>
      <c r="C238" s="189">
        <v>4102989.56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4102989.56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172892177.22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8" t="s">
        <v>361</v>
      </c>
      <c r="B249" s="258"/>
      <c r="C249" s="258"/>
      <c r="D249" s="258"/>
      <c r="E249" s="258"/>
    </row>
    <row r="250" spans="1:5" ht="12.65" customHeight="1" x14ac:dyDescent="0.3">
      <c r="A250" s="173" t="s">
        <v>362</v>
      </c>
      <c r="B250" s="172" t="s">
        <v>256</v>
      </c>
      <c r="C250" s="189">
        <v>86981018.279999971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50076554.970000006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29767403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 t="s">
        <v>1279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293651.75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1478868.8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1020360.1699999997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110083050.96999997</v>
      </c>
      <c r="E260" s="175"/>
    </row>
    <row r="261" spans="1:5" ht="11.25" customHeight="1" x14ac:dyDescent="0.3">
      <c r="A261" s="258" t="s">
        <v>372</v>
      </c>
      <c r="B261" s="258"/>
      <c r="C261" s="258"/>
      <c r="D261" s="258"/>
      <c r="E261" s="258"/>
    </row>
    <row r="262" spans="1:5" ht="12.65" customHeight="1" x14ac:dyDescent="0.3">
      <c r="A262" s="173" t="s">
        <v>362</v>
      </c>
      <c r="B262" s="172" t="s">
        <v>256</v>
      </c>
      <c r="C262" s="189">
        <v>5130581.7499999991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5130581.7499999991</v>
      </c>
      <c r="E265" s="175"/>
    </row>
    <row r="266" spans="1:5" ht="11.25" customHeight="1" x14ac:dyDescent="0.3">
      <c r="A266" s="258" t="s">
        <v>375</v>
      </c>
      <c r="B266" s="258"/>
      <c r="C266" s="258"/>
      <c r="D266" s="258"/>
      <c r="E266" s="258"/>
    </row>
    <row r="267" spans="1:5" ht="12.65" customHeight="1" x14ac:dyDescent="0.3">
      <c r="A267" s="173" t="s">
        <v>332</v>
      </c>
      <c r="B267" s="172" t="s">
        <v>256</v>
      </c>
      <c r="C267" s="189">
        <v>2015497.22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11042985.290000001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57364279.190000005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32599988.440000001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v>39947733.410000019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1163193.04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2907121.4899999998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147040798.08000001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73820060.579999998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73220737.500000015</v>
      </c>
      <c r="E277" s="175"/>
    </row>
    <row r="278" spans="1:5" ht="12.65" customHeight="1" x14ac:dyDescent="0.3">
      <c r="A278" s="258" t="s">
        <v>382</v>
      </c>
      <c r="B278" s="258"/>
      <c r="C278" s="258"/>
      <c r="D278" s="258"/>
      <c r="E278" s="258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8" t="s">
        <v>387</v>
      </c>
      <c r="B285" s="258"/>
      <c r="C285" s="258"/>
      <c r="D285" s="258"/>
      <c r="E285" s="258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188434370.21999997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8" t="s">
        <v>395</v>
      </c>
      <c r="B303" s="258"/>
      <c r="C303" s="258"/>
      <c r="D303" s="258"/>
      <c r="E303" s="258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3278421.2199999993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8182894.7799999993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80209.37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13402761.359999998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178430.74000000002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1505000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26627717.469999995</v>
      </c>
      <c r="E314" s="175"/>
    </row>
    <row r="315" spans="1:5" ht="12.65" customHeight="1" x14ac:dyDescent="0.3">
      <c r="A315" s="258" t="s">
        <v>406</v>
      </c>
      <c r="B315" s="258"/>
      <c r="C315" s="258"/>
      <c r="D315" s="258"/>
      <c r="E315" s="258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3749886.7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3749886.7</v>
      </c>
      <c r="E319" s="175"/>
    </row>
    <row r="320" spans="1:5" ht="12.65" customHeight="1" x14ac:dyDescent="0.3">
      <c r="A320" s="258" t="s">
        <v>411</v>
      </c>
      <c r="B320" s="258"/>
      <c r="C320" s="258"/>
      <c r="D320" s="258"/>
      <c r="E320" s="258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60467251.230000004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60467251.230000004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1505000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58962251.230000004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99094514.820000023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188434370.22000003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188434370.21999997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8" t="s">
        <v>427</v>
      </c>
      <c r="B358" s="258"/>
      <c r="C358" s="258"/>
      <c r="D358" s="258"/>
      <c r="E358" s="258"/>
    </row>
    <row r="359" spans="1:5" ht="12.65" customHeight="1" x14ac:dyDescent="0.3">
      <c r="A359" s="173" t="s">
        <v>428</v>
      </c>
      <c r="B359" s="172" t="s">
        <v>256</v>
      </c>
      <c r="C359" s="189">
        <v>73483429.810000002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219788810.68000001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293272240.49000001</v>
      </c>
      <c r="E361" s="175"/>
    </row>
    <row r="362" spans="1:5" ht="12.65" customHeight="1" x14ac:dyDescent="0.3">
      <c r="A362" s="258" t="s">
        <v>431</v>
      </c>
      <c r="B362" s="258"/>
      <c r="C362" s="258"/>
      <c r="D362" s="258"/>
      <c r="E362" s="258"/>
    </row>
    <row r="363" spans="1:5" ht="12.65" customHeight="1" x14ac:dyDescent="0.3">
      <c r="A363" s="173" t="s">
        <v>1254</v>
      </c>
      <c r="B363" s="258"/>
      <c r="C363" s="189">
        <v>3753986.2000000007</v>
      </c>
      <c r="D363" s="175"/>
      <c r="E363" s="258"/>
    </row>
    <row r="364" spans="1:5" ht="12.65" customHeight="1" x14ac:dyDescent="0.3">
      <c r="A364" s="173" t="s">
        <v>432</v>
      </c>
      <c r="B364" s="172" t="s">
        <v>256</v>
      </c>
      <c r="C364" s="189">
        <v>160685671.80000001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4349529.66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4102989.56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172892177.22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120380063.27000001</v>
      </c>
      <c r="E368" s="175"/>
    </row>
    <row r="369" spans="1:5" ht="12.65" customHeight="1" x14ac:dyDescent="0.3">
      <c r="A369" s="258" t="s">
        <v>436</v>
      </c>
      <c r="B369" s="258"/>
      <c r="C369" s="258"/>
      <c r="D369" s="258"/>
      <c r="E369" s="258"/>
    </row>
    <row r="370" spans="1:5" ht="12.65" customHeight="1" x14ac:dyDescent="0.3">
      <c r="A370" s="173" t="s">
        <v>437</v>
      </c>
      <c r="B370" s="172" t="s">
        <v>256</v>
      </c>
      <c r="C370" s="189">
        <v>8278333.5999999996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2332919.7799999998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10611253.379999999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130991316.65000001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8" t="s">
        <v>441</v>
      </c>
      <c r="B377" s="258"/>
      <c r="C377" s="258"/>
      <c r="D377" s="258"/>
      <c r="E377" s="258"/>
    </row>
    <row r="378" spans="1:5" ht="12.65" customHeight="1" x14ac:dyDescent="0.3">
      <c r="A378" s="173" t="s">
        <v>442</v>
      </c>
      <c r="B378" s="172" t="s">
        <v>256</v>
      </c>
      <c r="C378" s="189">
        <v>53021196.609999999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f>18160794.46+0.49</f>
        <v>18160794.949999999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8144595.4300000006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14691258.52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1239606.42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15654400.800000001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7902106.0800000001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859385.13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907820.03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686822.73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2141746.4899999998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1192844.72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124602577.91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6388738.7400000095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f>672842.04</f>
        <v>672842.04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7061580.7800000096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7061580.7800000096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1"/>
    </row>
    <row r="412" spans="1:5" ht="12.65" customHeight="1" x14ac:dyDescent="0.3">
      <c r="A412" s="179" t="str">
        <f>C84&amp;"   "&amp;"H-"&amp;FIXED(C83,0,TRUE)&amp;"     FYE "&amp;C82</f>
        <v>Public Hospital District No 1 of Mason County, WA, DBA Mason Health   H-0     FYE 12/31/2021</v>
      </c>
      <c r="B412" s="179"/>
      <c r="C412" s="179"/>
      <c r="D412" s="179"/>
      <c r="E412" s="261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1498</v>
      </c>
      <c r="C414" s="194">
        <f>E138</f>
        <v>1498</v>
      </c>
      <c r="D414" s="179"/>
    </row>
    <row r="415" spans="1:5" ht="12.65" customHeight="1" x14ac:dyDescent="0.3">
      <c r="A415" s="179" t="s">
        <v>464</v>
      </c>
      <c r="B415" s="179">
        <f>D111</f>
        <v>5438</v>
      </c>
      <c r="C415" s="179">
        <f>E139</f>
        <v>5438</v>
      </c>
      <c r="D415" s="194">
        <f>SUM(C59:H59)+N59</f>
        <v>5438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317</v>
      </c>
    </row>
    <row r="424" spans="1:7" ht="12.65" customHeight="1" x14ac:dyDescent="0.3">
      <c r="A424" s="179" t="s">
        <v>1243</v>
      </c>
      <c r="B424" s="179">
        <f>D114</f>
        <v>619</v>
      </c>
      <c r="D424" s="179">
        <f>J59</f>
        <v>619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53021196.609999999</v>
      </c>
      <c r="C427" s="179">
        <f t="shared" ref="C427:C434" si="14">CE61</f>
        <v>53021196.609999999</v>
      </c>
      <c r="D427" s="179"/>
    </row>
    <row r="428" spans="1:7" ht="12.65" customHeight="1" x14ac:dyDescent="0.3">
      <c r="A428" s="179" t="s">
        <v>3</v>
      </c>
      <c r="B428" s="179">
        <f t="shared" si="13"/>
        <v>18160794.949999999</v>
      </c>
      <c r="C428" s="179">
        <f t="shared" si="14"/>
        <v>18160795</v>
      </c>
      <c r="D428" s="179">
        <f>D173</f>
        <v>18160794.460000001</v>
      </c>
    </row>
    <row r="429" spans="1:7" ht="12.65" customHeight="1" x14ac:dyDescent="0.3">
      <c r="A429" s="179" t="s">
        <v>236</v>
      </c>
      <c r="B429" s="179">
        <f t="shared" si="13"/>
        <v>8144595.4300000006</v>
      </c>
      <c r="C429" s="179">
        <f t="shared" si="14"/>
        <v>8144595.4299999997</v>
      </c>
      <c r="D429" s="179"/>
    </row>
    <row r="430" spans="1:7" ht="12.65" customHeight="1" x14ac:dyDescent="0.3">
      <c r="A430" s="179" t="s">
        <v>237</v>
      </c>
      <c r="B430" s="179">
        <f t="shared" si="13"/>
        <v>14691258.52</v>
      </c>
      <c r="C430" s="179">
        <f t="shared" si="14"/>
        <v>14691258.549999997</v>
      </c>
      <c r="D430" s="179"/>
    </row>
    <row r="431" spans="1:7" ht="12.65" customHeight="1" x14ac:dyDescent="0.3">
      <c r="A431" s="179" t="s">
        <v>444</v>
      </c>
      <c r="B431" s="179">
        <f t="shared" si="13"/>
        <v>1239606.42</v>
      </c>
      <c r="C431" s="179">
        <f t="shared" si="14"/>
        <v>1239606.42</v>
      </c>
      <c r="D431" s="179"/>
    </row>
    <row r="432" spans="1:7" ht="12.65" customHeight="1" x14ac:dyDescent="0.3">
      <c r="A432" s="179" t="s">
        <v>445</v>
      </c>
      <c r="B432" s="179">
        <f t="shared" si="13"/>
        <v>15654400.800000001</v>
      </c>
      <c r="C432" s="179">
        <f t="shared" si="14"/>
        <v>15654400.800000001</v>
      </c>
      <c r="D432" s="179"/>
    </row>
    <row r="433" spans="1:7" ht="12.65" customHeight="1" x14ac:dyDescent="0.3">
      <c r="A433" s="179" t="s">
        <v>6</v>
      </c>
      <c r="B433" s="179">
        <f t="shared" si="13"/>
        <v>7902106.0800000001</v>
      </c>
      <c r="C433" s="179">
        <f t="shared" si="14"/>
        <v>7902106</v>
      </c>
      <c r="D433" s="179">
        <f>C217</f>
        <v>7902106.0800000001</v>
      </c>
    </row>
    <row r="434" spans="1:7" ht="12.65" customHeight="1" x14ac:dyDescent="0.3">
      <c r="A434" s="179" t="s">
        <v>474</v>
      </c>
      <c r="B434" s="179">
        <f t="shared" si="13"/>
        <v>859385.13</v>
      </c>
      <c r="C434" s="179">
        <f t="shared" si="14"/>
        <v>859385.12999999977</v>
      </c>
      <c r="D434" s="179">
        <f>D177</f>
        <v>859385.13</v>
      </c>
    </row>
    <row r="435" spans="1:7" ht="12.65" customHeight="1" x14ac:dyDescent="0.3">
      <c r="A435" s="179" t="s">
        <v>447</v>
      </c>
      <c r="B435" s="179">
        <f t="shared" si="13"/>
        <v>907820.03</v>
      </c>
      <c r="C435" s="179"/>
      <c r="D435" s="179">
        <f>D181</f>
        <v>907820.03</v>
      </c>
    </row>
    <row r="436" spans="1:7" ht="12.65" customHeight="1" x14ac:dyDescent="0.3">
      <c r="A436" s="179" t="s">
        <v>475</v>
      </c>
      <c r="B436" s="179">
        <f t="shared" si="13"/>
        <v>686822.73</v>
      </c>
      <c r="C436" s="179"/>
      <c r="D436" s="179">
        <f>D186</f>
        <v>686822.73</v>
      </c>
    </row>
    <row r="437" spans="1:7" ht="12.65" customHeight="1" x14ac:dyDescent="0.3">
      <c r="A437" s="194" t="s">
        <v>449</v>
      </c>
      <c r="B437" s="194">
        <f t="shared" si="13"/>
        <v>2141746.4899999998</v>
      </c>
      <c r="C437" s="194"/>
      <c r="D437" s="194">
        <f>D190</f>
        <v>2141746.4899999998</v>
      </c>
    </row>
    <row r="438" spans="1:7" ht="12.65" customHeight="1" x14ac:dyDescent="0.3">
      <c r="A438" s="194" t="s">
        <v>476</v>
      </c>
      <c r="B438" s="194">
        <f>C386+C387+C388</f>
        <v>3736389.25</v>
      </c>
      <c r="C438" s="194">
        <f>CD69</f>
        <v>3521151.4999999995</v>
      </c>
      <c r="D438" s="194">
        <f>D181+D186+D190</f>
        <v>3736389.25</v>
      </c>
    </row>
    <row r="439" spans="1:7" ht="12.65" customHeight="1" x14ac:dyDescent="0.3">
      <c r="A439" s="179" t="s">
        <v>451</v>
      </c>
      <c r="B439" s="194">
        <f>C389</f>
        <v>1192844.72</v>
      </c>
      <c r="C439" s="194">
        <f>SUM(C69:CC69)</f>
        <v>1408082.4699999997</v>
      </c>
      <c r="D439" s="179"/>
    </row>
    <row r="440" spans="1:7" ht="12.65" customHeight="1" x14ac:dyDescent="0.3">
      <c r="A440" s="179" t="s">
        <v>477</v>
      </c>
      <c r="B440" s="194">
        <f>B438+B439</f>
        <v>4929233.97</v>
      </c>
      <c r="C440" s="194">
        <f>CE69</f>
        <v>4929233.9699999988</v>
      </c>
      <c r="D440" s="179"/>
    </row>
    <row r="441" spans="1:7" ht="12.65" customHeight="1" x14ac:dyDescent="0.3">
      <c r="A441" s="179" t="s">
        <v>478</v>
      </c>
      <c r="B441" s="179">
        <f>D390</f>
        <v>124602577.91</v>
      </c>
      <c r="C441" s="179">
        <f>SUM(C427:C437)+C440</f>
        <v>124602577.90999998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3753986.2000000007</v>
      </c>
      <c r="C444" s="179">
        <f>C363</f>
        <v>3753986.2000000007</v>
      </c>
      <c r="D444" s="179"/>
    </row>
    <row r="445" spans="1:7" ht="12.65" customHeight="1" x14ac:dyDescent="0.3">
      <c r="A445" s="179" t="s">
        <v>343</v>
      </c>
      <c r="B445" s="179">
        <f>D229</f>
        <v>160685671.80000001</v>
      </c>
      <c r="C445" s="179">
        <f>C364</f>
        <v>160685671.80000001</v>
      </c>
      <c r="D445" s="179"/>
    </row>
    <row r="446" spans="1:7" ht="12.65" customHeight="1" x14ac:dyDescent="0.3">
      <c r="A446" s="179" t="s">
        <v>351</v>
      </c>
      <c r="B446" s="179">
        <f>D236</f>
        <v>4349529.66</v>
      </c>
      <c r="C446" s="179">
        <f>C365</f>
        <v>4349529.66</v>
      </c>
      <c r="D446" s="179"/>
    </row>
    <row r="447" spans="1:7" ht="12.65" customHeight="1" x14ac:dyDescent="0.3">
      <c r="A447" s="179" t="s">
        <v>356</v>
      </c>
      <c r="B447" s="179">
        <f>D240</f>
        <v>4102989.56</v>
      </c>
      <c r="C447" s="179">
        <f>C366</f>
        <v>4102989.56</v>
      </c>
      <c r="D447" s="179"/>
    </row>
    <row r="448" spans="1:7" ht="12.65" customHeight="1" x14ac:dyDescent="0.3">
      <c r="A448" s="179" t="s">
        <v>358</v>
      </c>
      <c r="B448" s="179">
        <f>D242</f>
        <v>172892177.22</v>
      </c>
      <c r="C448" s="179">
        <f>D367</f>
        <v>172892177.22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1741</v>
      </c>
    </row>
    <row r="454" spans="1:7" ht="12.65" customHeight="1" x14ac:dyDescent="0.3">
      <c r="A454" s="179" t="s">
        <v>168</v>
      </c>
      <c r="B454" s="179">
        <f>C233</f>
        <v>444332.08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3905197.58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8278333.5999999996</v>
      </c>
      <c r="C458" s="194">
        <f>CE70</f>
        <v>8278333.6000000015</v>
      </c>
      <c r="D458" s="194"/>
    </row>
    <row r="459" spans="1:7" ht="12.65" customHeight="1" x14ac:dyDescent="0.3">
      <c r="A459" s="179" t="s">
        <v>244</v>
      </c>
      <c r="B459" s="194">
        <f>C371</f>
        <v>2332919.7799999998</v>
      </c>
      <c r="C459" s="194">
        <f>CE72</f>
        <v>2332919.7799999998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73483429.810000002</v>
      </c>
      <c r="C463" s="194">
        <f>CE73</f>
        <v>73483429.809999987</v>
      </c>
      <c r="D463" s="194">
        <f>E141+E147+E153</f>
        <v>73483429.810000002</v>
      </c>
    </row>
    <row r="464" spans="1:7" ht="12.65" customHeight="1" x14ac:dyDescent="0.3">
      <c r="A464" s="179" t="s">
        <v>246</v>
      </c>
      <c r="B464" s="194">
        <f>C360</f>
        <v>219788810.68000001</v>
      </c>
      <c r="C464" s="194">
        <f>CE74</f>
        <v>219788810.68000001</v>
      </c>
      <c r="D464" s="194">
        <f>E142+E148+E154</f>
        <v>219788810.68000001</v>
      </c>
    </row>
    <row r="465" spans="1:7" ht="12.65" customHeight="1" x14ac:dyDescent="0.3">
      <c r="A465" s="179" t="s">
        <v>247</v>
      </c>
      <c r="B465" s="194">
        <f>D361</f>
        <v>293272240.49000001</v>
      </c>
      <c r="C465" s="194">
        <f>CE75</f>
        <v>293272240.48999995</v>
      </c>
      <c r="D465" s="194">
        <f>D463+D464</f>
        <v>293272240.49000001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2015497.22</v>
      </c>
      <c r="C468" s="179">
        <f>E195</f>
        <v>2015497.22</v>
      </c>
      <c r="D468" s="179"/>
    </row>
    <row r="469" spans="1:7" ht="12.65" customHeight="1" x14ac:dyDescent="0.3">
      <c r="A469" s="179" t="s">
        <v>333</v>
      </c>
      <c r="B469" s="179">
        <f t="shared" si="15"/>
        <v>11042985.290000001</v>
      </c>
      <c r="C469" s="179">
        <f>E196</f>
        <v>11042985.290000001</v>
      </c>
      <c r="D469" s="179"/>
    </row>
    <row r="470" spans="1:7" ht="12.65" customHeight="1" x14ac:dyDescent="0.3">
      <c r="A470" s="179" t="s">
        <v>334</v>
      </c>
      <c r="B470" s="179">
        <f t="shared" si="15"/>
        <v>57364279.190000005</v>
      </c>
      <c r="C470" s="179">
        <f>E197</f>
        <v>57364279.190000005</v>
      </c>
      <c r="D470" s="179"/>
    </row>
    <row r="471" spans="1:7" ht="12.65" customHeight="1" x14ac:dyDescent="0.3">
      <c r="A471" s="179" t="s">
        <v>494</v>
      </c>
      <c r="B471" s="179">
        <f t="shared" si="15"/>
        <v>32599988.440000001</v>
      </c>
      <c r="C471" s="179">
        <f>E198</f>
        <v>32599988.440000001</v>
      </c>
      <c r="D471" s="179"/>
    </row>
    <row r="472" spans="1:7" ht="12.65" customHeight="1" x14ac:dyDescent="0.3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5"/>
        <v>39947733.410000019</v>
      </c>
      <c r="C473" s="179">
        <f>SUM(E200:E201)</f>
        <v>39947733.399999999</v>
      </c>
      <c r="D473" s="179"/>
    </row>
    <row r="474" spans="1:7" ht="12.65" customHeight="1" x14ac:dyDescent="0.3">
      <c r="A474" s="179" t="s">
        <v>339</v>
      </c>
      <c r="B474" s="179">
        <f t="shared" si="15"/>
        <v>1163193.04</v>
      </c>
      <c r="C474" s="179">
        <f>E202</f>
        <v>1163193.04</v>
      </c>
      <c r="D474" s="179"/>
    </row>
    <row r="475" spans="1:7" ht="12.65" customHeight="1" x14ac:dyDescent="0.3">
      <c r="A475" s="179" t="s">
        <v>340</v>
      </c>
      <c r="B475" s="179">
        <f t="shared" si="15"/>
        <v>2907121.4899999998</v>
      </c>
      <c r="C475" s="179">
        <f>E203</f>
        <v>2907121.49</v>
      </c>
      <c r="D475" s="179"/>
    </row>
    <row r="476" spans="1:7" ht="12.65" customHeight="1" x14ac:dyDescent="0.3">
      <c r="A476" s="179" t="s">
        <v>203</v>
      </c>
      <c r="B476" s="179">
        <f>D275</f>
        <v>147040798.08000001</v>
      </c>
      <c r="C476" s="179">
        <f>E204</f>
        <v>147040798.06999999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73820060.579999998</v>
      </c>
      <c r="C478" s="179">
        <f>E217</f>
        <v>73820060.579999998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188434370.21999997</v>
      </c>
    </row>
    <row r="482" spans="1:12" ht="12.65" customHeight="1" x14ac:dyDescent="0.3">
      <c r="A482" s="180" t="s">
        <v>499</v>
      </c>
      <c r="C482" s="180">
        <f>D339</f>
        <v>188434370.22000003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152</v>
      </c>
      <c r="B493" s="262" t="str">
        <f>RIGHT('Prior Year'!C82,4)</f>
        <v>2020</v>
      </c>
      <c r="C493" s="262" t="str">
        <f>RIGHT(C82,4)</f>
        <v>2021</v>
      </c>
      <c r="D493" s="262" t="str">
        <f>RIGHT('Prior Year'!C82,4)</f>
        <v>2020</v>
      </c>
      <c r="E493" s="262" t="str">
        <f>RIGHT(C82,4)</f>
        <v>2021</v>
      </c>
      <c r="F493" s="262" t="str">
        <f>RIGHT('Prior Year'!C82,4)</f>
        <v>2020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">
      <c r="A496" s="180" t="s">
        <v>512</v>
      </c>
      <c r="B496" s="241">
        <f>'Prior Year'!C71</f>
        <v>2819653.35</v>
      </c>
      <c r="C496" s="241">
        <f>C71</f>
        <v>3524204.0999999996</v>
      </c>
      <c r="D496" s="241">
        <f>'Prior Year'!C59</f>
        <v>954</v>
      </c>
      <c r="E496" s="180">
        <f>C59</f>
        <v>1166</v>
      </c>
      <c r="F496" s="264">
        <f t="shared" ref="F496:G511" si="16">IF(B496=0,"",IF(D496=0,"",B496/D496))</f>
        <v>2955.6114779874215</v>
      </c>
      <c r="G496" s="265">
        <f t="shared" si="16"/>
        <v>3022.4734991423666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6"/>
        <v/>
      </c>
      <c r="G497" s="264" t="str">
        <f t="shared" si="16"/>
        <v/>
      </c>
      <c r="H497" s="266" t="str">
        <f t="shared" ref="H497:H550" si="17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">
      <c r="A498" s="180" t="s">
        <v>514</v>
      </c>
      <c r="B498" s="241">
        <f>'Prior Year'!E71</f>
        <v>6923758.9200000009</v>
      </c>
      <c r="C498" s="241">
        <f>E71</f>
        <v>8025096.5200000005</v>
      </c>
      <c r="D498" s="241">
        <f>'Prior Year'!E59</f>
        <v>3491</v>
      </c>
      <c r="E498" s="180">
        <f>E59</f>
        <v>4272</v>
      </c>
      <c r="F498" s="264">
        <f t="shared" si="16"/>
        <v>1983.3167917502151</v>
      </c>
      <c r="G498" s="264">
        <f t="shared" si="16"/>
        <v>1878.5338295880151</v>
      </c>
      <c r="H498" s="266" t="str">
        <f t="shared" si="17"/>
        <v/>
      </c>
      <c r="I498" s="268"/>
      <c r="K498" s="262"/>
      <c r="L498" s="262"/>
    </row>
    <row r="499" spans="1:12" ht="12.65" customHeight="1" x14ac:dyDescent="0.3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6"/>
        <v/>
      </c>
      <c r="G499" s="264" t="str">
        <f t="shared" si="16"/>
        <v/>
      </c>
      <c r="H499" s="266" t="str">
        <f t="shared" si="17"/>
        <v/>
      </c>
      <c r="I499" s="268"/>
      <c r="K499" s="262"/>
      <c r="L499" s="262"/>
    </row>
    <row r="500" spans="1:12" ht="12.65" customHeight="1" x14ac:dyDescent="0.3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6"/>
        <v/>
      </c>
      <c r="G500" s="264" t="str">
        <f t="shared" si="16"/>
        <v/>
      </c>
      <c r="H500" s="266" t="str">
        <f t="shared" si="17"/>
        <v/>
      </c>
      <c r="I500" s="268"/>
      <c r="K500" s="262"/>
      <c r="L500" s="262"/>
    </row>
    <row r="501" spans="1:12" ht="12.65" customHeight="1" x14ac:dyDescent="0.3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6"/>
        <v/>
      </c>
      <c r="G501" s="264" t="str">
        <f t="shared" si="16"/>
        <v/>
      </c>
      <c r="H501" s="266" t="str">
        <f t="shared" si="17"/>
        <v/>
      </c>
      <c r="I501" s="268"/>
      <c r="K501" s="262"/>
      <c r="L501" s="262"/>
    </row>
    <row r="502" spans="1:12" ht="12.65" customHeight="1" x14ac:dyDescent="0.3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6"/>
        <v/>
      </c>
      <c r="G502" s="264" t="str">
        <f t="shared" si="16"/>
        <v/>
      </c>
      <c r="H502" s="266" t="str">
        <f t="shared" si="17"/>
        <v/>
      </c>
      <c r="I502" s="268"/>
      <c r="K502" s="262"/>
      <c r="L502" s="262"/>
    </row>
    <row r="503" spans="1:12" ht="12.65" customHeight="1" x14ac:dyDescent="0.3">
      <c r="A503" s="180" t="s">
        <v>519</v>
      </c>
      <c r="B503" s="241">
        <f>'Prior Year'!J71</f>
        <v>39948.719999999994</v>
      </c>
      <c r="C503" s="241">
        <f>J71</f>
        <v>50105.07</v>
      </c>
      <c r="D503" s="241">
        <f>'Prior Year'!J59</f>
        <v>683</v>
      </c>
      <c r="E503" s="180">
        <f>J59</f>
        <v>619</v>
      </c>
      <c r="F503" s="264">
        <f t="shared" si="16"/>
        <v>58.490073206442155</v>
      </c>
      <c r="G503" s="264">
        <f t="shared" si="16"/>
        <v>80.945185783521808</v>
      </c>
      <c r="H503" s="266">
        <f t="shared" si="17"/>
        <v>0.38391322400681194</v>
      </c>
      <c r="I503" s="268"/>
      <c r="K503" s="262"/>
      <c r="L503" s="262"/>
    </row>
    <row r="504" spans="1:12" ht="12.65" customHeight="1" x14ac:dyDescent="0.3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6"/>
        <v/>
      </c>
      <c r="G504" s="264" t="str">
        <f t="shared" si="16"/>
        <v/>
      </c>
      <c r="H504" s="266" t="str">
        <f t="shared" si="17"/>
        <v/>
      </c>
      <c r="I504" s="268"/>
      <c r="K504" s="262"/>
      <c r="L504" s="262"/>
    </row>
    <row r="505" spans="1:12" ht="12.65" customHeight="1" x14ac:dyDescent="0.3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6"/>
        <v/>
      </c>
      <c r="G505" s="264" t="str">
        <f t="shared" si="16"/>
        <v/>
      </c>
      <c r="H505" s="266" t="str">
        <f t="shared" si="17"/>
        <v/>
      </c>
      <c r="I505" s="268"/>
      <c r="K505" s="262"/>
      <c r="L505" s="262"/>
    </row>
    <row r="506" spans="1:12" ht="12.65" customHeight="1" x14ac:dyDescent="0.3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6"/>
        <v/>
      </c>
      <c r="G506" s="264" t="str">
        <f t="shared" si="16"/>
        <v/>
      </c>
      <c r="H506" s="266" t="str">
        <f t="shared" si="17"/>
        <v/>
      </c>
      <c r="I506" s="268"/>
      <c r="K506" s="262"/>
      <c r="L506" s="262"/>
    </row>
    <row r="507" spans="1:12" ht="12.65" customHeight="1" x14ac:dyDescent="0.3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6"/>
        <v/>
      </c>
      <c r="G507" s="264" t="str">
        <f t="shared" si="16"/>
        <v/>
      </c>
      <c r="H507" s="266" t="str">
        <f t="shared" si="17"/>
        <v/>
      </c>
      <c r="I507" s="268"/>
      <c r="K507" s="262"/>
      <c r="L507" s="262"/>
    </row>
    <row r="508" spans="1:12" ht="12.65" customHeight="1" x14ac:dyDescent="0.3">
      <c r="A508" s="180" t="s">
        <v>524</v>
      </c>
      <c r="B508" s="241">
        <f>'Prior Year'!O71</f>
        <v>136476.52999999997</v>
      </c>
      <c r="C508" s="241">
        <f>O71</f>
        <v>119838.97000000002</v>
      </c>
      <c r="D508" s="241">
        <f>'Prior Year'!O59</f>
        <v>1000</v>
      </c>
      <c r="E508" s="180">
        <f>O59</f>
        <v>883</v>
      </c>
      <c r="F508" s="264">
        <f t="shared" si="16"/>
        <v>136.47652999999997</v>
      </c>
      <c r="G508" s="264">
        <f t="shared" si="16"/>
        <v>135.71797281993207</v>
      </c>
      <c r="H508" s="266" t="str">
        <f t="shared" si="17"/>
        <v/>
      </c>
      <c r="I508" s="268"/>
      <c r="K508" s="262"/>
      <c r="L508" s="262"/>
    </row>
    <row r="509" spans="1:12" ht="12.65" customHeight="1" x14ac:dyDescent="0.3">
      <c r="A509" s="180" t="s">
        <v>525</v>
      </c>
      <c r="B509" s="241">
        <f>'Prior Year'!P71</f>
        <v>3280833.6500000004</v>
      </c>
      <c r="C509" s="241">
        <f>P71</f>
        <v>3508532.42</v>
      </c>
      <c r="D509" s="241">
        <f>'Prior Year'!P59</f>
        <v>126122</v>
      </c>
      <c r="E509" s="180">
        <f>P59</f>
        <v>133270</v>
      </c>
      <c r="F509" s="264">
        <f t="shared" si="16"/>
        <v>26.013174941723097</v>
      </c>
      <c r="G509" s="264">
        <f t="shared" si="16"/>
        <v>26.326498236662413</v>
      </c>
      <c r="H509" s="266" t="str">
        <f t="shared" si="17"/>
        <v/>
      </c>
      <c r="I509" s="268"/>
      <c r="K509" s="262"/>
      <c r="L509" s="262"/>
    </row>
    <row r="510" spans="1:12" ht="12.65" customHeight="1" x14ac:dyDescent="0.3">
      <c r="A510" s="180" t="s">
        <v>526</v>
      </c>
      <c r="B510" s="241">
        <f>'Prior Year'!Q71</f>
        <v>1793430.9400000002</v>
      </c>
      <c r="C510" s="241">
        <f>Q71</f>
        <v>2229059.2899999996</v>
      </c>
      <c r="D510" s="241">
        <f>'Prior Year'!Q59</f>
        <v>121457</v>
      </c>
      <c r="E510" s="180">
        <f>Q59</f>
        <v>121066</v>
      </c>
      <c r="F510" s="264">
        <f t="shared" si="16"/>
        <v>14.765974295429659</v>
      </c>
      <c r="G510" s="264">
        <f t="shared" si="16"/>
        <v>18.411934729816792</v>
      </c>
      <c r="H510" s="266" t="str">
        <f t="shared" si="17"/>
        <v/>
      </c>
      <c r="I510" s="268"/>
      <c r="K510" s="262"/>
      <c r="L510" s="262"/>
    </row>
    <row r="511" spans="1:12" ht="12.65" customHeight="1" x14ac:dyDescent="0.3">
      <c r="A511" s="180" t="s">
        <v>527</v>
      </c>
      <c r="B511" s="241">
        <f>'Prior Year'!R71</f>
        <v>-445433.67000000016</v>
      </c>
      <c r="C511" s="241">
        <f>R71</f>
        <v>-603344.76999999979</v>
      </c>
      <c r="D511" s="241">
        <f>'Prior Year'!R59</f>
        <v>126122</v>
      </c>
      <c r="E511" s="180">
        <f>R59</f>
        <v>133270</v>
      </c>
      <c r="F511" s="264">
        <f t="shared" si="16"/>
        <v>-3.5317682085599671</v>
      </c>
      <c r="G511" s="264">
        <f t="shared" si="16"/>
        <v>-4.5272362122007941</v>
      </c>
      <c r="H511" s="266">
        <f t="shared" si="17"/>
        <v>0.2818610805851034</v>
      </c>
      <c r="I511" s="268"/>
      <c r="K511" s="262"/>
      <c r="L511" s="262"/>
    </row>
    <row r="512" spans="1:12" ht="12.65" customHeight="1" x14ac:dyDescent="0.3">
      <c r="A512" s="180" t="s">
        <v>528</v>
      </c>
      <c r="B512" s="241">
        <f>'Prior Year'!S71</f>
        <v>4328718.5200000005</v>
      </c>
      <c r="C512" s="241">
        <f>S71</f>
        <v>4792810.1900000004</v>
      </c>
      <c r="D512" s="181" t="s">
        <v>529</v>
      </c>
      <c r="E512" s="181" t="s">
        <v>529</v>
      </c>
      <c r="F512" s="264" t="str">
        <f t="shared" ref="F512:G527" si="18">IF(B512=0,"",IF(D512=0,"",B512/D512))</f>
        <v/>
      </c>
      <c r="G512" s="264" t="str">
        <f t="shared" si="18"/>
        <v/>
      </c>
      <c r="H512" s="266" t="str">
        <f t="shared" si="17"/>
        <v/>
      </c>
      <c r="I512" s="268"/>
      <c r="K512" s="262"/>
      <c r="L512" s="262"/>
    </row>
    <row r="513" spans="1:12" ht="12.65" customHeight="1" x14ac:dyDescent="0.3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8"/>
        <v/>
      </c>
      <c r="G513" s="264" t="str">
        <f t="shared" si="18"/>
        <v/>
      </c>
      <c r="H513" s="266" t="str">
        <f t="shared" si="17"/>
        <v/>
      </c>
      <c r="I513" s="268"/>
      <c r="K513" s="262"/>
      <c r="L513" s="262"/>
    </row>
    <row r="514" spans="1:12" ht="12.65" customHeight="1" x14ac:dyDescent="0.3">
      <c r="A514" s="180" t="s">
        <v>530</v>
      </c>
      <c r="B514" s="241">
        <f>'Prior Year'!U71</f>
        <v>5433028.8799999999</v>
      </c>
      <c r="C514" s="241">
        <f>U71</f>
        <v>6057843.0399999982</v>
      </c>
      <c r="D514" s="241">
        <f>'Prior Year'!U59</f>
        <v>236108</v>
      </c>
      <c r="E514" s="180">
        <f>U59</f>
        <v>263013</v>
      </c>
      <c r="F514" s="264">
        <f t="shared" si="18"/>
        <v>23.010778457316142</v>
      </c>
      <c r="G514" s="264">
        <f t="shared" si="18"/>
        <v>23.032485238372242</v>
      </c>
      <c r="H514" s="266" t="str">
        <f t="shared" si="17"/>
        <v/>
      </c>
      <c r="I514" s="268"/>
      <c r="K514" s="262"/>
      <c r="L514" s="262"/>
    </row>
    <row r="515" spans="1:12" ht="12.65" customHeight="1" x14ac:dyDescent="0.3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8"/>
        <v/>
      </c>
      <c r="G515" s="264" t="str">
        <f t="shared" si="18"/>
        <v/>
      </c>
      <c r="H515" s="266" t="str">
        <f t="shared" si="17"/>
        <v/>
      </c>
      <c r="I515" s="268"/>
      <c r="K515" s="262"/>
      <c r="L515" s="262"/>
    </row>
    <row r="516" spans="1:12" ht="12.65" customHeight="1" x14ac:dyDescent="0.3">
      <c r="A516" s="180" t="s">
        <v>532</v>
      </c>
      <c r="B516" s="241">
        <f>'Prior Year'!W71</f>
        <v>358446.68000000005</v>
      </c>
      <c r="C516" s="241">
        <f>W71</f>
        <v>393870.17</v>
      </c>
      <c r="D516" s="241">
        <f>'Prior Year'!W59</f>
        <v>1718</v>
      </c>
      <c r="E516" s="180">
        <f>W59</f>
        <v>2000</v>
      </c>
      <c r="F516" s="264">
        <f t="shared" si="18"/>
        <v>208.6418393480792</v>
      </c>
      <c r="G516" s="264">
        <f t="shared" si="18"/>
        <v>196.93508499999999</v>
      </c>
      <c r="H516" s="266" t="str">
        <f t="shared" si="17"/>
        <v/>
      </c>
      <c r="I516" s="268"/>
      <c r="K516" s="262"/>
      <c r="L516" s="262"/>
    </row>
    <row r="517" spans="1:12" ht="12.65" customHeight="1" x14ac:dyDescent="0.3">
      <c r="A517" s="180" t="s">
        <v>533</v>
      </c>
      <c r="B517" s="241">
        <f>'Prior Year'!X71</f>
        <v>825772.42999999993</v>
      </c>
      <c r="C517" s="241">
        <f>X71</f>
        <v>848893.0199999999</v>
      </c>
      <c r="D517" s="241">
        <f>'Prior Year'!X59</f>
        <v>26535</v>
      </c>
      <c r="E517" s="180">
        <f>X59</f>
        <v>33716</v>
      </c>
      <c r="F517" s="264">
        <f t="shared" si="18"/>
        <v>31.120121726022234</v>
      </c>
      <c r="G517" s="264">
        <f t="shared" si="18"/>
        <v>25.177750029659506</v>
      </c>
      <c r="H517" s="266" t="str">
        <f t="shared" si="17"/>
        <v/>
      </c>
      <c r="I517" s="268"/>
      <c r="K517" s="262"/>
      <c r="L517" s="262"/>
    </row>
    <row r="518" spans="1:12" ht="12.65" customHeight="1" x14ac:dyDescent="0.3">
      <c r="A518" s="180" t="s">
        <v>534</v>
      </c>
      <c r="B518" s="241">
        <f>'Prior Year'!Y71</f>
        <v>3298394.98</v>
      </c>
      <c r="C518" s="241">
        <f>Y71</f>
        <v>3599502.8100000005</v>
      </c>
      <c r="D518" s="241">
        <f>'Prior Year'!Y59</f>
        <v>36364</v>
      </c>
      <c r="E518" s="180">
        <f>Y59</f>
        <v>23754</v>
      </c>
      <c r="F518" s="264">
        <f t="shared" si="18"/>
        <v>90.704954900451</v>
      </c>
      <c r="G518" s="264">
        <f t="shared" si="18"/>
        <v>151.53249179085631</v>
      </c>
      <c r="H518" s="266">
        <f t="shared" si="17"/>
        <v>0.67060875513541407</v>
      </c>
      <c r="I518" s="268"/>
      <c r="K518" s="262"/>
      <c r="L518" s="262"/>
    </row>
    <row r="519" spans="1:12" ht="12.65" customHeight="1" x14ac:dyDescent="0.3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8"/>
        <v/>
      </c>
      <c r="G519" s="264" t="str">
        <f t="shared" si="18"/>
        <v/>
      </c>
      <c r="H519" s="266" t="str">
        <f t="shared" si="17"/>
        <v/>
      </c>
      <c r="I519" s="268"/>
      <c r="K519" s="262"/>
      <c r="L519" s="262"/>
    </row>
    <row r="520" spans="1:12" ht="12.65" customHeight="1" x14ac:dyDescent="0.3">
      <c r="A520" s="180" t="s">
        <v>536</v>
      </c>
      <c r="B520" s="241">
        <f>'Prior Year'!AA71</f>
        <v>218428.69</v>
      </c>
      <c r="C520" s="241">
        <f>AA71</f>
        <v>221992.58</v>
      </c>
      <c r="D520" s="241">
        <f>'Prior Year'!AA59</f>
        <v>1943</v>
      </c>
      <c r="E520" s="180">
        <f>AA59</f>
        <v>1696</v>
      </c>
      <c r="F520" s="264">
        <f t="shared" si="18"/>
        <v>112.41826556870818</v>
      </c>
      <c r="G520" s="264">
        <f t="shared" si="18"/>
        <v>130.89185141509432</v>
      </c>
      <c r="H520" s="266" t="str">
        <f t="shared" si="17"/>
        <v/>
      </c>
      <c r="I520" s="268"/>
      <c r="K520" s="262"/>
      <c r="L520" s="262"/>
    </row>
    <row r="521" spans="1:12" ht="12.65" customHeight="1" x14ac:dyDescent="0.3">
      <c r="A521" s="180" t="s">
        <v>537</v>
      </c>
      <c r="B521" s="241">
        <f>'Prior Year'!AB71</f>
        <v>607647.43000000063</v>
      </c>
      <c r="C521" s="241">
        <f>AB71</f>
        <v>2045529.9499999997</v>
      </c>
      <c r="D521" s="181" t="s">
        <v>529</v>
      </c>
      <c r="E521" s="181" t="s">
        <v>529</v>
      </c>
      <c r="F521" s="264" t="str">
        <f t="shared" si="18"/>
        <v/>
      </c>
      <c r="G521" s="264" t="str">
        <f t="shared" si="18"/>
        <v/>
      </c>
      <c r="H521" s="266" t="str">
        <f t="shared" si="17"/>
        <v/>
      </c>
      <c r="I521" s="268"/>
      <c r="K521" s="262"/>
      <c r="L521" s="262"/>
    </row>
    <row r="522" spans="1:12" ht="12.65" customHeight="1" x14ac:dyDescent="0.3">
      <c r="A522" s="180" t="s">
        <v>538</v>
      </c>
      <c r="B522" s="241">
        <f>'Prior Year'!AC71</f>
        <v>1202453.0900000001</v>
      </c>
      <c r="C522" s="241">
        <f>AC71</f>
        <v>1292239.31</v>
      </c>
      <c r="D522" s="241">
        <f>'Prior Year'!AC59</f>
        <v>4277</v>
      </c>
      <c r="E522" s="180">
        <f>AC59</f>
        <v>5325</v>
      </c>
      <c r="F522" s="264">
        <f t="shared" si="18"/>
        <v>281.14404722936638</v>
      </c>
      <c r="G522" s="264">
        <f t="shared" si="18"/>
        <v>242.67404882629108</v>
      </c>
      <c r="H522" s="266" t="str">
        <f t="shared" si="17"/>
        <v/>
      </c>
      <c r="I522" s="268"/>
      <c r="K522" s="262"/>
      <c r="L522" s="262"/>
    </row>
    <row r="523" spans="1:12" ht="12.65" customHeight="1" x14ac:dyDescent="0.3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8"/>
        <v/>
      </c>
      <c r="G523" s="264" t="str">
        <f t="shared" si="18"/>
        <v/>
      </c>
      <c r="H523" s="266" t="str">
        <f t="shared" si="17"/>
        <v/>
      </c>
      <c r="I523" s="268"/>
      <c r="K523" s="262"/>
      <c r="L523" s="262"/>
    </row>
    <row r="524" spans="1:12" ht="12.65" customHeight="1" x14ac:dyDescent="0.3">
      <c r="A524" s="180" t="s">
        <v>540</v>
      </c>
      <c r="B524" s="241">
        <f>'Prior Year'!AE71</f>
        <v>2268969.92</v>
      </c>
      <c r="C524" s="241">
        <f>AE71</f>
        <v>2509130.9500000002</v>
      </c>
      <c r="D524" s="241">
        <f>'Prior Year'!AE59</f>
        <v>18823</v>
      </c>
      <c r="E524" s="180">
        <f>AE59</f>
        <v>20118</v>
      </c>
      <c r="F524" s="264">
        <f t="shared" si="18"/>
        <v>120.5424172554853</v>
      </c>
      <c r="G524" s="264">
        <f t="shared" si="18"/>
        <v>124.72069539715679</v>
      </c>
      <c r="H524" s="266" t="str">
        <f t="shared" si="17"/>
        <v/>
      </c>
      <c r="I524" s="268"/>
      <c r="K524" s="262"/>
      <c r="L524" s="262"/>
    </row>
    <row r="525" spans="1:12" ht="12.65" customHeight="1" x14ac:dyDescent="0.3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8"/>
        <v/>
      </c>
      <c r="G525" s="264" t="str">
        <f t="shared" si="18"/>
        <v/>
      </c>
      <c r="H525" s="266" t="str">
        <f t="shared" si="17"/>
        <v/>
      </c>
      <c r="I525" s="268"/>
      <c r="K525" s="262"/>
      <c r="L525" s="262"/>
    </row>
    <row r="526" spans="1:12" ht="12.65" customHeight="1" x14ac:dyDescent="0.3">
      <c r="A526" s="180" t="s">
        <v>542</v>
      </c>
      <c r="B526" s="241">
        <f>'Prior Year'!AG71</f>
        <v>8369906.4999999991</v>
      </c>
      <c r="C526" s="241">
        <f>AG71</f>
        <v>9024341.1300000008</v>
      </c>
      <c r="D526" s="241">
        <f>'Prior Year'!AG59</f>
        <v>16296</v>
      </c>
      <c r="E526" s="180">
        <f>AG59</f>
        <v>17349</v>
      </c>
      <c r="F526" s="264">
        <f t="shared" si="18"/>
        <v>513.61723735886096</v>
      </c>
      <c r="G526" s="264">
        <f t="shared" si="18"/>
        <v>520.16491613349478</v>
      </c>
      <c r="H526" s="266" t="str">
        <f t="shared" si="17"/>
        <v/>
      </c>
      <c r="I526" s="268"/>
      <c r="K526" s="262"/>
      <c r="L526" s="262"/>
    </row>
    <row r="527" spans="1:12" ht="12.65" customHeight="1" x14ac:dyDescent="0.3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8"/>
        <v/>
      </c>
      <c r="G527" s="264" t="str">
        <f t="shared" si="18"/>
        <v/>
      </c>
      <c r="H527" s="266" t="str">
        <f t="shared" si="17"/>
        <v/>
      </c>
      <c r="I527" s="268"/>
      <c r="K527" s="262"/>
      <c r="L527" s="262"/>
    </row>
    <row r="528" spans="1:12" ht="12.65" customHeight="1" x14ac:dyDescent="0.3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9">IF(B528=0,"",IF(D528=0,"",B528/D528))</f>
        <v/>
      </c>
      <c r="G528" s="264" t="str">
        <f t="shared" si="19"/>
        <v/>
      </c>
      <c r="H528" s="266" t="str">
        <f t="shared" si="17"/>
        <v/>
      </c>
      <c r="I528" s="268"/>
      <c r="K528" s="262"/>
      <c r="L528" s="262"/>
    </row>
    <row r="529" spans="1:12" ht="12.65" customHeight="1" x14ac:dyDescent="0.3">
      <c r="A529" s="180" t="s">
        <v>545</v>
      </c>
      <c r="B529" s="241">
        <f>'Prior Year'!AJ71</f>
        <v>0</v>
      </c>
      <c r="C529" s="241">
        <f>AJ71</f>
        <v>0</v>
      </c>
      <c r="D529" s="241">
        <f>'Prior Year'!AJ59</f>
        <v>0</v>
      </c>
      <c r="E529" s="180">
        <f>AJ59</f>
        <v>0</v>
      </c>
      <c r="F529" s="264" t="str">
        <f t="shared" si="19"/>
        <v/>
      </c>
      <c r="G529" s="264" t="str">
        <f t="shared" si="19"/>
        <v/>
      </c>
      <c r="H529" s="266" t="str">
        <f t="shared" si="17"/>
        <v/>
      </c>
      <c r="I529" s="268"/>
      <c r="K529" s="262"/>
      <c r="L529" s="262"/>
    </row>
    <row r="530" spans="1:12" ht="12.65" customHeight="1" x14ac:dyDescent="0.3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9"/>
        <v/>
      </c>
      <c r="G530" s="264" t="str">
        <f t="shared" si="19"/>
        <v/>
      </c>
      <c r="H530" s="266" t="str">
        <f t="shared" si="17"/>
        <v/>
      </c>
      <c r="I530" s="268"/>
      <c r="K530" s="262"/>
      <c r="L530" s="262"/>
    </row>
    <row r="531" spans="1:12" ht="12.65" customHeight="1" x14ac:dyDescent="0.3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9"/>
        <v/>
      </c>
      <c r="G531" s="264" t="str">
        <f t="shared" si="19"/>
        <v/>
      </c>
      <c r="H531" s="266" t="str">
        <f t="shared" si="17"/>
        <v/>
      </c>
      <c r="I531" s="268"/>
      <c r="K531" s="262"/>
      <c r="L531" s="262"/>
    </row>
    <row r="532" spans="1:12" ht="12.65" customHeight="1" x14ac:dyDescent="0.3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9"/>
        <v/>
      </c>
      <c r="G532" s="264" t="str">
        <f t="shared" si="19"/>
        <v/>
      </c>
      <c r="H532" s="266" t="str">
        <f t="shared" si="17"/>
        <v/>
      </c>
      <c r="I532" s="268"/>
      <c r="K532" s="262"/>
      <c r="L532" s="262"/>
    </row>
    <row r="533" spans="1:12" ht="12.65" customHeight="1" x14ac:dyDescent="0.3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9"/>
        <v/>
      </c>
      <c r="G533" s="264" t="str">
        <f t="shared" si="19"/>
        <v/>
      </c>
      <c r="H533" s="266" t="str">
        <f t="shared" si="17"/>
        <v/>
      </c>
      <c r="I533" s="268"/>
      <c r="K533" s="262"/>
      <c r="L533" s="262"/>
    </row>
    <row r="534" spans="1:12" ht="12.65" customHeight="1" x14ac:dyDescent="0.3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9"/>
        <v/>
      </c>
      <c r="G534" s="264" t="str">
        <f t="shared" si="19"/>
        <v/>
      </c>
      <c r="H534" s="266" t="str">
        <f t="shared" si="17"/>
        <v/>
      </c>
      <c r="I534" s="268"/>
      <c r="K534" s="262"/>
      <c r="L534" s="262"/>
    </row>
    <row r="535" spans="1:12" ht="12.65" customHeight="1" x14ac:dyDescent="0.3">
      <c r="A535" s="180" t="s">
        <v>550</v>
      </c>
      <c r="B535" s="241">
        <f>'Prior Year'!AP71</f>
        <v>28299327.280000001</v>
      </c>
      <c r="C535" s="241">
        <f>AP71</f>
        <v>27980277.130000003</v>
      </c>
      <c r="D535" s="241">
        <f>'Prior Year'!AP59</f>
        <v>76869</v>
      </c>
      <c r="E535" s="180">
        <f>AP59</f>
        <v>84202</v>
      </c>
      <c r="F535" s="264">
        <f t="shared" si="19"/>
        <v>368.15006413508701</v>
      </c>
      <c r="G535" s="264">
        <f t="shared" si="19"/>
        <v>332.29943623666901</v>
      </c>
      <c r="H535" s="266" t="str">
        <f t="shared" si="17"/>
        <v/>
      </c>
      <c r="I535" s="268"/>
      <c r="K535" s="262"/>
      <c r="L535" s="262"/>
    </row>
    <row r="536" spans="1:12" ht="12.65" customHeight="1" x14ac:dyDescent="0.3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9"/>
        <v/>
      </c>
      <c r="G536" s="264" t="str">
        <f t="shared" si="19"/>
        <v/>
      </c>
      <c r="H536" s="266" t="str">
        <f t="shared" si="17"/>
        <v/>
      </c>
      <c r="I536" s="268"/>
      <c r="K536" s="262"/>
      <c r="L536" s="262"/>
    </row>
    <row r="537" spans="1:12" ht="12.65" customHeight="1" x14ac:dyDescent="0.3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9"/>
        <v/>
      </c>
      <c r="G537" s="264" t="str">
        <f t="shared" si="19"/>
        <v/>
      </c>
      <c r="H537" s="266" t="str">
        <f t="shared" si="17"/>
        <v/>
      </c>
      <c r="I537" s="268"/>
      <c r="K537" s="262"/>
      <c r="L537" s="262"/>
    </row>
    <row r="538" spans="1:12" ht="12.65" customHeight="1" x14ac:dyDescent="0.3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9"/>
        <v/>
      </c>
      <c r="G538" s="264" t="str">
        <f t="shared" si="19"/>
        <v/>
      </c>
      <c r="H538" s="266" t="str">
        <f t="shared" si="17"/>
        <v/>
      </c>
      <c r="I538" s="268"/>
      <c r="K538" s="262"/>
      <c r="L538" s="262"/>
    </row>
    <row r="539" spans="1:12" ht="12.65" customHeight="1" x14ac:dyDescent="0.3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9"/>
        <v/>
      </c>
      <c r="G539" s="264" t="str">
        <f t="shared" si="19"/>
        <v/>
      </c>
      <c r="H539" s="266" t="str">
        <f t="shared" si="17"/>
        <v/>
      </c>
      <c r="I539" s="268"/>
      <c r="K539" s="262"/>
      <c r="L539" s="262"/>
    </row>
    <row r="540" spans="1:12" ht="12.65" customHeight="1" x14ac:dyDescent="0.3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9"/>
        <v/>
      </c>
      <c r="G540" s="264" t="str">
        <f t="shared" si="19"/>
        <v/>
      </c>
      <c r="H540" s="266" t="str">
        <f t="shared" si="17"/>
        <v/>
      </c>
      <c r="I540" s="268"/>
      <c r="K540" s="262"/>
      <c r="L540" s="262"/>
    </row>
    <row r="541" spans="1:12" ht="12.65" customHeight="1" x14ac:dyDescent="0.3">
      <c r="A541" s="180" t="s">
        <v>556</v>
      </c>
      <c r="B541" s="241">
        <f>'Prior Year'!AV71</f>
        <v>391281.55</v>
      </c>
      <c r="C541" s="241">
        <f>AV71</f>
        <v>401403.51999999996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">
      <c r="A544" s="180" t="s">
        <v>558</v>
      </c>
      <c r="B544" s="241">
        <f>'Prior Year'!AY71</f>
        <v>1543443.27</v>
      </c>
      <c r="C544" s="241">
        <f>AY71</f>
        <v>1789265.26</v>
      </c>
      <c r="D544" s="241">
        <f>'Prior Year'!AY59</f>
        <v>29601.114391143918</v>
      </c>
      <c r="E544" s="180">
        <f>AY59</f>
        <v>33137.114391143914</v>
      </c>
      <c r="F544" s="264">
        <f t="shared" ref="F544:G550" si="20">IF(B544=0,"",IF(D544=0,"",B544/D544))</f>
        <v>52.141390678918782</v>
      </c>
      <c r="G544" s="264">
        <f t="shared" si="20"/>
        <v>53.995807808726745</v>
      </c>
      <c r="H544" s="266" t="str">
        <f t="shared" si="17"/>
        <v/>
      </c>
      <c r="I544" s="268"/>
      <c r="K544" s="262"/>
      <c r="L544" s="262"/>
    </row>
    <row r="545" spans="1:13" ht="12.65" customHeight="1" x14ac:dyDescent="0.3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0</v>
      </c>
      <c r="E545" s="180">
        <f>AZ59</f>
        <v>0</v>
      </c>
      <c r="F545" s="264" t="str">
        <f t="shared" si="20"/>
        <v/>
      </c>
      <c r="G545" s="264" t="str">
        <f t="shared" si="20"/>
        <v/>
      </c>
      <c r="H545" s="266" t="str">
        <f t="shared" si="17"/>
        <v/>
      </c>
      <c r="I545" s="268"/>
      <c r="K545" s="262"/>
      <c r="L545" s="262"/>
    </row>
    <row r="546" spans="1:13" ht="12.65" customHeight="1" x14ac:dyDescent="0.3">
      <c r="A546" s="180" t="s">
        <v>560</v>
      </c>
      <c r="B546" s="241">
        <f>'Prior Year'!BA71</f>
        <v>339064.04</v>
      </c>
      <c r="C546" s="241">
        <f>BA71</f>
        <v>371676.05</v>
      </c>
      <c r="D546" s="241">
        <f>'Prior Year'!BA59</f>
        <v>0</v>
      </c>
      <c r="E546" s="180">
        <f>BA59</f>
        <v>0</v>
      </c>
      <c r="F546" s="264" t="str">
        <f t="shared" si="20"/>
        <v/>
      </c>
      <c r="G546" s="264" t="str">
        <f t="shared" si="20"/>
        <v/>
      </c>
      <c r="H546" s="266" t="str">
        <f t="shared" si="17"/>
        <v/>
      </c>
      <c r="I546" s="268"/>
      <c r="K546" s="262"/>
      <c r="L546" s="262"/>
    </row>
    <row r="547" spans="1:13" ht="12.65" customHeight="1" x14ac:dyDescent="0.3">
      <c r="A547" s="180" t="s">
        <v>561</v>
      </c>
      <c r="B547" s="241">
        <f>'Prior Year'!BB71</f>
        <v>0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">
      <c r="A549" s="180" t="s">
        <v>563</v>
      </c>
      <c r="B549" s="241">
        <f>'Prior Year'!BD71</f>
        <v>618171.87999999989</v>
      </c>
      <c r="C549" s="241">
        <f>BD71</f>
        <v>666415.60000000009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">
      <c r="A550" s="180" t="s">
        <v>564</v>
      </c>
      <c r="B550" s="241">
        <f>'Prior Year'!BE71</f>
        <v>2740797.0700000003</v>
      </c>
      <c r="C550" s="241">
        <f>BE71</f>
        <v>3295777.3100000005</v>
      </c>
      <c r="D550" s="241">
        <f>'Prior Year'!BE59</f>
        <v>241486.90000000002</v>
      </c>
      <c r="E550" s="180">
        <f>BE59</f>
        <v>241486.90000000002</v>
      </c>
      <c r="F550" s="264">
        <f t="shared" si="20"/>
        <v>11.349671845553527</v>
      </c>
      <c r="G550" s="264">
        <f t="shared" si="20"/>
        <v>13.647851332722396</v>
      </c>
      <c r="H550" s="266" t="str">
        <f t="shared" si="17"/>
        <v/>
      </c>
      <c r="I550" s="268"/>
      <c r="K550" s="262"/>
      <c r="L550" s="262"/>
    </row>
    <row r="551" spans="1:13" ht="12.65" customHeight="1" x14ac:dyDescent="0.3">
      <c r="A551" s="180" t="s">
        <v>565</v>
      </c>
      <c r="B551" s="241">
        <f>'Prior Year'!BF71</f>
        <v>2272145.6</v>
      </c>
      <c r="C551" s="241">
        <f>BF71</f>
        <v>2424851.71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">
      <c r="A553" s="180" t="s">
        <v>567</v>
      </c>
      <c r="B553" s="241">
        <f>'Prior Year'!BH71</f>
        <v>8915511.1300000008</v>
      </c>
      <c r="C553" s="241">
        <f>BH71</f>
        <v>9341569.9700000007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">
      <c r="A555" s="180" t="s">
        <v>569</v>
      </c>
      <c r="B555" s="241">
        <f>'Prior Year'!BJ71</f>
        <v>846192.80000000016</v>
      </c>
      <c r="C555" s="241">
        <f>BJ71</f>
        <v>959372.15999999992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">
      <c r="A556" s="180" t="s">
        <v>570</v>
      </c>
      <c r="B556" s="241">
        <f>'Prior Year'!BK71</f>
        <v>2093991.25</v>
      </c>
      <c r="C556" s="241">
        <f>BK71</f>
        <v>2455713.7700000005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">
      <c r="A557" s="180" t="s">
        <v>571</v>
      </c>
      <c r="B557" s="241">
        <f>'Prior Year'!BL71</f>
        <v>1660266.84</v>
      </c>
      <c r="C557" s="241">
        <f>BL71</f>
        <v>1805850.3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">
      <c r="A559" s="180" t="s">
        <v>573</v>
      </c>
      <c r="B559" s="241">
        <f>'Prior Year'!BN71</f>
        <v>4088869.56</v>
      </c>
      <c r="C559" s="241">
        <f>BN71</f>
        <v>3654784.0500000003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">
      <c r="A560" s="180" t="s">
        <v>574</v>
      </c>
      <c r="B560" s="241">
        <f>'Prior Year'!BO71</f>
        <v>207873.61000000002</v>
      </c>
      <c r="C560" s="241">
        <f>BO71</f>
        <v>263542.71000000002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">
      <c r="A561" s="180" t="s">
        <v>575</v>
      </c>
      <c r="B561" s="241">
        <f>'Prior Year'!BP71</f>
        <v>275628.18</v>
      </c>
      <c r="C561" s="241">
        <f>BP71</f>
        <v>319857.87000000005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">
      <c r="A563" s="180" t="s">
        <v>577</v>
      </c>
      <c r="B563" s="241">
        <f>'Prior Year'!BR71</f>
        <v>863738.02999999991</v>
      </c>
      <c r="C563" s="241">
        <f>BR71</f>
        <v>1025784.0800000001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">
      <c r="A567" s="180" t="s">
        <v>580</v>
      </c>
      <c r="B567" s="241">
        <f>'Prior Year'!BV71</f>
        <v>2349912.88</v>
      </c>
      <c r="C567" s="241">
        <f>BV71</f>
        <v>2354508.0099999998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">
      <c r="A568" s="180" t="s">
        <v>581</v>
      </c>
      <c r="B568" s="241">
        <f>'Prior Year'!BW71</f>
        <v>328482.91000000003</v>
      </c>
      <c r="C568" s="241">
        <f>BW71</f>
        <v>332842.90999999997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">
      <c r="A569" s="180" t="s">
        <v>582</v>
      </c>
      <c r="B569" s="241">
        <f>'Prior Year'!BX71</f>
        <v>0</v>
      </c>
      <c r="C569" s="241">
        <f>BX71</f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">
      <c r="A570" s="180" t="s">
        <v>583</v>
      </c>
      <c r="B570" s="241">
        <f>'Prior Year'!BY71</f>
        <v>4076450.5900000003</v>
      </c>
      <c r="C570" s="241">
        <f>BY71</f>
        <v>4377263.4499999993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">
      <c r="A572" s="180" t="s">
        <v>585</v>
      </c>
      <c r="B572" s="241">
        <f>'Prior Year'!CA71</f>
        <v>344159.22000000003</v>
      </c>
      <c r="C572" s="241">
        <f>CA71</f>
        <v>220699.49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">
      <c r="A574" s="180" t="s">
        <v>587</v>
      </c>
      <c r="B574" s="241">
        <f>'Prior Year'!CC71</f>
        <v>4129930.35</v>
      </c>
      <c r="C574" s="241">
        <f>CC71</f>
        <v>3738083.56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">
      <c r="A575" s="180" t="s">
        <v>588</v>
      </c>
      <c r="B575" s="241">
        <f>'Prior Year'!CD71</f>
        <v>-3421288.0300000003</v>
      </c>
      <c r="C575" s="241">
        <f>CD71</f>
        <v>905060.64999999944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">
      <c r="M576" s="266"/>
    </row>
    <row r="577" spans="13:13" ht="12.65" customHeight="1" x14ac:dyDescent="0.3">
      <c r="M577" s="266"/>
    </row>
    <row r="578" spans="13:13" ht="12.65" customHeight="1" x14ac:dyDescent="0.3">
      <c r="M578" s="266"/>
    </row>
    <row r="612" spans="1:14" ht="12.65" customHeight="1" x14ac:dyDescent="0.3">
      <c r="A612" s="196"/>
      <c r="C612" s="181" t="s">
        <v>589</v>
      </c>
      <c r="D612" s="180">
        <f>CE76-(BE76+CD76)</f>
        <v>213322.40000000002</v>
      </c>
      <c r="E612" s="180">
        <f>SUM(C624:D647)+SUM(C668:D713)</f>
        <v>107091627.24290901</v>
      </c>
      <c r="F612" s="180">
        <f>CE64-(AX64+BD64+BE64+BG64+BJ64+BN64+BP64+BQ64+CB64+CC64+CD64)</f>
        <v>14424540.539999997</v>
      </c>
      <c r="G612" s="180">
        <f>CE77-(AX77+AY77+BD77+BE77+BG77+BJ77+BN77+BP77+BQ77+CB77+CC77+CD77)</f>
        <v>33137.17733645202</v>
      </c>
      <c r="H612" s="197">
        <f>CE60-(AX60+AY60+AZ60+BD60+BE60+BG60+BJ60+BN60+BO60+BP60+BQ60+BR60+CB60+CC60+CD60)</f>
        <v>517.57530388488999</v>
      </c>
      <c r="I612" s="180">
        <f>CE78-(AX78+AY78+AZ78+BD78+BE78+BF78+BG78+BJ78+BN78+BO78+BP78+BQ78+BR78+CB78+CC78+CD78)</f>
        <v>171713.11000000002</v>
      </c>
      <c r="J612" s="180">
        <f>CE79-(AX79+AY79+AZ79+BA79+BD79+BE79+BF79+BG79+BJ79+BN79+BO79+BP79+BQ79+BR79+CB79+CC79+CD79)</f>
        <v>264967</v>
      </c>
      <c r="K612" s="180">
        <f>CE75-(AW75+AX75+AY75+AZ75+BA75+BB75+BC75+BD75+BE75+BF75+BG75+BH75+BI75+BJ75+BK75+BL75+BM75+BN75+BO75+BP75+BQ75+BR75+BS75+BT75+BU75+BV75+BW75+BX75+CB75+CC75+CD75)</f>
        <v>293272240.48999995</v>
      </c>
      <c r="L612" s="197">
        <f>CE80-(AW80+AX80+AY80+AZ80+BA80+BB80+BC80+BD80+BE80+BF80+BG80+BH80+BI80+BJ80+BK80+BL80+BM80+BN80+BO80+BP80+BQ80+BR80+BS80+BT80+BU80+BV80+BW80+BX80+BY80+BZ80+CA80+CB80+CC80+CD80)</f>
        <v>132.37950006685438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3295777.3100000005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4">
        <f>CD69-CD70</f>
        <v>905060.64999999944</v>
      </c>
      <c r="D615" s="267">
        <f>SUM(C614:C615)</f>
        <v>4200837.96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959372.15999999992</v>
      </c>
      <c r="D617" s="180">
        <f>(D615/D612)*BJ76</f>
        <v>39020.56426207468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3654784.0500000003</v>
      </c>
      <c r="D619" s="180">
        <f>(D615/D612)*BN76</f>
        <v>105994.54309392731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3738083.56</v>
      </c>
      <c r="D620" s="180">
        <f>(D615/D612)*CC76</f>
        <v>359417.30479526951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319857.87000000005</v>
      </c>
      <c r="D621" s="180">
        <f>(D615/D612)*BP76</f>
        <v>56087.014939706285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9232617.067090977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666415.60000000009</v>
      </c>
      <c r="D624" s="180">
        <f>(D615/D612)*BD76</f>
        <v>66999.972848923499</v>
      </c>
      <c r="E624" s="180">
        <f>(E623/E612)*SUM(C624:D624)</f>
        <v>63229.454155143932</v>
      </c>
      <c r="F624" s="180">
        <f>SUM(C624:E624)</f>
        <v>796645.02700406755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1789265.26</v>
      </c>
      <c r="D625" s="180">
        <f>(D615/D612)*AY76</f>
        <v>99248.30796654828</v>
      </c>
      <c r="E625" s="180">
        <f>(E623/E612)*SUM(C625:D625)</f>
        <v>162813.12599249289</v>
      </c>
      <c r="F625" s="180">
        <f>(F624/F612)*AY64</f>
        <v>38016.570909698632</v>
      </c>
      <c r="G625" s="180">
        <f>SUM(C625:F625)</f>
        <v>2089343.2648687398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1025784.0800000001</v>
      </c>
      <c r="D626" s="180">
        <f>(D615/D612)*BR76</f>
        <v>41926.971064718942</v>
      </c>
      <c r="E626" s="180">
        <f>(E623/E612)*SUM(C626:D626)</f>
        <v>92049.841118036566</v>
      </c>
      <c r="F626" s="180">
        <f>(F624/F612)*BR64</f>
        <v>555.08072410033878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263542.71000000002</v>
      </c>
      <c r="D627" s="180">
        <f>(D615/D612)*BO76</f>
        <v>5499.5069298357785</v>
      </c>
      <c r="E627" s="180">
        <f>(E623/E612)*SUM(C627:D627)</f>
        <v>23194.752267235428</v>
      </c>
      <c r="F627" s="180">
        <f>(F624/F612)*BO64</f>
        <v>82.678647646956506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1452635.6207515739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2424851.71</v>
      </c>
      <c r="D629" s="180">
        <f>(D615/D612)*BF76</f>
        <v>45194.143316407462</v>
      </c>
      <c r="E629" s="180">
        <f>(E623/E612)*SUM(C629:D629)</f>
        <v>212948.37037165643</v>
      </c>
      <c r="F629" s="180">
        <f>(F624/F612)*BF64</f>
        <v>8819.7532843418394</v>
      </c>
      <c r="G629" s="180">
        <f>(G625/G612)*BF77</f>
        <v>0</v>
      </c>
      <c r="H629" s="180">
        <f>(H628/H612)*BF60</f>
        <v>82588.28863926146</v>
      </c>
      <c r="I629" s="180">
        <f>SUM(C629:H629)</f>
        <v>2774402.2656116672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371676.05</v>
      </c>
      <c r="D630" s="180">
        <f>(D615/D612)*BA76</f>
        <v>28766.909149473282</v>
      </c>
      <c r="E630" s="180">
        <f>(E623/E612)*SUM(C630:D630)</f>
        <v>34523.1144042089</v>
      </c>
      <c r="F630" s="180">
        <f>(F624/F612)*BA64</f>
        <v>3852.002186888692</v>
      </c>
      <c r="G630" s="180">
        <f>(G625/G612)*BA77</f>
        <v>0</v>
      </c>
      <c r="H630" s="180">
        <f>(H628/H612)*BA60</f>
        <v>2832.5717314783706</v>
      </c>
      <c r="I630" s="180">
        <f>(I629/I612)*BA78</f>
        <v>23602.592566334501</v>
      </c>
      <c r="J630" s="180">
        <f>SUM(C630:I630)</f>
        <v>465253.24003838381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2455713.7700000005</v>
      </c>
      <c r="D635" s="180">
        <f>(D615/D612)*BK76</f>
        <v>53848.9694547783</v>
      </c>
      <c r="E635" s="180">
        <f>(E623/E612)*SUM(C635:D635)</f>
        <v>216355.21259445566</v>
      </c>
      <c r="F635" s="180">
        <f>(F624/F612)*BK64</f>
        <v>782.25743347222249</v>
      </c>
      <c r="G635" s="180">
        <f>(G625/G612)*BK77</f>
        <v>0</v>
      </c>
      <c r="H635" s="180">
        <f>(H628/H612)*BK60</f>
        <v>62494.163971486778</v>
      </c>
      <c r="I635" s="180">
        <f>(I629/I612)*BK78</f>
        <v>44181.850735305547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9341569.9700000007</v>
      </c>
      <c r="D636" s="180">
        <f>(D615/D612)*BH76</f>
        <v>64063.83046614514</v>
      </c>
      <c r="E636" s="180">
        <f>(E623/E612)*SUM(C636:D636)</f>
        <v>810881.46093831502</v>
      </c>
      <c r="F636" s="180">
        <f>(F624/F612)*BH64</f>
        <v>24761.395339427334</v>
      </c>
      <c r="G636" s="180">
        <f>(G625/G612)*BH77</f>
        <v>0</v>
      </c>
      <c r="H636" s="180">
        <f>(H628/H612)*BH60</f>
        <v>0</v>
      </c>
      <c r="I636" s="180">
        <f>(I629/I612)*BH78</f>
        <v>52562.911116880867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1805850.3</v>
      </c>
      <c r="D637" s="180">
        <f>(D615/D612)*BL76</f>
        <v>37848.273477052571</v>
      </c>
      <c r="E637" s="180">
        <f>(E623/E612)*SUM(C637:D637)</f>
        <v>158949.52158533601</v>
      </c>
      <c r="F637" s="180">
        <f>(F624/F612)*BL64</f>
        <v>1068.0652184594815</v>
      </c>
      <c r="G637" s="180">
        <f>(G625/G612)*BL77</f>
        <v>0</v>
      </c>
      <c r="H637" s="180">
        <f>(H628/H612)*BL60</f>
        <v>64830.71406422263</v>
      </c>
      <c r="I637" s="180">
        <f>(I629/I612)*BL78</f>
        <v>31053.644782495961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2354508.0099999998</v>
      </c>
      <c r="D642" s="180">
        <f>(D615/D612)*BV76</f>
        <v>89515.320892851378</v>
      </c>
      <c r="E642" s="180">
        <f>(E623/E612)*SUM(C642:D642)</f>
        <v>210704.90847979885</v>
      </c>
      <c r="F642" s="180">
        <f>(F624/F612)*BV64</f>
        <v>482.3730209542818</v>
      </c>
      <c r="G642" s="180">
        <f>(G625/G612)*BV77</f>
        <v>0</v>
      </c>
      <c r="H642" s="180">
        <f>(H628/H612)*BV60</f>
        <v>55838.715960162153</v>
      </c>
      <c r="I642" s="180">
        <f>(I629/I612)*BV78</f>
        <v>73445.278270965951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332842.90999999997</v>
      </c>
      <c r="D643" s="180">
        <f>(D615/D612)*BW76</f>
        <v>20122.520002805144</v>
      </c>
      <c r="E643" s="180">
        <f>(E623/E612)*SUM(C643:D643)</f>
        <v>30429.9667213506</v>
      </c>
      <c r="F643" s="180">
        <f>(F624/F612)*BW64</f>
        <v>96.357078047630964</v>
      </c>
      <c r="G643" s="180">
        <f>(G625/G612)*BW77</f>
        <v>0</v>
      </c>
      <c r="H643" s="180">
        <f>(H628/H612)*BW60</f>
        <v>5638.1085449538714</v>
      </c>
      <c r="I643" s="180">
        <f>(I629/I612)*BW78</f>
        <v>16510.068515401217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18416950.848665137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4377263.4499999993</v>
      </c>
      <c r="D645" s="180">
        <f>(D615/D612)*BY76</f>
        <v>34079.534850519216</v>
      </c>
      <c r="E645" s="180">
        <f>(E623/E612)*SUM(C645:D645)</f>
        <v>380312.08955618646</v>
      </c>
      <c r="F645" s="180">
        <f>(F624/F612)*BY64</f>
        <v>474.46927736547207</v>
      </c>
      <c r="G645" s="180">
        <f>(G625/G612)*BY77</f>
        <v>0</v>
      </c>
      <c r="H645" s="180">
        <f>(H628/H612)*BY60</f>
        <v>84189.05359879919</v>
      </c>
      <c r="I645" s="180">
        <f>(I629/I612)*BY78</f>
        <v>27961.480732862474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220699.49</v>
      </c>
      <c r="D647" s="180">
        <f>(D615/D612)*CA76</f>
        <v>20598.289284950853</v>
      </c>
      <c r="E647" s="180">
        <f>(E623/E612)*SUM(C647:D647)</f>
        <v>20802.840078470294</v>
      </c>
      <c r="F647" s="180">
        <f>(F624/F612)*CA64</f>
        <v>137.06265539859444</v>
      </c>
      <c r="G647" s="180">
        <f>(G625/G612)*CA77</f>
        <v>0</v>
      </c>
      <c r="H647" s="180">
        <f>(H628/H612)*CA60</f>
        <v>3255.6947251388196</v>
      </c>
      <c r="I647" s="180">
        <f>(I629/I612)*CA78</f>
        <v>16900.426355505431</v>
      </c>
      <c r="J647" s="180">
        <f>(J630/J612)*CA79</f>
        <v>0</v>
      </c>
      <c r="K647" s="180">
        <v>0</v>
      </c>
      <c r="L647" s="180">
        <f>SUM(C645:K647)</f>
        <v>5186673.8811151963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40302918.910000004</v>
      </c>
      <c r="L648" s="267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3524204.0999999996</v>
      </c>
      <c r="D668" s="180">
        <f>(D615/D612)*C76</f>
        <v>128357.86552286491</v>
      </c>
      <c r="E668" s="180">
        <f>(E623/E612)*SUM(C668:D668)</f>
        <v>314895.82154730667</v>
      </c>
      <c r="F668" s="180">
        <f>(F624/F612)*C64</f>
        <v>17678.206800987402</v>
      </c>
      <c r="G668" s="180">
        <f>(G625/G612)*C77</f>
        <v>344298.67778888962</v>
      </c>
      <c r="H668" s="180">
        <f>(H628/H612)*C60</f>
        <v>56083.495810187022</v>
      </c>
      <c r="I668" s="180">
        <f>(I629/I612)*C78</f>
        <v>105314.6998476201</v>
      </c>
      <c r="J668" s="180">
        <f>(J630/J612)*C79</f>
        <v>54771.516137923987</v>
      </c>
      <c r="K668" s="180">
        <f>(K644/K612)*C75</f>
        <v>899735.35550400265</v>
      </c>
      <c r="L668" s="180">
        <f>(L647/L612)*C80</f>
        <v>782924.9586321247</v>
      </c>
      <c r="M668" s="180">
        <f t="shared" ref="M668:M713" si="21">ROUND(SUM(D668:L668),0)</f>
        <v>2704061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8025096.5200000005</v>
      </c>
      <c r="D670" s="180">
        <f>(D615/D612)*E76</f>
        <v>379153.65610507474</v>
      </c>
      <c r="E670" s="180">
        <f>(E623/E612)*SUM(C670:D670)</f>
        <v>724549.86080293998</v>
      </c>
      <c r="F670" s="180">
        <f>(F624/F612)*E64</f>
        <v>12058.811899264945</v>
      </c>
      <c r="G670" s="180">
        <f>(G625/G612)*E77</f>
        <v>1656685.4739324299</v>
      </c>
      <c r="H670" s="180">
        <f>(H628/H612)*E60</f>
        <v>134852.0873490494</v>
      </c>
      <c r="I670" s="180">
        <f>(I629/I612)*E78</f>
        <v>311086.92347116617</v>
      </c>
      <c r="J670" s="180">
        <f>(J630/J612)*E79</f>
        <v>102076.98262950256</v>
      </c>
      <c r="K670" s="180">
        <f>(K644/K612)*E75</f>
        <v>1866086.6852064845</v>
      </c>
      <c r="L670" s="180">
        <f>(L647/L612)*E80</f>
        <v>1882533.5936001469</v>
      </c>
      <c r="M670" s="180">
        <f t="shared" si="21"/>
        <v>7069084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50105.07</v>
      </c>
      <c r="D675" s="180">
        <f>(D615/D612)*J76</f>
        <v>9492.345491419559</v>
      </c>
      <c r="E675" s="180">
        <f>(E623/E612)*SUM(C675:D675)</f>
        <v>5138.0311382561995</v>
      </c>
      <c r="F675" s="180">
        <f>(F624/F612)*J64</f>
        <v>1678.9708605918861</v>
      </c>
      <c r="G675" s="180">
        <f>(G625/G612)*J77</f>
        <v>0</v>
      </c>
      <c r="H675" s="180">
        <f>(H628/H612)*J60</f>
        <v>0</v>
      </c>
      <c r="I675" s="180">
        <f>(I629/I612)*J78</f>
        <v>7788.2528835031389</v>
      </c>
      <c r="J675" s="180">
        <f>(J630/J612)*J79</f>
        <v>0</v>
      </c>
      <c r="K675" s="180">
        <f>(K644/K612)*J75</f>
        <v>84598.939639126911</v>
      </c>
      <c r="L675" s="180">
        <f>(L647/L612)*J80</f>
        <v>0</v>
      </c>
      <c r="M675" s="180">
        <f t="shared" si="21"/>
        <v>108697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119838.97000000002</v>
      </c>
      <c r="D680" s="180">
        <f>(D615/D612)*O76</f>
        <v>19198.157001815092</v>
      </c>
      <c r="E680" s="180">
        <f>(E623/E612)*SUM(C680:D680)</f>
        <v>11986.712544805892</v>
      </c>
      <c r="F680" s="180">
        <f>(F624/F612)*O64</f>
        <v>4148.3387237295665</v>
      </c>
      <c r="G680" s="180">
        <f>(G625/G612)*O77</f>
        <v>0</v>
      </c>
      <c r="H680" s="180">
        <f>(H628/H612)*O60</f>
        <v>0</v>
      </c>
      <c r="I680" s="180">
        <f>(I629/I612)*O78</f>
        <v>15751.649764801381</v>
      </c>
      <c r="J680" s="180">
        <f>(J630/J612)*O79</f>
        <v>51628.470778808674</v>
      </c>
      <c r="K680" s="180">
        <f>(K644/K612)*O75</f>
        <v>199675.29239596895</v>
      </c>
      <c r="L680" s="180">
        <f>(L647/L612)*O80</f>
        <v>0</v>
      </c>
      <c r="M680" s="180">
        <f t="shared" si="21"/>
        <v>302389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3508532.42</v>
      </c>
      <c r="D681" s="180">
        <f>(D615/D612)*P76</f>
        <v>129290.69627184015</v>
      </c>
      <c r="E681" s="180">
        <f>(E623/E612)*SUM(C681:D681)</f>
        <v>313625.15123770694</v>
      </c>
      <c r="F681" s="180">
        <f>(F624/F612)*P64</f>
        <v>47081.637926643205</v>
      </c>
      <c r="G681" s="180">
        <f>(G625/G612)*P77</f>
        <v>17717.425098313368</v>
      </c>
      <c r="H681" s="180">
        <f>(H628/H612)*P60</f>
        <v>46610.134587252018</v>
      </c>
      <c r="I681" s="180">
        <f>(I629/I612)*P78</f>
        <v>106080.06619222839</v>
      </c>
      <c r="J681" s="180">
        <f>(J630/J612)*P79</f>
        <v>53261.449652538977</v>
      </c>
      <c r="K681" s="180">
        <f>(K644/K612)*P75</f>
        <v>1219252.3501261475</v>
      </c>
      <c r="L681" s="180">
        <f>(L647/L612)*P80</f>
        <v>650676.94455190492</v>
      </c>
      <c r="M681" s="180">
        <f t="shared" si="21"/>
        <v>2583596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2229059.2899999996</v>
      </c>
      <c r="D682" s="180">
        <f>(D615/D612)*Q76</f>
        <v>142716.21224020355</v>
      </c>
      <c r="E682" s="180">
        <f>(E623/E612)*SUM(C682:D682)</f>
        <v>204476.2559412983</v>
      </c>
      <c r="F682" s="180">
        <f>(F624/F612)*Q64</f>
        <v>5981.9724424094602</v>
      </c>
      <c r="G682" s="180">
        <f>(G625/G612)*Q77</f>
        <v>0</v>
      </c>
      <c r="H682" s="180">
        <f>(H628/H612)*Q60</f>
        <v>36779.442605219214</v>
      </c>
      <c r="I682" s="180">
        <f>(I629/I612)*Q78</f>
        <v>117095.39570669245</v>
      </c>
      <c r="J682" s="180">
        <f>(J630/J612)*Q79</f>
        <v>36605.065140489896</v>
      </c>
      <c r="K682" s="180">
        <f>(K644/K612)*Q75</f>
        <v>427506.3249729735</v>
      </c>
      <c r="L682" s="180">
        <f>(L647/L612)*Q80</f>
        <v>513440.59717071749</v>
      </c>
      <c r="M682" s="180">
        <f t="shared" si="21"/>
        <v>1484601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-603344.76999999979</v>
      </c>
      <c r="D683" s="180">
        <f>(D615/D612)*R76</f>
        <v>6136.3603480722131</v>
      </c>
      <c r="E683" s="180">
        <f>(E623/E612)*SUM(C683:D683)</f>
        <v>-51486.719340402386</v>
      </c>
      <c r="F683" s="180">
        <f>(F624/F612)*R64</f>
        <v>3063.5818105957364</v>
      </c>
      <c r="G683" s="180">
        <f>(G625/G612)*R77</f>
        <v>0</v>
      </c>
      <c r="H683" s="180">
        <f>(H628/H612)*R60</f>
        <v>11058.299475766078</v>
      </c>
      <c r="I683" s="180">
        <f>(I629/I612)*R78</f>
        <v>5034.7436487945006</v>
      </c>
      <c r="J683" s="180">
        <f>(J630/J612)*R79</f>
        <v>0</v>
      </c>
      <c r="K683" s="180">
        <f>(K644/K612)*R75</f>
        <v>145364.7893195728</v>
      </c>
      <c r="L683" s="180">
        <f>(L647/L612)*R80</f>
        <v>154373.73392179297</v>
      </c>
      <c r="M683" s="180">
        <f t="shared" si="21"/>
        <v>273545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4792810.1900000004</v>
      </c>
      <c r="D684" s="180">
        <f>(D615/D612)*S76</f>
        <v>58494.415384338441</v>
      </c>
      <c r="E684" s="180">
        <f>(E623/E612)*SUM(C684:D684)</f>
        <v>418242.19923125929</v>
      </c>
      <c r="F684" s="180">
        <f>(F624/F612)*S64</f>
        <v>254683.22933368132</v>
      </c>
      <c r="G684" s="180">
        <f>(G625/G612)*S77</f>
        <v>0</v>
      </c>
      <c r="H684" s="180">
        <f>(H628/H612)*S60</f>
        <v>0</v>
      </c>
      <c r="I684" s="180">
        <f>(I629/I612)*S78</f>
        <v>47993.333122746975</v>
      </c>
      <c r="J684" s="180">
        <f>(J630/J612)*S79</f>
        <v>0</v>
      </c>
      <c r="K684" s="180">
        <f>(K644/K612)*S75</f>
        <v>578952.24741578975</v>
      </c>
      <c r="L684" s="180">
        <f>(L647/L612)*S80</f>
        <v>0</v>
      </c>
      <c r="M684" s="180">
        <f t="shared" si="21"/>
        <v>1358365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1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6057843.0399999982</v>
      </c>
      <c r="D686" s="180">
        <f>(D615/D612)*U76</f>
        <v>86508.088811871596</v>
      </c>
      <c r="E686" s="180">
        <f>(E623/E612)*SUM(C686:D686)</f>
        <v>529718.73300043086</v>
      </c>
      <c r="F686" s="180">
        <f>(F624/F612)*U64</f>
        <v>111937.51664588446</v>
      </c>
      <c r="G686" s="180">
        <f>(G625/G612)*U77</f>
        <v>0</v>
      </c>
      <c r="H686" s="180">
        <f>(H628/H612)*U60</f>
        <v>78361.982878824885</v>
      </c>
      <c r="I686" s="180">
        <f>(I629/I612)*U78</f>
        <v>70977.912966234362</v>
      </c>
      <c r="J686" s="180">
        <f>(J630/J612)*U79</f>
        <v>1072.8495611281876</v>
      </c>
      <c r="K686" s="180">
        <f>(K644/K612)*U75</f>
        <v>2333436.6118357116</v>
      </c>
      <c r="L686" s="180">
        <f>(L647/L612)*U80</f>
        <v>0</v>
      </c>
      <c r="M686" s="180">
        <f t="shared" si="21"/>
        <v>3212014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393870.17</v>
      </c>
      <c r="D688" s="180">
        <f>(D615/D612)*W76</f>
        <v>42091.993688244642</v>
      </c>
      <c r="E688" s="180">
        <f>(E623/E612)*SUM(C688:D688)</f>
        <v>37585.307242966701</v>
      </c>
      <c r="F688" s="180">
        <f>(F624/F612)*W64</f>
        <v>1323.9883364539314</v>
      </c>
      <c r="G688" s="180">
        <f>(G625/G612)*W77</f>
        <v>0</v>
      </c>
      <c r="H688" s="180">
        <f>(H628/H612)*W60</f>
        <v>5801.1857949349833</v>
      </c>
      <c r="I688" s="180">
        <f>(I629/I612)*W78</f>
        <v>34535.520384418924</v>
      </c>
      <c r="J688" s="180">
        <f>(J630/J612)*W79</f>
        <v>0</v>
      </c>
      <c r="K688" s="180">
        <f>(K644/K612)*W75</f>
        <v>519383.79873395915</v>
      </c>
      <c r="L688" s="180">
        <f>(L647/L612)*W80</f>
        <v>0</v>
      </c>
      <c r="M688" s="180">
        <f t="shared" si="21"/>
        <v>640722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848893.0199999999</v>
      </c>
      <c r="D689" s="180">
        <f>(D615/D612)*X76</f>
        <v>15589.911738257208</v>
      </c>
      <c r="E689" s="180">
        <f>(E623/E612)*SUM(C689:D689)</f>
        <v>74529.07454353731</v>
      </c>
      <c r="F689" s="180">
        <f>(F624/F612)*X64</f>
        <v>8417.1014274961108</v>
      </c>
      <c r="G689" s="180">
        <f>(G625/G612)*X77</f>
        <v>0</v>
      </c>
      <c r="H689" s="180">
        <f>(H628/H612)*X60</f>
        <v>11091.30944801316</v>
      </c>
      <c r="I689" s="180">
        <f>(I629/I612)*X78</f>
        <v>12791.166857421591</v>
      </c>
      <c r="J689" s="180">
        <f>(J630/J612)*X79</f>
        <v>0</v>
      </c>
      <c r="K689" s="180">
        <f>(K644/K612)*X75</f>
        <v>1871224.9589108364</v>
      </c>
      <c r="L689" s="180">
        <f>(L647/L612)*X80</f>
        <v>0</v>
      </c>
      <c r="M689" s="180">
        <f t="shared" si="21"/>
        <v>1993644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3599502.8100000005</v>
      </c>
      <c r="D690" s="180">
        <f>(D615/D612)*Y76</f>
        <v>137692.86844125699</v>
      </c>
      <c r="E690" s="180">
        <f>(E623/E612)*SUM(C690:D690)</f>
        <v>322192.28983767319</v>
      </c>
      <c r="F690" s="180">
        <f>(F624/F612)*Y64</f>
        <v>3621.2798109777727</v>
      </c>
      <c r="G690" s="180">
        <f>(G625/G612)*Y77</f>
        <v>0</v>
      </c>
      <c r="H690" s="180">
        <f>(H628/H612)*Y60</f>
        <v>66225.909704496633</v>
      </c>
      <c r="I690" s="180">
        <f>(I629/I612)*Y78</f>
        <v>112973.85674012851</v>
      </c>
      <c r="J690" s="180">
        <f>(J630/J612)*Y79</f>
        <v>47754.974654669917</v>
      </c>
      <c r="K690" s="180">
        <f>(K644/K612)*Y75</f>
        <v>1344383.6318921696</v>
      </c>
      <c r="L690" s="180">
        <f>(L647/L612)*Y80</f>
        <v>0</v>
      </c>
      <c r="M690" s="180">
        <f t="shared" si="21"/>
        <v>2034845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221992.58</v>
      </c>
      <c r="D692" s="180">
        <f>(D615/D612)*AA76</f>
        <v>13590.932440632581</v>
      </c>
      <c r="E692" s="180">
        <f>(E623/E612)*SUM(C692:D692)</f>
        <v>20310.199907142069</v>
      </c>
      <c r="F692" s="180">
        <f>(F624/F612)*AA64</f>
        <v>2219.1354847099333</v>
      </c>
      <c r="G692" s="180">
        <f>(G625/G612)*AA77</f>
        <v>0</v>
      </c>
      <c r="H692" s="180">
        <f>(H628/H612)*AA60</f>
        <v>2531.6937283407378</v>
      </c>
      <c r="I692" s="180">
        <f>(I629/I612)*AA78</f>
        <v>11151.049955559874</v>
      </c>
      <c r="J692" s="180">
        <f>(J630/J612)*AA79</f>
        <v>0</v>
      </c>
      <c r="K692" s="180">
        <f>(K644/K612)*AA75</f>
        <v>52751.901627285231</v>
      </c>
      <c r="L692" s="180">
        <f>(L647/L612)*AA80</f>
        <v>0</v>
      </c>
      <c r="M692" s="180">
        <f t="shared" si="21"/>
        <v>102555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2045529.9499999997</v>
      </c>
      <c r="D693" s="180">
        <f>(D615/D612)*AB76</f>
        <v>37856.150451922535</v>
      </c>
      <c r="E693" s="180">
        <f>(E623/E612)*SUM(C693:D693)</f>
        <v>179613.53808494093</v>
      </c>
      <c r="F693" s="180">
        <f>(F624/F612)*AB64</f>
        <v>152270.85810469135</v>
      </c>
      <c r="G693" s="180">
        <f>(G625/G612)*AB77</f>
        <v>0</v>
      </c>
      <c r="H693" s="180">
        <f>(H628/H612)*AB60</f>
        <v>38211.032794398569</v>
      </c>
      <c r="I693" s="180">
        <f>(I629/I612)*AB78</f>
        <v>31060.107660643385</v>
      </c>
      <c r="J693" s="180">
        <f>(J630/J612)*AB79</f>
        <v>0</v>
      </c>
      <c r="K693" s="180">
        <f>(K644/K612)*AB75</f>
        <v>752433.82888276642</v>
      </c>
      <c r="L693" s="180">
        <f>(L647/L612)*AB80</f>
        <v>0</v>
      </c>
      <c r="M693" s="180">
        <f t="shared" si="21"/>
        <v>1191446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1292239.31</v>
      </c>
      <c r="D694" s="180">
        <f>(D615/D612)*AC76</f>
        <v>15862.258144386149</v>
      </c>
      <c r="E694" s="180">
        <f>(E623/E612)*SUM(C694:D694)</f>
        <v>112774.46402177079</v>
      </c>
      <c r="F694" s="180">
        <f>(F624/F612)*AC64</f>
        <v>7222.3830120379989</v>
      </c>
      <c r="G694" s="180">
        <f>(G625/G612)*AC77</f>
        <v>0</v>
      </c>
      <c r="H694" s="180">
        <f>(H628/H612)*AC60</f>
        <v>24116.179080133028</v>
      </c>
      <c r="I694" s="180">
        <f>(I629/I612)*AC78</f>
        <v>13014.620869368668</v>
      </c>
      <c r="J694" s="180">
        <f>(J630/J612)*AC79</f>
        <v>0</v>
      </c>
      <c r="K694" s="180">
        <f>(K644/K612)*AC75</f>
        <v>503605.04356742918</v>
      </c>
      <c r="L694" s="180">
        <f>(L647/L612)*AC80</f>
        <v>0</v>
      </c>
      <c r="M694" s="180">
        <f t="shared" si="21"/>
        <v>676595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2509130.9500000002</v>
      </c>
      <c r="D696" s="180">
        <f>(D615/D612)*AE76</f>
        <v>76535.247853384353</v>
      </c>
      <c r="E696" s="180">
        <f>(E623/E612)*SUM(C696:D696)</f>
        <v>222916.26789789106</v>
      </c>
      <c r="F696" s="180">
        <f>(F624/F612)*AE64</f>
        <v>2392.2280768178266</v>
      </c>
      <c r="G696" s="180">
        <f>(G625/G612)*AE77</f>
        <v>0</v>
      </c>
      <c r="H696" s="180">
        <f>(H628/H612)*AE60</f>
        <v>55204.977654506925</v>
      </c>
      <c r="I696" s="180">
        <f>(I629/I612)*AE78</f>
        <v>62795.424515738559</v>
      </c>
      <c r="J696" s="180">
        <f>(J630/J612)*AE79</f>
        <v>11249.995316118328</v>
      </c>
      <c r="K696" s="180">
        <f>(K644/K612)*AE75</f>
        <v>410995.17834955949</v>
      </c>
      <c r="L696" s="180">
        <f>(L647/L612)*AE80</f>
        <v>0</v>
      </c>
      <c r="M696" s="180">
        <f t="shared" si="21"/>
        <v>842089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9024341.1300000008</v>
      </c>
      <c r="D698" s="180">
        <f>(D615/D612)*AG76</f>
        <v>187925.91258197918</v>
      </c>
      <c r="E698" s="180">
        <f>(E623/E612)*SUM(C698:D698)</f>
        <v>794210.8651596182</v>
      </c>
      <c r="F698" s="180">
        <f>(F624/F612)*AG64</f>
        <v>19106.161039150702</v>
      </c>
      <c r="G698" s="180">
        <f>(G625/G612)*AG77</f>
        <v>70641.688049106728</v>
      </c>
      <c r="H698" s="180">
        <f>(H628/H612)*AG60</f>
        <v>86155.088884204859</v>
      </c>
      <c r="I698" s="180">
        <f>(I629/I612)*AG78</f>
        <v>154188.92326186053</v>
      </c>
      <c r="J698" s="180">
        <f>(J630/J612)*AG79</f>
        <v>106831.93616720327</v>
      </c>
      <c r="K698" s="180">
        <f>(K644/K612)*AG75</f>
        <v>3034243.671991739</v>
      </c>
      <c r="L698" s="180">
        <f>(L647/L612)*AG80</f>
        <v>1202724.0532385097</v>
      </c>
      <c r="M698" s="180">
        <f t="shared" si="21"/>
        <v>5656028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27980277.130000003</v>
      </c>
      <c r="D707" s="180">
        <f>(D615/D612)*AP76</f>
        <v>1540836.5190698039</v>
      </c>
      <c r="E707" s="180">
        <f>(E623/E612)*SUM(C707:D707)</f>
        <v>2545083.539516218</v>
      </c>
      <c r="F707" s="180">
        <f>(F624/F612)*AP64</f>
        <v>61957.986679213049</v>
      </c>
      <c r="G707" s="180">
        <f>(G625/G612)*AP77</f>
        <v>0</v>
      </c>
      <c r="H707" s="180">
        <f>(H628/H612)*AP60</f>
        <v>429271.46670118271</v>
      </c>
      <c r="I707" s="180">
        <f>(I629/I612)*AP78</f>
        <v>1264221.2057599374</v>
      </c>
      <c r="J707" s="180">
        <f>(J630/J612)*AP79</f>
        <v>0</v>
      </c>
      <c r="K707" s="180">
        <f>(K644/K612)*AP75</f>
        <v>2135204.3409144911</v>
      </c>
      <c r="L707" s="180">
        <f>(L647/L612)*AP80</f>
        <v>0</v>
      </c>
      <c r="M707" s="180">
        <f t="shared" si="21"/>
        <v>7976575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401403.51999999996</v>
      </c>
      <c r="D713" s="180">
        <f>(D615/D612)*AV76</f>
        <v>5276.3916166441022</v>
      </c>
      <c r="E713" s="180">
        <f>(E623/E612)*SUM(C713:D713)</f>
        <v>35060.8165129314</v>
      </c>
      <c r="F713" s="180">
        <f>(F624/F612)*AV64</f>
        <v>673.5728129296001</v>
      </c>
      <c r="G713" s="180">
        <f>(G625/G612)*AV77</f>
        <v>0</v>
      </c>
      <c r="H713" s="180">
        <f>(H628/H612)*AV60</f>
        <v>8614.02301956064</v>
      </c>
      <c r="I713" s="180">
        <f>(I629/I612)*AV78</f>
        <v>4329.1589270498334</v>
      </c>
      <c r="J713" s="180">
        <f>(J630/J612)*AV79</f>
        <v>0</v>
      </c>
      <c r="K713" s="180">
        <f>(K644/K612)*AV75</f>
        <v>38115.897379126924</v>
      </c>
      <c r="L713" s="180">
        <f>(L647/L612)*AV80</f>
        <v>0</v>
      </c>
      <c r="M713" s="180">
        <f t="shared" si="21"/>
        <v>92070</v>
      </c>
      <c r="N713" s="199" t="s">
        <v>741</v>
      </c>
    </row>
    <row r="715" spans="1:83" ht="12.65" customHeight="1" x14ac:dyDescent="0.3">
      <c r="C715" s="180">
        <f>SUM(C614:C647)+SUM(C668:C713)</f>
        <v>116324244.31000003</v>
      </c>
      <c r="D715" s="180">
        <f>SUM(D616:D647)+SUM(D668:D713)</f>
        <v>4200837.959999999</v>
      </c>
      <c r="E715" s="180">
        <f>SUM(E624:E647)+SUM(E668:E713)</f>
        <v>9232617.067090977</v>
      </c>
      <c r="F715" s="180">
        <f>SUM(F625:F648)+SUM(F668:F713)</f>
        <v>796645.02700406755</v>
      </c>
      <c r="G715" s="180">
        <f>SUM(G626:G647)+SUM(G668:G713)</f>
        <v>2089343.2648687398</v>
      </c>
      <c r="H715" s="180">
        <f>SUM(H629:H647)+SUM(H668:H713)</f>
        <v>1452635.6207515742</v>
      </c>
      <c r="I715" s="180">
        <f>SUM(I630:I647)+SUM(I668:I713)</f>
        <v>2774402.2656116672</v>
      </c>
      <c r="J715" s="180">
        <f>SUM(J631:J647)+SUM(J668:J713)</f>
        <v>465253.24003838387</v>
      </c>
      <c r="K715" s="180">
        <f>SUM(K668:K713)</f>
        <v>18416950.848665141</v>
      </c>
      <c r="L715" s="180">
        <f>SUM(L668:L713)</f>
        <v>5186673.8811151963</v>
      </c>
      <c r="M715" s="180">
        <f>SUM(M668:M713)</f>
        <v>40302921</v>
      </c>
      <c r="N715" s="198" t="s">
        <v>742</v>
      </c>
    </row>
    <row r="716" spans="1:83" ht="12.65" customHeight="1" x14ac:dyDescent="0.3">
      <c r="C716" s="180">
        <f>CE71</f>
        <v>116324244.30999997</v>
      </c>
      <c r="D716" s="180">
        <f>D615</f>
        <v>4200837.96</v>
      </c>
      <c r="E716" s="180">
        <f>E623</f>
        <v>9232617.067090977</v>
      </c>
      <c r="F716" s="180">
        <f>F624</f>
        <v>796645.02700406755</v>
      </c>
      <c r="G716" s="180">
        <f>G625</f>
        <v>2089343.2648687398</v>
      </c>
      <c r="H716" s="180">
        <f>H628</f>
        <v>1452635.6207515739</v>
      </c>
      <c r="I716" s="180">
        <f>I629</f>
        <v>2774402.2656116672</v>
      </c>
      <c r="J716" s="180">
        <f>J630</f>
        <v>465253.24003838381</v>
      </c>
      <c r="K716" s="180">
        <f>K644</f>
        <v>18416950.848665137</v>
      </c>
      <c r="L716" s="180">
        <f>L647</f>
        <v>5186673.8811151963</v>
      </c>
      <c r="M716" s="180">
        <f>C648</f>
        <v>40302918.910000004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152*2021*A</v>
      </c>
      <c r="B722" s="277">
        <f>ROUND(C165,0)</f>
        <v>3709281</v>
      </c>
      <c r="C722" s="277">
        <f>ROUND(C166,0)</f>
        <v>34736</v>
      </c>
      <c r="D722" s="277">
        <f>ROUND(C167,0)</f>
        <v>214876</v>
      </c>
      <c r="E722" s="277">
        <f>ROUND(C168,0)</f>
        <v>11007063</v>
      </c>
      <c r="F722" s="277">
        <f>ROUND(C169,0)</f>
        <v>90690</v>
      </c>
      <c r="G722" s="277">
        <f>ROUND(C170,0)</f>
        <v>2880081</v>
      </c>
      <c r="H722" s="277">
        <f>ROUND(C171+C172,0)</f>
        <v>224067</v>
      </c>
      <c r="I722" s="277">
        <f>ROUND(C175,0)</f>
        <v>218168</v>
      </c>
      <c r="J722" s="277">
        <f>ROUND(C176,0)</f>
        <v>641217</v>
      </c>
      <c r="K722" s="277">
        <f>ROUND(C179,0)</f>
        <v>471620</v>
      </c>
      <c r="L722" s="277">
        <f>ROUND(C180,0)</f>
        <v>436200</v>
      </c>
      <c r="M722" s="277">
        <f>ROUND(C183,0)</f>
        <v>0</v>
      </c>
      <c r="N722" s="277">
        <f>ROUND(C184,0)</f>
        <v>686823</v>
      </c>
      <c r="O722" s="277">
        <f>ROUND(C185,0)</f>
        <v>0</v>
      </c>
      <c r="P722" s="277">
        <f>ROUND(C188,0)</f>
        <v>0</v>
      </c>
      <c r="Q722" s="277">
        <f>ROUND(C189,0)</f>
        <v>2141746</v>
      </c>
      <c r="R722" s="277">
        <f>ROUND(B195,0)</f>
        <v>2015497</v>
      </c>
      <c r="S722" s="277">
        <f>ROUND(C195,0)</f>
        <v>0</v>
      </c>
      <c r="T722" s="277">
        <f>ROUND(D195,0)</f>
        <v>0</v>
      </c>
      <c r="U722" s="277">
        <f>ROUND(B196,0)</f>
        <v>11010200</v>
      </c>
      <c r="V722" s="277">
        <f>ROUND(C196,0)</f>
        <v>32786</v>
      </c>
      <c r="W722" s="277">
        <f>ROUND(D196,0)</f>
        <v>0</v>
      </c>
      <c r="X722" s="277">
        <f>ROUND(B197,0)</f>
        <v>57334670</v>
      </c>
      <c r="Y722" s="277">
        <f>ROUND(C197,0)</f>
        <v>29609</v>
      </c>
      <c r="Z722" s="277">
        <f>ROUND(D197,0)</f>
        <v>0</v>
      </c>
      <c r="AA722" s="277">
        <f>ROUND(B198,0)</f>
        <v>32196070</v>
      </c>
      <c r="AB722" s="277">
        <f>ROUND(C198,0)</f>
        <v>403918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39071172</v>
      </c>
      <c r="AH722" s="277">
        <f>ROUND(C200,0)</f>
        <v>1914984</v>
      </c>
      <c r="AI722" s="277">
        <f>ROUND(D200,0)</f>
        <v>1038423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1163193</v>
      </c>
      <c r="AN722" s="277">
        <f>ROUND(C202,0)</f>
        <v>0</v>
      </c>
      <c r="AO722" s="277">
        <f>ROUND(D202,0)</f>
        <v>0</v>
      </c>
      <c r="AP722" s="277">
        <f>ROUND(B203,0)</f>
        <v>1538937</v>
      </c>
      <c r="AQ722" s="277">
        <f>ROUND(C203,0)</f>
        <v>3050544</v>
      </c>
      <c r="AR722" s="277">
        <f>ROUND(D203,0)</f>
        <v>1682360</v>
      </c>
      <c r="AS722" s="277"/>
      <c r="AT722" s="277"/>
      <c r="AU722" s="277"/>
      <c r="AV722" s="277">
        <f>ROUND(B209,0)</f>
        <v>2721542</v>
      </c>
      <c r="AW722" s="277">
        <f>ROUND(C209,0)</f>
        <v>766060</v>
      </c>
      <c r="AX722" s="277">
        <f>ROUND(D209,0)</f>
        <v>0</v>
      </c>
      <c r="AY722" s="277">
        <f>ROUND(B210,0)</f>
        <v>21279639</v>
      </c>
      <c r="AZ722" s="277">
        <f>ROUND(C210,0)</f>
        <v>2503630</v>
      </c>
      <c r="BA722" s="277">
        <f>ROUND(D210,0)</f>
        <v>0</v>
      </c>
      <c r="BB722" s="277">
        <f>ROUND(B211,0)</f>
        <v>12303773</v>
      </c>
      <c r="BC722" s="277">
        <f>ROUND(C211,0)</f>
        <v>1810096</v>
      </c>
      <c r="BD722" s="277">
        <f>ROUND(D211,0)</f>
        <v>0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30162458</v>
      </c>
      <c r="BI722" s="277">
        <f>ROUND(C213,0)</f>
        <v>2649087</v>
      </c>
      <c r="BJ722" s="277">
        <f>ROUND(D213,0)</f>
        <v>1022559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473101</v>
      </c>
      <c r="BO722" s="277">
        <f>ROUND(C215,0)</f>
        <v>173233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74649469</v>
      </c>
      <c r="BU722" s="277">
        <f>ROUND(C224,0)</f>
        <v>54134856</v>
      </c>
      <c r="BV722" s="277">
        <f>ROUND(C225,0)</f>
        <v>4620367</v>
      </c>
      <c r="BW722" s="277">
        <f>ROUND(C226,0)</f>
        <v>0</v>
      </c>
      <c r="BX722" s="277">
        <f>ROUND(C227,0)</f>
        <v>27280980</v>
      </c>
      <c r="BY722" s="277">
        <f>ROUND(C228,0)</f>
        <v>0</v>
      </c>
      <c r="BZ722" s="277">
        <f>ROUND(C231,0)</f>
        <v>1741</v>
      </c>
      <c r="CA722" s="277">
        <f>ROUND(C233,0)</f>
        <v>444332</v>
      </c>
      <c r="CB722" s="277">
        <f>ROUND(C234,0)</f>
        <v>3905198</v>
      </c>
      <c r="CC722" s="277">
        <f>ROUND(C238+C239,0)</f>
        <v>4102990</v>
      </c>
      <c r="CD722" s="277">
        <f>D221</f>
        <v>3753986.2000000007</v>
      </c>
      <c r="CE722" s="277"/>
    </row>
    <row r="723" spans="1:84" ht="12.65" customHeight="1" x14ac:dyDescent="0.3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152*2021*A</v>
      </c>
      <c r="B726" s="277">
        <f>ROUND(C111,0)</f>
        <v>1498</v>
      </c>
      <c r="C726" s="277">
        <f>ROUND(C112,0)</f>
        <v>0</v>
      </c>
      <c r="D726" s="277">
        <f>ROUND(C113,0)</f>
        <v>0</v>
      </c>
      <c r="E726" s="277">
        <f>ROUND(C114,0)</f>
        <v>317</v>
      </c>
      <c r="F726" s="277">
        <f>ROUND(D111,0)</f>
        <v>5438</v>
      </c>
      <c r="G726" s="277">
        <f>ROUND(D112,0)</f>
        <v>0</v>
      </c>
      <c r="H726" s="277">
        <f>ROUND(D113,0)</f>
        <v>0</v>
      </c>
      <c r="I726" s="277">
        <f>ROUND(D114,0)</f>
        <v>619</v>
      </c>
      <c r="J726" s="277">
        <f>ROUND(C116,0)</f>
        <v>7</v>
      </c>
      <c r="K726" s="277">
        <f>ROUND(C117,0)</f>
        <v>0</v>
      </c>
      <c r="L726" s="277">
        <f>ROUND(C118,0)</f>
        <v>16</v>
      </c>
      <c r="M726" s="277">
        <f>ROUND(C119,0)</f>
        <v>0</v>
      </c>
      <c r="N726" s="277">
        <f>ROUND(C120,0)</f>
        <v>2</v>
      </c>
      <c r="O726" s="277">
        <f>ROUND(C121,0)</f>
        <v>0</v>
      </c>
      <c r="P726" s="277">
        <f>ROUND(C122,0)</f>
        <v>0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68</v>
      </c>
      <c r="W726" s="277">
        <f>ROUND(C129,0)</f>
        <v>6</v>
      </c>
      <c r="X726" s="277">
        <f>ROUND(B138,0)</f>
        <v>798</v>
      </c>
      <c r="Y726" s="277">
        <f>ROUND(B139,0)</f>
        <v>3165</v>
      </c>
      <c r="Z726" s="277">
        <f>ROUND(B140,0)</f>
        <v>72057</v>
      </c>
      <c r="AA726" s="277">
        <f>ROUND(B141,0)</f>
        <v>38087808</v>
      </c>
      <c r="AB726" s="277">
        <f>ROUND(B142,0)</f>
        <v>94970948</v>
      </c>
      <c r="AC726" s="277">
        <f>ROUND(C138,0)</f>
        <v>416</v>
      </c>
      <c r="AD726" s="277">
        <f>ROUND(C139,0)</f>
        <v>1262</v>
      </c>
      <c r="AE726" s="277">
        <f>ROUND(C140,0)</f>
        <v>57095</v>
      </c>
      <c r="AF726" s="277">
        <f>ROUND(C141,0)</f>
        <v>20153302</v>
      </c>
      <c r="AG726" s="277">
        <f>ROUND(C142,0)</f>
        <v>62490016</v>
      </c>
      <c r="AH726" s="277">
        <f>ROUND(D138,0)</f>
        <v>284</v>
      </c>
      <c r="AI726" s="277">
        <f>ROUND(D139,0)</f>
        <v>1011</v>
      </c>
      <c r="AJ726" s="277">
        <f>ROUND(D140,0)</f>
        <v>58712</v>
      </c>
      <c r="AK726" s="277">
        <f>ROUND(D141,0)</f>
        <v>15242320</v>
      </c>
      <c r="AL726" s="277">
        <f>ROUND(D142,0)</f>
        <v>62327846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6267693</v>
      </c>
      <c r="BR726" s="277">
        <f>ROUND(C157,0)</f>
        <v>2819637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152*2021*A</v>
      </c>
      <c r="B730" s="277">
        <f>ROUND(C250,0)</f>
        <v>86981018</v>
      </c>
      <c r="C730" s="277">
        <f>ROUND(C251,0)</f>
        <v>0</v>
      </c>
      <c r="D730" s="277">
        <f>ROUND(C252,0)</f>
        <v>50076555</v>
      </c>
      <c r="E730" s="277">
        <f>ROUND(C253,0)</f>
        <v>29767403</v>
      </c>
      <c r="F730" s="277">
        <f>ROUND(C254,0)</f>
        <v>0</v>
      </c>
      <c r="G730" s="277">
        <f>ROUND(C255,0)</f>
        <v>293652</v>
      </c>
      <c r="H730" s="277">
        <f>ROUND(C256,0)</f>
        <v>0</v>
      </c>
      <c r="I730" s="277">
        <f>ROUND(C257,0)</f>
        <v>1478869</v>
      </c>
      <c r="J730" s="277">
        <f>ROUND(C258,0)</f>
        <v>1020360</v>
      </c>
      <c r="K730" s="277">
        <f>ROUND(C259,0)</f>
        <v>0</v>
      </c>
      <c r="L730" s="277">
        <f>ROUND(C262,0)</f>
        <v>5130582</v>
      </c>
      <c r="M730" s="277">
        <f>ROUND(C263,0)</f>
        <v>0</v>
      </c>
      <c r="N730" s="277">
        <f>ROUND(C264,0)</f>
        <v>0</v>
      </c>
      <c r="O730" s="277">
        <f>ROUND(C267,0)</f>
        <v>2015497</v>
      </c>
      <c r="P730" s="277">
        <f>ROUND(C268,0)</f>
        <v>11042985</v>
      </c>
      <c r="Q730" s="277">
        <f>ROUND(C269,0)</f>
        <v>57364279</v>
      </c>
      <c r="R730" s="277">
        <f>ROUND(C270,0)</f>
        <v>32599988</v>
      </c>
      <c r="S730" s="277">
        <f>ROUND(C271,0)</f>
        <v>0</v>
      </c>
      <c r="T730" s="277">
        <f>ROUND(C272,0)</f>
        <v>39947733</v>
      </c>
      <c r="U730" s="277">
        <f>ROUND(C273,0)</f>
        <v>1163193</v>
      </c>
      <c r="V730" s="277">
        <f>ROUND(C274,0)</f>
        <v>2907121</v>
      </c>
      <c r="W730" s="277">
        <f>ROUND(C275,0)</f>
        <v>0</v>
      </c>
      <c r="X730" s="277">
        <f>ROUND(C276,0)</f>
        <v>73820061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3278421</v>
      </c>
      <c r="AI730" s="277">
        <f>ROUND(C306,0)</f>
        <v>8182895</v>
      </c>
      <c r="AJ730" s="277">
        <f>ROUND(C307,0)</f>
        <v>80209</v>
      </c>
      <c r="AK730" s="277">
        <f>ROUND(C308,0)</f>
        <v>0</v>
      </c>
      <c r="AL730" s="277">
        <f>ROUND(C309,0)</f>
        <v>13402761</v>
      </c>
      <c r="AM730" s="277">
        <f>ROUND(C310,0)</f>
        <v>0</v>
      </c>
      <c r="AN730" s="277">
        <f>ROUND(C311,0)</f>
        <v>0</v>
      </c>
      <c r="AO730" s="277">
        <f>ROUND(C312,0)</f>
        <v>178431</v>
      </c>
      <c r="AP730" s="277">
        <f>ROUND(C313,0)</f>
        <v>1505000</v>
      </c>
      <c r="AQ730" s="277">
        <f>ROUND(C316,0)</f>
        <v>0</v>
      </c>
      <c r="AR730" s="277">
        <f>ROUND(C317,0)</f>
        <v>3749887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60467251</v>
      </c>
      <c r="AY730" s="277">
        <f>ROUND(C326,0)</f>
        <v>0</v>
      </c>
      <c r="AZ730" s="277">
        <f>ROUND(C327,0)</f>
        <v>0</v>
      </c>
      <c r="BA730" s="277">
        <f>ROUND(C328,0)</f>
        <v>0</v>
      </c>
      <c r="BB730" s="277">
        <f>ROUND(C332,0)</f>
        <v>99094515</v>
      </c>
      <c r="BC730" s="277"/>
      <c r="BD730" s="277"/>
      <c r="BE730" s="277">
        <f>ROUND(C337,0)</f>
        <v>0</v>
      </c>
      <c r="BF730" s="277">
        <f>ROUND(C336,0)</f>
        <v>0</v>
      </c>
      <c r="BG730" s="277"/>
      <c r="BH730" s="277"/>
      <c r="BI730" s="277">
        <f>ROUND(CE60,2)</f>
        <v>590.53</v>
      </c>
      <c r="BJ730" s="277">
        <f>ROUND(C359,0)</f>
        <v>73483430</v>
      </c>
      <c r="BK730" s="277">
        <f>ROUND(C360,0)</f>
        <v>219788811</v>
      </c>
      <c r="BL730" s="277">
        <f>ROUND(C364,0)</f>
        <v>160685672</v>
      </c>
      <c r="BM730" s="277">
        <f>ROUND(C365,0)</f>
        <v>4349530</v>
      </c>
      <c r="BN730" s="277">
        <f>ROUND(C366,0)</f>
        <v>4102990</v>
      </c>
      <c r="BO730" s="277">
        <f>ROUND(C370,0)</f>
        <v>8278334</v>
      </c>
      <c r="BP730" s="277">
        <f>ROUND(C371,0)</f>
        <v>2332920</v>
      </c>
      <c r="BQ730" s="277">
        <f>ROUND(C378,0)</f>
        <v>53021197</v>
      </c>
      <c r="BR730" s="277">
        <f>ROUND(C379,0)</f>
        <v>18160795</v>
      </c>
      <c r="BS730" s="277">
        <f>ROUND(C380,0)</f>
        <v>8144595</v>
      </c>
      <c r="BT730" s="277">
        <f>ROUND(C381,0)</f>
        <v>14691259</v>
      </c>
      <c r="BU730" s="277">
        <f>ROUND(C382,0)</f>
        <v>1239606</v>
      </c>
      <c r="BV730" s="277">
        <f>ROUND(C383,0)</f>
        <v>15654401</v>
      </c>
      <c r="BW730" s="277">
        <f>ROUND(C384,0)</f>
        <v>7902106</v>
      </c>
      <c r="BX730" s="277">
        <f>ROUND(C385,0)</f>
        <v>859385</v>
      </c>
      <c r="BY730" s="277">
        <f>ROUND(C386,0)</f>
        <v>907820</v>
      </c>
      <c r="BZ730" s="277">
        <f>ROUND(C387,0)</f>
        <v>686823</v>
      </c>
      <c r="CA730" s="277">
        <f>ROUND(C388,0)</f>
        <v>2141746</v>
      </c>
      <c r="CB730" s="277">
        <f>C363</f>
        <v>3753986.2000000007</v>
      </c>
      <c r="CC730" s="277">
        <f>ROUND(C389,0)</f>
        <v>1192845</v>
      </c>
      <c r="CD730" s="277">
        <f>ROUND(C392,0)</f>
        <v>672842</v>
      </c>
      <c r="CE730" s="277">
        <f>ROUND(C394,0)</f>
        <v>0</v>
      </c>
      <c r="CF730" s="201">
        <f>ROUND(C395,0)</f>
        <v>0</v>
      </c>
    </row>
    <row r="731" spans="1:84" ht="12.65" customHeight="1" x14ac:dyDescent="0.3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152*2021*6010*A</v>
      </c>
      <c r="B734" s="277">
        <f>ROUND(C59,0)</f>
        <v>1166</v>
      </c>
      <c r="C734" s="277">
        <f>ROUND(C60,2)</f>
        <v>19.98</v>
      </c>
      <c r="D734" s="277">
        <f>ROUND(C61,0)</f>
        <v>2122612</v>
      </c>
      <c r="E734" s="277">
        <f>ROUND(C62,0)</f>
        <v>686356</v>
      </c>
      <c r="F734" s="277">
        <f>ROUND(C63,0)</f>
        <v>186079</v>
      </c>
      <c r="G734" s="277">
        <f>ROUND(C64,0)</f>
        <v>320092</v>
      </c>
      <c r="H734" s="277">
        <f>ROUND(C65,0)</f>
        <v>615</v>
      </c>
      <c r="I734" s="277">
        <f>ROUND(C66,0)</f>
        <v>5725</v>
      </c>
      <c r="J734" s="277">
        <f>ROUND(C67,0)</f>
        <v>200724</v>
      </c>
      <c r="K734" s="277">
        <f>ROUND(C68,0)</f>
        <v>1666</v>
      </c>
      <c r="L734" s="277">
        <f>ROUND(C69,0)</f>
        <v>335</v>
      </c>
      <c r="M734" s="277">
        <f>ROUND(C70,0)</f>
        <v>0</v>
      </c>
      <c r="N734" s="277">
        <f>ROUND(C75,0)</f>
        <v>14327421</v>
      </c>
      <c r="O734" s="277">
        <f>ROUND(C73,0)</f>
        <v>11732207</v>
      </c>
      <c r="P734" s="277">
        <f>IF(C76&gt;0,ROUND(C76,0),0)</f>
        <v>6518</v>
      </c>
      <c r="Q734" s="277">
        <f>IF(C77&gt;0,ROUND(C77,0),0)</f>
        <v>5461</v>
      </c>
      <c r="R734" s="277">
        <f>IF(C78&gt;0,ROUND(C78,0),0)</f>
        <v>6518</v>
      </c>
      <c r="S734" s="277">
        <f>IF(C79&gt;0,ROUND(C79,0),0)</f>
        <v>31193</v>
      </c>
      <c r="T734" s="277">
        <f>IF(C80&gt;0,ROUND(C80,2),0)</f>
        <v>19.98</v>
      </c>
      <c r="U734" s="277"/>
      <c r="V734" s="277"/>
      <c r="W734" s="277"/>
      <c r="X734" s="277"/>
      <c r="Y734" s="277">
        <f>IF(M668&lt;&gt;0,ROUND(M668,0),0)</f>
        <v>2704061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">
      <c r="A735" s="209" t="str">
        <f>RIGHT($C$83,3)&amp;"*"&amp;RIGHT($C$82,4)&amp;"*"&amp;D$55&amp;"*"&amp;"A"</f>
        <v>152*2021*6030*A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2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">
      <c r="A736" s="209" t="str">
        <f>RIGHT($C$83,3)&amp;"*"&amp;RIGHT($C$82,4)&amp;"*"&amp;E$55&amp;"*"&amp;"A"</f>
        <v>152*2021*6070*A</v>
      </c>
      <c r="B736" s="277">
        <f>ROUND(E59,0)</f>
        <v>4272</v>
      </c>
      <c r="C736" s="279">
        <f>ROUND(E60,2)</f>
        <v>48.05</v>
      </c>
      <c r="D736" s="277">
        <f>ROUND(E61,0)</f>
        <v>4659053</v>
      </c>
      <c r="E736" s="277">
        <f>ROUND(E62,0)</f>
        <v>1567618</v>
      </c>
      <c r="F736" s="277">
        <f>ROUND(E63,0)</f>
        <v>964318</v>
      </c>
      <c r="G736" s="277">
        <f>ROUND(E64,0)</f>
        <v>218344</v>
      </c>
      <c r="H736" s="277">
        <f>ROUND(E65,0)</f>
        <v>1139</v>
      </c>
      <c r="I736" s="277">
        <f>ROUND(E66,0)</f>
        <v>10524</v>
      </c>
      <c r="J736" s="277">
        <f>ROUND(E67,0)</f>
        <v>592913</v>
      </c>
      <c r="K736" s="277">
        <f>ROUND(E68,0)</f>
        <v>4261</v>
      </c>
      <c r="L736" s="277">
        <f>ROUND(E69,0)</f>
        <v>6926</v>
      </c>
      <c r="M736" s="277">
        <f>ROUND(E70,0)</f>
        <v>0</v>
      </c>
      <c r="N736" s="277">
        <f>ROUND(E75,0)</f>
        <v>29715637</v>
      </c>
      <c r="O736" s="277">
        <f>ROUND(E73,0)</f>
        <v>22071399</v>
      </c>
      <c r="P736" s="277">
        <f>IF(E76&gt;0,ROUND(E76,0),0)</f>
        <v>19254</v>
      </c>
      <c r="Q736" s="277">
        <f>IF(E77&gt;0,ROUND(E77,0),0)</f>
        <v>26275</v>
      </c>
      <c r="R736" s="277">
        <f>IF(E78&gt;0,ROUND(E78,0),0)</f>
        <v>19254</v>
      </c>
      <c r="S736" s="277">
        <f>IF(E79&gt;0,ROUND(E79,0),0)</f>
        <v>58134</v>
      </c>
      <c r="T736" s="279">
        <f>IF(E80&gt;0,ROUND(E80,2),0)</f>
        <v>48.05</v>
      </c>
      <c r="U736" s="277"/>
      <c r="V736" s="278"/>
      <c r="W736" s="277"/>
      <c r="X736" s="277"/>
      <c r="Y736" s="277">
        <f t="shared" si="22"/>
        <v>7069084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">
      <c r="A737" s="209" t="str">
        <f>RIGHT($C$83,3)&amp;"*"&amp;RIGHT($C$82,4)&amp;"*"&amp;F$55&amp;"*"&amp;"A"</f>
        <v>152*2021*6100*A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>
        <f t="shared" si="22"/>
        <v>0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">
      <c r="A738" s="209" t="str">
        <f>RIGHT($C$83,3)&amp;"*"&amp;RIGHT($C$82,4)&amp;"*"&amp;G$55&amp;"*"&amp;"A"</f>
        <v>152*2021*6120*A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>
        <f t="shared" si="22"/>
        <v>0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">
      <c r="A739" s="209" t="str">
        <f>RIGHT($C$83,3)&amp;"*"&amp;RIGHT($C$82,4)&amp;"*"&amp;H$55&amp;"*"&amp;"A"</f>
        <v>152*2021*6140*A</v>
      </c>
      <c r="B739" s="277">
        <f>ROUND(H59,0)</f>
        <v>0</v>
      </c>
      <c r="C739" s="279">
        <f>ROUND(H60,2)</f>
        <v>0</v>
      </c>
      <c r="D739" s="277">
        <f>ROUND(H61,0)</f>
        <v>0</v>
      </c>
      <c r="E739" s="277">
        <f>ROUND(H62,0)</f>
        <v>0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0</v>
      </c>
      <c r="J739" s="277">
        <f>ROUND(H67,0)</f>
        <v>0</v>
      </c>
      <c r="K739" s="277">
        <f>ROUND(H68,0)</f>
        <v>0</v>
      </c>
      <c r="L739" s="277">
        <f>ROUND(H69,0)</f>
        <v>0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0</v>
      </c>
      <c r="Q739" s="277">
        <f>IF(H77&gt;0,ROUND(H77,0),0)</f>
        <v>0</v>
      </c>
      <c r="R739" s="277">
        <f>IF(H78&gt;0,ROUND(H78,0),0)</f>
        <v>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>
        <f t="shared" si="22"/>
        <v>0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">
      <c r="A740" s="209" t="str">
        <f>RIGHT($C$83,3)&amp;"*"&amp;RIGHT($C$82,4)&amp;"*"&amp;I$55&amp;"*"&amp;"A"</f>
        <v>152*2021*6150*A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2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">
      <c r="A741" s="209" t="str">
        <f>RIGHT($C$83,3)&amp;"*"&amp;RIGHT($C$82,4)&amp;"*"&amp;J$55&amp;"*"&amp;"A"</f>
        <v>152*2021*6170*A</v>
      </c>
      <c r="B741" s="277">
        <f>ROUND(J59,0)</f>
        <v>619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30400</v>
      </c>
      <c r="H741" s="277">
        <f>ROUND(J65,0)</f>
        <v>0</v>
      </c>
      <c r="I741" s="277">
        <f>ROUND(J66,0)</f>
        <v>3221</v>
      </c>
      <c r="J741" s="277">
        <f>ROUND(J67,0)</f>
        <v>14844</v>
      </c>
      <c r="K741" s="277">
        <f>ROUND(J68,0)</f>
        <v>839</v>
      </c>
      <c r="L741" s="277">
        <f>ROUND(J69,0)</f>
        <v>801</v>
      </c>
      <c r="M741" s="277">
        <f>ROUND(J70,0)</f>
        <v>0</v>
      </c>
      <c r="N741" s="277">
        <f>ROUND(J75,0)</f>
        <v>1347157</v>
      </c>
      <c r="O741" s="277">
        <f>ROUND(J73,0)</f>
        <v>1261579</v>
      </c>
      <c r="P741" s="277">
        <f>IF(J76&gt;0,ROUND(J76,0),0)</f>
        <v>482</v>
      </c>
      <c r="Q741" s="277">
        <f>IF(J77&gt;0,ROUND(J77,0),0)</f>
        <v>0</v>
      </c>
      <c r="R741" s="277">
        <f>IF(J78&gt;0,ROUND(J78,0),0)</f>
        <v>482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2"/>
        <v>108697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">
      <c r="A742" s="209" t="str">
        <f>RIGHT($C$83,3)&amp;"*"&amp;RIGHT($C$82,4)&amp;"*"&amp;K$55&amp;"*"&amp;"A"</f>
        <v>152*2021*6200*A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>
        <f t="shared" si="22"/>
        <v>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">
      <c r="A743" s="209" t="str">
        <f>RIGHT($C$83,3)&amp;"*"&amp;RIGHT($C$82,4)&amp;"*"&amp;L$55&amp;"*"&amp;"A"</f>
        <v>152*2021*6210*A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2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">
      <c r="A744" s="209" t="str">
        <f>RIGHT($C$83,3)&amp;"*"&amp;RIGHT($C$82,4)&amp;"*"&amp;M$55&amp;"*"&amp;"A"</f>
        <v>152*2021*6330*A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2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">
      <c r="A745" s="209" t="str">
        <f>RIGHT($C$83,3)&amp;"*"&amp;RIGHT($C$82,4)&amp;"*"&amp;N$55&amp;"*"&amp;"A"</f>
        <v>152*2021*6400*A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>
        <f t="shared" si="22"/>
        <v>0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">
      <c r="A746" s="209" t="str">
        <f>RIGHT($C$83,3)&amp;"*"&amp;RIGHT($C$82,4)&amp;"*"&amp;O$55&amp;"*"&amp;"A"</f>
        <v>152*2021*7010*A</v>
      </c>
      <c r="B746" s="277">
        <f>ROUND(O59,0)</f>
        <v>883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75112</v>
      </c>
      <c r="H746" s="277">
        <f>ROUND(O65,0)</f>
        <v>0</v>
      </c>
      <c r="I746" s="277">
        <f>ROUND(O66,0)</f>
        <v>8662</v>
      </c>
      <c r="J746" s="277">
        <f>ROUND(O67,0)</f>
        <v>30022</v>
      </c>
      <c r="K746" s="277">
        <f>ROUND(O68,0)</f>
        <v>1206</v>
      </c>
      <c r="L746" s="277">
        <f>ROUND(O69,0)</f>
        <v>4836</v>
      </c>
      <c r="M746" s="277">
        <f>ROUND(O70,0)</f>
        <v>0</v>
      </c>
      <c r="N746" s="277">
        <f>ROUND(O75,0)</f>
        <v>3179637</v>
      </c>
      <c r="O746" s="277">
        <f>ROUND(O73,0)</f>
        <v>2477640</v>
      </c>
      <c r="P746" s="277">
        <f>IF(O76&gt;0,ROUND(O76,0),0)</f>
        <v>975</v>
      </c>
      <c r="Q746" s="277">
        <f>IF(O77&gt;0,ROUND(O77,0),0)</f>
        <v>0</v>
      </c>
      <c r="R746" s="277">
        <f>IF(O78&gt;0,ROUND(O78,0),0)</f>
        <v>975</v>
      </c>
      <c r="S746" s="277">
        <f>IF(O79&gt;0,ROUND(O79,0),0)</f>
        <v>29403</v>
      </c>
      <c r="T746" s="279">
        <f>IF(O80&gt;0,ROUND(O80,2),0)</f>
        <v>0</v>
      </c>
      <c r="U746" s="277"/>
      <c r="V746" s="278"/>
      <c r="W746" s="277"/>
      <c r="X746" s="277"/>
      <c r="Y746" s="277">
        <f t="shared" si="22"/>
        <v>302389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">
      <c r="A747" s="209" t="str">
        <f>RIGHT($C$83,3)&amp;"*"&amp;RIGHT($C$82,4)&amp;"*"&amp;P$55&amp;"*"&amp;"A"</f>
        <v>152*2021*7020*A</v>
      </c>
      <c r="B747" s="277">
        <f>ROUND(P59,0)</f>
        <v>133270</v>
      </c>
      <c r="C747" s="279">
        <f>ROUND(P60,2)</f>
        <v>16.61</v>
      </c>
      <c r="D747" s="277">
        <f>ROUND(P61,0)</f>
        <v>1410229</v>
      </c>
      <c r="E747" s="277">
        <f>ROUND(P62,0)</f>
        <v>490976</v>
      </c>
      <c r="F747" s="277">
        <f>ROUND(P63,0)</f>
        <v>223065</v>
      </c>
      <c r="G747" s="277">
        <f>ROUND(P64,0)</f>
        <v>852489</v>
      </c>
      <c r="H747" s="277">
        <f>ROUND(P65,0)</f>
        <v>615</v>
      </c>
      <c r="I747" s="277">
        <f>ROUND(P66,0)</f>
        <v>198001</v>
      </c>
      <c r="J747" s="277">
        <f>ROUND(P67,0)</f>
        <v>202182</v>
      </c>
      <c r="K747" s="277">
        <f>ROUND(P68,0)</f>
        <v>123312</v>
      </c>
      <c r="L747" s="277">
        <f>ROUND(P69,0)</f>
        <v>7664</v>
      </c>
      <c r="M747" s="277">
        <f>ROUND(P70,0)</f>
        <v>0</v>
      </c>
      <c r="N747" s="277">
        <f>ROUND(P75,0)</f>
        <v>19415422</v>
      </c>
      <c r="O747" s="277">
        <f>ROUND(P73,0)</f>
        <v>4774045</v>
      </c>
      <c r="P747" s="277">
        <f>IF(P76&gt;0,ROUND(P76,0),0)</f>
        <v>6566</v>
      </c>
      <c r="Q747" s="277">
        <f>IF(P77&gt;0,ROUND(P77,0),0)</f>
        <v>281</v>
      </c>
      <c r="R747" s="277">
        <f>IF(P78&gt;0,ROUND(P78,0),0)</f>
        <v>6566</v>
      </c>
      <c r="S747" s="277">
        <f>IF(P79&gt;0,ROUND(P79,0),0)</f>
        <v>30333</v>
      </c>
      <c r="T747" s="279">
        <f>IF(P80&gt;0,ROUND(P80,2),0)</f>
        <v>16.61</v>
      </c>
      <c r="U747" s="277"/>
      <c r="V747" s="278"/>
      <c r="W747" s="277"/>
      <c r="X747" s="277"/>
      <c r="Y747" s="277">
        <f t="shared" si="22"/>
        <v>2583596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">
      <c r="A748" s="209" t="str">
        <f>RIGHT($C$83,3)&amp;"*"&amp;RIGHT($C$82,4)&amp;"*"&amp;Q$55&amp;"*"&amp;"A"</f>
        <v>152*2021*7030*A</v>
      </c>
      <c r="B748" s="277">
        <f>ROUND(Q59,0)</f>
        <v>121066</v>
      </c>
      <c r="C748" s="279">
        <f>ROUND(Q60,2)</f>
        <v>13.1</v>
      </c>
      <c r="D748" s="277">
        <f>ROUND(Q61,0)</f>
        <v>1401260</v>
      </c>
      <c r="E748" s="277">
        <f>ROUND(Q62,0)</f>
        <v>484609</v>
      </c>
      <c r="F748" s="277">
        <f>ROUND(Q63,0)</f>
        <v>0</v>
      </c>
      <c r="G748" s="277">
        <f>ROUND(Q64,0)</f>
        <v>108313</v>
      </c>
      <c r="H748" s="277">
        <f>ROUND(Q65,0)</f>
        <v>0</v>
      </c>
      <c r="I748" s="277">
        <f>ROUND(Q66,0)</f>
        <v>6786</v>
      </c>
      <c r="J748" s="277">
        <f>ROUND(Q67,0)</f>
        <v>223177</v>
      </c>
      <c r="K748" s="277">
        <f>ROUND(Q68,0)</f>
        <v>2750</v>
      </c>
      <c r="L748" s="277">
        <f>ROUND(Q69,0)</f>
        <v>2164</v>
      </c>
      <c r="M748" s="277">
        <f>ROUND(Q70,0)</f>
        <v>0</v>
      </c>
      <c r="N748" s="277">
        <f>ROUND(Q75,0)</f>
        <v>6807627</v>
      </c>
      <c r="O748" s="277">
        <f>ROUND(Q73,0)</f>
        <v>933279</v>
      </c>
      <c r="P748" s="277">
        <f>IF(Q76&gt;0,ROUND(Q76,0),0)</f>
        <v>7247</v>
      </c>
      <c r="Q748" s="277">
        <f>IF(Q77&gt;0,ROUND(Q77,0),0)</f>
        <v>0</v>
      </c>
      <c r="R748" s="277">
        <f>IF(Q78&gt;0,ROUND(Q78,0),0)</f>
        <v>7247</v>
      </c>
      <c r="S748" s="277">
        <f>IF(Q79&gt;0,ROUND(Q79,0),0)</f>
        <v>20847</v>
      </c>
      <c r="T748" s="279">
        <f>IF(Q80&gt;0,ROUND(Q80,2),0)</f>
        <v>13.1</v>
      </c>
      <c r="U748" s="277"/>
      <c r="V748" s="278"/>
      <c r="W748" s="277"/>
      <c r="X748" s="277"/>
      <c r="Y748" s="277">
        <f t="shared" si="22"/>
        <v>1484601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">
      <c r="A749" s="209" t="str">
        <f>RIGHT($C$83,3)&amp;"*"&amp;RIGHT($C$82,4)&amp;"*"&amp;R$55&amp;"*"&amp;"A"</f>
        <v>152*2021*7040*A</v>
      </c>
      <c r="B749" s="277">
        <f>ROUND(R59,0)</f>
        <v>133270</v>
      </c>
      <c r="C749" s="279">
        <f>ROUND(R60,2)</f>
        <v>3.94</v>
      </c>
      <c r="D749" s="277">
        <f>ROUND(R61,0)</f>
        <v>903137</v>
      </c>
      <c r="E749" s="277">
        <f>ROUND(R62,0)</f>
        <v>209111</v>
      </c>
      <c r="F749" s="277">
        <f>ROUND(R63,0)</f>
        <v>113558</v>
      </c>
      <c r="G749" s="277">
        <f>ROUND(R64,0)</f>
        <v>55471</v>
      </c>
      <c r="H749" s="277">
        <f>ROUND(R65,0)</f>
        <v>0</v>
      </c>
      <c r="I749" s="277">
        <f>ROUND(R66,0)</f>
        <v>58160</v>
      </c>
      <c r="J749" s="277">
        <f>ROUND(R67,0)</f>
        <v>9596</v>
      </c>
      <c r="K749" s="277">
        <f>ROUND(R68,0)</f>
        <v>1084</v>
      </c>
      <c r="L749" s="277">
        <f>ROUND(R69,0)</f>
        <v>17646</v>
      </c>
      <c r="M749" s="277">
        <f>ROUND(R70,0)</f>
        <v>1971107</v>
      </c>
      <c r="N749" s="277">
        <f>ROUND(R75,0)</f>
        <v>2314795</v>
      </c>
      <c r="O749" s="277">
        <f>ROUND(R73,0)</f>
        <v>394581</v>
      </c>
      <c r="P749" s="277">
        <f>IF(R76&gt;0,ROUND(R76,0),0)</f>
        <v>312</v>
      </c>
      <c r="Q749" s="277">
        <f>IF(R77&gt;0,ROUND(R77,0),0)</f>
        <v>0</v>
      </c>
      <c r="R749" s="277">
        <f>IF(R78&gt;0,ROUND(R78,0),0)</f>
        <v>312</v>
      </c>
      <c r="S749" s="277">
        <f>IF(R79&gt;0,ROUND(R79,0),0)</f>
        <v>0</v>
      </c>
      <c r="T749" s="279">
        <f>IF(R80&gt;0,ROUND(R80,2),0)</f>
        <v>3.94</v>
      </c>
      <c r="U749" s="277"/>
      <c r="V749" s="278"/>
      <c r="W749" s="277"/>
      <c r="X749" s="277"/>
      <c r="Y749" s="277">
        <f t="shared" si="22"/>
        <v>273545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">
      <c r="A750" s="209" t="str">
        <f>RIGHT($C$83,3)&amp;"*"&amp;RIGHT($C$82,4)&amp;"*"&amp;S$55&amp;"*"&amp;"A"</f>
        <v>152*2021*7050*A</v>
      </c>
      <c r="B750" s="277"/>
      <c r="C750" s="279">
        <f>ROUND(S60,2)</f>
        <v>0</v>
      </c>
      <c r="D750" s="277">
        <f>ROUND(S61,0)</f>
        <v>0</v>
      </c>
      <c r="E750" s="277">
        <f>ROUND(S62,0)</f>
        <v>0</v>
      </c>
      <c r="F750" s="277">
        <f>ROUND(S63,0)</f>
        <v>0</v>
      </c>
      <c r="G750" s="277">
        <f>ROUND(S64,0)</f>
        <v>4611450</v>
      </c>
      <c r="H750" s="277">
        <f>ROUND(S65,0)</f>
        <v>0</v>
      </c>
      <c r="I750" s="277">
        <f>ROUND(S66,0)</f>
        <v>110</v>
      </c>
      <c r="J750" s="277">
        <f>ROUND(S67,0)</f>
        <v>91472</v>
      </c>
      <c r="K750" s="277">
        <f>ROUND(S68,0)</f>
        <v>89779</v>
      </c>
      <c r="L750" s="277">
        <f>ROUND(S69,0)</f>
        <v>0</v>
      </c>
      <c r="M750" s="277">
        <f>ROUND(S70,0)</f>
        <v>0</v>
      </c>
      <c r="N750" s="277">
        <f>ROUND(S75,0)</f>
        <v>9219258</v>
      </c>
      <c r="O750" s="277">
        <f>ROUND(S73,0)</f>
        <v>3531153</v>
      </c>
      <c r="P750" s="277">
        <f>IF(S76&gt;0,ROUND(S76,0),0)</f>
        <v>2970</v>
      </c>
      <c r="Q750" s="277">
        <f>IF(S77&gt;0,ROUND(S77,0),0)</f>
        <v>0</v>
      </c>
      <c r="R750" s="277">
        <f>IF(S78&gt;0,ROUND(S78,0),0)</f>
        <v>2970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>
        <f t="shared" si="22"/>
        <v>1358365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">
      <c r="A751" s="209" t="str">
        <f>RIGHT($C$83,3)&amp;"*"&amp;RIGHT($C$82,4)&amp;"*"&amp;T$55&amp;"*"&amp;"A"</f>
        <v>152*2021*7060*A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>
        <f t="shared" si="22"/>
        <v>0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">
      <c r="A752" s="209" t="str">
        <f>RIGHT($C$83,3)&amp;"*"&amp;RIGHT($C$82,4)&amp;"*"&amp;U$55&amp;"*"&amp;"A"</f>
        <v>152*2021*7070*A</v>
      </c>
      <c r="B752" s="277">
        <f>ROUND(U59,0)</f>
        <v>263013</v>
      </c>
      <c r="C752" s="279">
        <f>ROUND(U60,2)</f>
        <v>27.92</v>
      </c>
      <c r="D752" s="277">
        <f>ROUND(U61,0)</f>
        <v>1925403</v>
      </c>
      <c r="E752" s="277">
        <f>ROUND(U62,0)</f>
        <v>708880</v>
      </c>
      <c r="F752" s="277">
        <f>ROUND(U63,0)</f>
        <v>164966</v>
      </c>
      <c r="G752" s="277">
        <f>ROUND(U64,0)</f>
        <v>2026809</v>
      </c>
      <c r="H752" s="277">
        <f>ROUND(U65,0)</f>
        <v>108</v>
      </c>
      <c r="I752" s="277">
        <f>ROUND(U66,0)</f>
        <v>1089953</v>
      </c>
      <c r="J752" s="277">
        <f>ROUND(U67,0)</f>
        <v>135280</v>
      </c>
      <c r="K752" s="277">
        <f>ROUND(U68,0)</f>
        <v>4454</v>
      </c>
      <c r="L752" s="277">
        <f>ROUND(U69,0)</f>
        <v>1991</v>
      </c>
      <c r="M752" s="277">
        <f>ROUND(U70,0)</f>
        <v>0</v>
      </c>
      <c r="N752" s="277">
        <f>ROUND(U75,0)</f>
        <v>37157735</v>
      </c>
      <c r="O752" s="277">
        <f>ROUND(U73,0)</f>
        <v>5930684</v>
      </c>
      <c r="P752" s="277">
        <f>IF(U76&gt;0,ROUND(U76,0),0)</f>
        <v>4393</v>
      </c>
      <c r="Q752" s="277">
        <f>IF(U77&gt;0,ROUND(U77,0),0)</f>
        <v>0</v>
      </c>
      <c r="R752" s="277">
        <f>IF(U78&gt;0,ROUND(U78,0),0)</f>
        <v>4393</v>
      </c>
      <c r="S752" s="277">
        <f>IF(U79&gt;0,ROUND(U79,0),0)</f>
        <v>611</v>
      </c>
      <c r="T752" s="279">
        <f>IF(U80&gt;0,ROUND(U80,2),0)</f>
        <v>0</v>
      </c>
      <c r="U752" s="277"/>
      <c r="V752" s="278"/>
      <c r="W752" s="277"/>
      <c r="X752" s="277"/>
      <c r="Y752" s="277">
        <f t="shared" si="22"/>
        <v>3212014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">
      <c r="A753" s="209" t="str">
        <f>RIGHT($C$83,3)&amp;"*"&amp;RIGHT($C$82,4)&amp;"*"&amp;V$55&amp;"*"&amp;"A"</f>
        <v>152*2021*7110*A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>
        <f t="shared" si="22"/>
        <v>0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">
      <c r="A754" s="209" t="str">
        <f>RIGHT($C$83,3)&amp;"*"&amp;RIGHT($C$82,4)&amp;"*"&amp;W$55&amp;"*"&amp;"A"</f>
        <v>152*2021*7120*A</v>
      </c>
      <c r="B754" s="277">
        <f>ROUND(W59,0)</f>
        <v>2000</v>
      </c>
      <c r="C754" s="279">
        <f>ROUND(W60,2)</f>
        <v>2.0699999999999998</v>
      </c>
      <c r="D754" s="277">
        <f>ROUND(W61,0)</f>
        <v>209440</v>
      </c>
      <c r="E754" s="277">
        <f>ROUND(W62,0)</f>
        <v>83905</v>
      </c>
      <c r="F754" s="277">
        <f>ROUND(W63,0)</f>
        <v>0</v>
      </c>
      <c r="G754" s="277">
        <f>ROUND(W64,0)</f>
        <v>23973</v>
      </c>
      <c r="H754" s="277">
        <f>ROUND(W65,0)</f>
        <v>0</v>
      </c>
      <c r="I754" s="277">
        <f>ROUND(W66,0)</f>
        <v>10729</v>
      </c>
      <c r="J754" s="277">
        <f>ROUND(W67,0)</f>
        <v>65823</v>
      </c>
      <c r="K754" s="277">
        <f>ROUND(W68,0)</f>
        <v>0</v>
      </c>
      <c r="L754" s="277">
        <f>ROUND(W69,0)</f>
        <v>0</v>
      </c>
      <c r="M754" s="277">
        <f>ROUND(W70,0)</f>
        <v>0</v>
      </c>
      <c r="N754" s="277">
        <f>ROUND(W75,0)</f>
        <v>8270688</v>
      </c>
      <c r="O754" s="277">
        <f>ROUND(W73,0)</f>
        <v>452353</v>
      </c>
      <c r="P754" s="277">
        <f>IF(W76&gt;0,ROUND(W76,0),0)</f>
        <v>2137</v>
      </c>
      <c r="Q754" s="277">
        <f>IF(W77&gt;0,ROUND(W77,0),0)</f>
        <v>0</v>
      </c>
      <c r="R754" s="277">
        <f>IF(W78&gt;0,ROUND(W78,0),0)</f>
        <v>2137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>
        <f t="shared" si="22"/>
        <v>640722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">
      <c r="A755" s="209" t="str">
        <f>RIGHT($C$83,3)&amp;"*"&amp;RIGHT($C$82,4)&amp;"*"&amp;X$55&amp;"*"&amp;"A"</f>
        <v>152*2021*7130*A</v>
      </c>
      <c r="B755" s="277">
        <f>ROUND(X59,0)</f>
        <v>33716</v>
      </c>
      <c r="C755" s="279">
        <f>ROUND(X60,2)</f>
        <v>3.95</v>
      </c>
      <c r="D755" s="277">
        <f>ROUND(X61,0)</f>
        <v>432159</v>
      </c>
      <c r="E755" s="277">
        <f>ROUND(X62,0)</f>
        <v>148908</v>
      </c>
      <c r="F755" s="277">
        <f>ROUND(X63,0)</f>
        <v>0</v>
      </c>
      <c r="G755" s="277">
        <f>ROUND(X64,0)</f>
        <v>152405</v>
      </c>
      <c r="H755" s="277">
        <f>ROUND(X65,0)</f>
        <v>0</v>
      </c>
      <c r="I755" s="277">
        <f>ROUND(X66,0)</f>
        <v>90982</v>
      </c>
      <c r="J755" s="277">
        <f>ROUND(X67,0)</f>
        <v>24379</v>
      </c>
      <c r="K755" s="277">
        <f>ROUND(X68,0)</f>
        <v>0</v>
      </c>
      <c r="L755" s="277">
        <f>ROUND(X69,0)</f>
        <v>60</v>
      </c>
      <c r="M755" s="277">
        <f>ROUND(X70,0)</f>
        <v>0</v>
      </c>
      <c r="N755" s="277">
        <f>ROUND(X75,0)</f>
        <v>29797459</v>
      </c>
      <c r="O755" s="277">
        <f>ROUND(X73,0)</f>
        <v>2693873</v>
      </c>
      <c r="P755" s="277">
        <f>IF(X76&gt;0,ROUND(X76,0),0)</f>
        <v>792</v>
      </c>
      <c r="Q755" s="277">
        <f>IF(X77&gt;0,ROUND(X77,0),0)</f>
        <v>0</v>
      </c>
      <c r="R755" s="277">
        <f>IF(X78&gt;0,ROUND(X78,0),0)</f>
        <v>792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>
        <f t="shared" si="22"/>
        <v>1993644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">
      <c r="A756" s="209" t="str">
        <f>RIGHT($C$83,3)&amp;"*"&amp;RIGHT($C$82,4)&amp;"*"&amp;Y$55&amp;"*"&amp;"A"</f>
        <v>152*2021*7140*A</v>
      </c>
      <c r="B756" s="277">
        <f>ROUND(Y59,0)</f>
        <v>23754</v>
      </c>
      <c r="C756" s="279">
        <f>ROUND(Y60,2)</f>
        <v>23.6</v>
      </c>
      <c r="D756" s="277">
        <f>ROUND(Y61,0)</f>
        <v>1942599</v>
      </c>
      <c r="E756" s="277">
        <f>ROUND(Y62,0)</f>
        <v>707662</v>
      </c>
      <c r="F756" s="277">
        <f>ROUND(Y63,0)</f>
        <v>0</v>
      </c>
      <c r="G756" s="277">
        <f>ROUND(Y64,0)</f>
        <v>65569</v>
      </c>
      <c r="H756" s="277">
        <f>ROUND(Y65,0)</f>
        <v>0</v>
      </c>
      <c r="I756" s="277">
        <f>ROUND(Y66,0)</f>
        <v>663581</v>
      </c>
      <c r="J756" s="277">
        <f>ROUND(Y67,0)</f>
        <v>215322</v>
      </c>
      <c r="K756" s="277">
        <f>ROUND(Y68,0)</f>
        <v>4770</v>
      </c>
      <c r="L756" s="277">
        <f>ROUND(Y69,0)</f>
        <v>0</v>
      </c>
      <c r="M756" s="277">
        <f>ROUND(Y70,0)</f>
        <v>0</v>
      </c>
      <c r="N756" s="277">
        <f>ROUND(Y75,0)</f>
        <v>21408017</v>
      </c>
      <c r="O756" s="277">
        <f>ROUND(Y73,0)</f>
        <v>1658585</v>
      </c>
      <c r="P756" s="277">
        <f>IF(Y76&gt;0,ROUND(Y76,0),0)</f>
        <v>6992</v>
      </c>
      <c r="Q756" s="277">
        <f>IF(Y77&gt;0,ROUND(Y77,0),0)</f>
        <v>0</v>
      </c>
      <c r="R756" s="277">
        <f>IF(Y78&gt;0,ROUND(Y78,0),0)</f>
        <v>6992</v>
      </c>
      <c r="S756" s="277">
        <f>IF(Y79&gt;0,ROUND(Y79,0),0)</f>
        <v>27197</v>
      </c>
      <c r="T756" s="279">
        <f>IF(Y80&gt;0,ROUND(Y80,2),0)</f>
        <v>0</v>
      </c>
      <c r="U756" s="277"/>
      <c r="V756" s="278"/>
      <c r="W756" s="277"/>
      <c r="X756" s="277"/>
      <c r="Y756" s="277">
        <f t="shared" si="22"/>
        <v>2034845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">
      <c r="A757" s="209" t="str">
        <f>RIGHT($C$83,3)&amp;"*"&amp;RIGHT($C$82,4)&amp;"*"&amp;Z$55&amp;"*"&amp;"A"</f>
        <v>152*2021*7150*A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>
        <f t="shared" si="22"/>
        <v>0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">
      <c r="A758" s="209" t="str">
        <f>RIGHT($C$83,3)&amp;"*"&amp;RIGHT($C$82,4)&amp;"*"&amp;AA$55&amp;"*"&amp;"A"</f>
        <v>152*2021*7160*A</v>
      </c>
      <c r="B758" s="277">
        <f>ROUND(AA59,0)</f>
        <v>1696</v>
      </c>
      <c r="C758" s="279">
        <f>ROUND(AA60,2)</f>
        <v>0.9</v>
      </c>
      <c r="D758" s="277">
        <f>ROUND(AA61,0)</f>
        <v>92301</v>
      </c>
      <c r="E758" s="277">
        <f>ROUND(AA62,0)</f>
        <v>29716</v>
      </c>
      <c r="F758" s="277">
        <f>ROUND(AA63,0)</f>
        <v>0</v>
      </c>
      <c r="G758" s="277">
        <f>ROUND(AA64,0)</f>
        <v>40181</v>
      </c>
      <c r="H758" s="277">
        <f>ROUND(AA65,0)</f>
        <v>0</v>
      </c>
      <c r="I758" s="277">
        <f>ROUND(AA66,0)</f>
        <v>38541</v>
      </c>
      <c r="J758" s="277">
        <f>ROUND(AA67,0)</f>
        <v>21253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840023</v>
      </c>
      <c r="O758" s="277">
        <f>ROUND(AA73,0)</f>
        <v>109834</v>
      </c>
      <c r="P758" s="277">
        <f>IF(AA76&gt;0,ROUND(AA76,0),0)</f>
        <v>690</v>
      </c>
      <c r="Q758" s="277">
        <f>IF(AA77&gt;0,ROUND(AA77,0),0)</f>
        <v>0</v>
      </c>
      <c r="R758" s="277">
        <f>IF(AA78&gt;0,ROUND(AA78,0),0)</f>
        <v>690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>
        <f t="shared" si="22"/>
        <v>102555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">
      <c r="A759" s="209" t="str">
        <f>RIGHT($C$83,3)&amp;"*"&amp;RIGHT($C$82,4)&amp;"*"&amp;AB$55&amp;"*"&amp;"A"</f>
        <v>152*2021*7170*A</v>
      </c>
      <c r="B759" s="277"/>
      <c r="C759" s="279">
        <f>ROUND(AB60,2)</f>
        <v>13.61</v>
      </c>
      <c r="D759" s="277">
        <f>ROUND(AB61,0)</f>
        <v>1573056</v>
      </c>
      <c r="E759" s="277">
        <f>ROUND(AB62,0)</f>
        <v>549092</v>
      </c>
      <c r="F759" s="277">
        <f>ROUND(AB63,0)</f>
        <v>0</v>
      </c>
      <c r="G759" s="277">
        <f>ROUND(AB64,0)</f>
        <v>2757109</v>
      </c>
      <c r="H759" s="277">
        <f>ROUND(AB65,0)</f>
        <v>0</v>
      </c>
      <c r="I759" s="277">
        <f>ROUND(AB66,0)</f>
        <v>345399</v>
      </c>
      <c r="J759" s="277">
        <f>ROUND(AB67,0)</f>
        <v>59199</v>
      </c>
      <c r="K759" s="277">
        <f>ROUND(AB68,0)</f>
        <v>582</v>
      </c>
      <c r="L759" s="277">
        <f>ROUND(AB69,0)</f>
        <v>15818</v>
      </c>
      <c r="M759" s="277">
        <f>ROUND(AB70,0)</f>
        <v>3254726</v>
      </c>
      <c r="N759" s="277">
        <f>ROUND(AB75,0)</f>
        <v>11981786</v>
      </c>
      <c r="O759" s="277">
        <f>ROUND(AB73,0)</f>
        <v>4644542</v>
      </c>
      <c r="P759" s="277">
        <f>IF(AB76&gt;0,ROUND(AB76,0),0)</f>
        <v>1922</v>
      </c>
      <c r="Q759" s="277">
        <f>IF(AB77&gt;0,ROUND(AB77,0),0)</f>
        <v>0</v>
      </c>
      <c r="R759" s="277">
        <f>IF(AB78&gt;0,ROUND(AB78,0),0)</f>
        <v>1922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>
        <f t="shared" si="22"/>
        <v>1191446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">
      <c r="A760" s="209" t="str">
        <f>RIGHT($C$83,3)&amp;"*"&amp;RIGHT($C$82,4)&amp;"*"&amp;AC$55&amp;"*"&amp;"A"</f>
        <v>152*2021*7180*A</v>
      </c>
      <c r="B760" s="277">
        <f>ROUND(AC59,0)</f>
        <v>5325</v>
      </c>
      <c r="C760" s="279">
        <f>ROUND(AC60,2)</f>
        <v>8.59</v>
      </c>
      <c r="D760" s="277">
        <f>ROUND(AC61,0)</f>
        <v>766905</v>
      </c>
      <c r="E760" s="277">
        <f>ROUND(AC62,0)</f>
        <v>310348</v>
      </c>
      <c r="F760" s="277">
        <f>ROUND(AC63,0)</f>
        <v>0</v>
      </c>
      <c r="G760" s="277">
        <f>ROUND(AC64,0)</f>
        <v>130773</v>
      </c>
      <c r="H760" s="277">
        <f>ROUND(AC65,0)</f>
        <v>0</v>
      </c>
      <c r="I760" s="277">
        <f>ROUND(AC66,0)</f>
        <v>43135</v>
      </c>
      <c r="J760" s="277">
        <f>ROUND(AC67,0)</f>
        <v>24805</v>
      </c>
      <c r="K760" s="277">
        <f>ROUND(AC68,0)</f>
        <v>16051</v>
      </c>
      <c r="L760" s="277">
        <f>ROUND(AC69,0)</f>
        <v>222</v>
      </c>
      <c r="M760" s="277">
        <f>ROUND(AC70,0)</f>
        <v>0</v>
      </c>
      <c r="N760" s="277">
        <f>ROUND(AC75,0)</f>
        <v>8019426</v>
      </c>
      <c r="O760" s="277">
        <f>ROUND(AC73,0)</f>
        <v>5187471</v>
      </c>
      <c r="P760" s="277">
        <f>IF(AC76&gt;0,ROUND(AC76,0),0)</f>
        <v>806</v>
      </c>
      <c r="Q760" s="277">
        <f>IF(AC77&gt;0,ROUND(AC77,0),0)</f>
        <v>0</v>
      </c>
      <c r="R760" s="277">
        <f>IF(AC78&gt;0,ROUND(AC78,0),0)</f>
        <v>806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>
        <f t="shared" si="22"/>
        <v>676595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">
      <c r="A761" s="209" t="str">
        <f>RIGHT($C$83,3)&amp;"*"&amp;RIGHT($C$82,4)&amp;"*"&amp;AD$55&amp;"*"&amp;"A"</f>
        <v>152*2021*7190*A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>
        <f t="shared" si="22"/>
        <v>0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">
      <c r="A762" s="209" t="str">
        <f>RIGHT($C$83,3)&amp;"*"&amp;RIGHT($C$82,4)&amp;"*"&amp;AE$55&amp;"*"&amp;"A"</f>
        <v>152*2021*7200*A</v>
      </c>
      <c r="B762" s="277">
        <f>ROUND(AE59,0)</f>
        <v>20118</v>
      </c>
      <c r="C762" s="279">
        <f>ROUND(AE60,2)</f>
        <v>19.670000000000002</v>
      </c>
      <c r="D762" s="277">
        <f>ROUND(AE61,0)</f>
        <v>1563883</v>
      </c>
      <c r="E762" s="277">
        <f>ROUND(AE62,0)</f>
        <v>566369</v>
      </c>
      <c r="F762" s="277">
        <f>ROUND(AE63,0)</f>
        <v>194654</v>
      </c>
      <c r="G762" s="277">
        <f>ROUND(AE64,0)</f>
        <v>43315</v>
      </c>
      <c r="H762" s="277">
        <f>ROUND(AE65,0)</f>
        <v>0</v>
      </c>
      <c r="I762" s="277">
        <f>ROUND(AE66,0)</f>
        <v>8388</v>
      </c>
      <c r="J762" s="277">
        <f>ROUND(AE67,0)</f>
        <v>119684</v>
      </c>
      <c r="K762" s="277">
        <f>ROUND(AE68,0)</f>
        <v>4187</v>
      </c>
      <c r="L762" s="277">
        <f>ROUND(AE69,0)</f>
        <v>8651</v>
      </c>
      <c r="M762" s="277">
        <f>ROUND(AE70,0)</f>
        <v>0</v>
      </c>
      <c r="N762" s="277">
        <f>ROUND(AE75,0)</f>
        <v>6544703</v>
      </c>
      <c r="O762" s="277">
        <f>ROUND(AE73,0)</f>
        <v>561080</v>
      </c>
      <c r="P762" s="277">
        <f>IF(AE76&gt;0,ROUND(AE76,0),0)</f>
        <v>3887</v>
      </c>
      <c r="Q762" s="277">
        <f>IF(AE77&gt;0,ROUND(AE77,0),0)</f>
        <v>0</v>
      </c>
      <c r="R762" s="277">
        <f>IF(AE78&gt;0,ROUND(AE78,0),0)</f>
        <v>3887</v>
      </c>
      <c r="S762" s="277">
        <f>IF(AE79&gt;0,ROUND(AE79,0),0)</f>
        <v>6407</v>
      </c>
      <c r="T762" s="279">
        <f>IF(AE80&gt;0,ROUND(AE80,2),0)</f>
        <v>0</v>
      </c>
      <c r="U762" s="277"/>
      <c r="V762" s="278"/>
      <c r="W762" s="277"/>
      <c r="X762" s="277"/>
      <c r="Y762" s="277">
        <f t="shared" si="22"/>
        <v>842089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">
      <c r="A763" s="209" t="str">
        <f>RIGHT($C$83,3)&amp;"*"&amp;RIGHT($C$82,4)&amp;"*"&amp;AF$55&amp;"*"&amp;"A"</f>
        <v>152*2021*7220*A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>
        <f t="shared" si="22"/>
        <v>0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">
      <c r="A764" s="209" t="str">
        <f>RIGHT($C$83,3)&amp;"*"&amp;RIGHT($C$82,4)&amp;"*"&amp;AG$55&amp;"*"&amp;"A"</f>
        <v>152*2021*7230*A</v>
      </c>
      <c r="B764" s="277">
        <f>ROUND(AG59,0)</f>
        <v>17349</v>
      </c>
      <c r="C764" s="279">
        <f>ROUND(AG60,2)</f>
        <v>30.7</v>
      </c>
      <c r="D764" s="277">
        <f>ROUND(AG61,0)</f>
        <v>3736889</v>
      </c>
      <c r="E764" s="277">
        <f>ROUND(AG62,0)</f>
        <v>938344</v>
      </c>
      <c r="F764" s="277">
        <f>ROUND(AG63,0)</f>
        <v>3259514</v>
      </c>
      <c r="G764" s="277">
        <f>ROUND(AG64,0)</f>
        <v>345948</v>
      </c>
      <c r="H764" s="277">
        <f>ROUND(AG65,0)</f>
        <v>480</v>
      </c>
      <c r="I764" s="277">
        <f>ROUND(AG66,0)</f>
        <v>397398</v>
      </c>
      <c r="J764" s="277">
        <f>ROUND(AG67,0)</f>
        <v>293875</v>
      </c>
      <c r="K764" s="277">
        <f>ROUND(AG68,0)</f>
        <v>7906</v>
      </c>
      <c r="L764" s="277">
        <f>ROUND(AG69,0)</f>
        <v>43988</v>
      </c>
      <c r="M764" s="277">
        <f>ROUND(AG70,0)</f>
        <v>0</v>
      </c>
      <c r="N764" s="277">
        <f>ROUND(AG75,0)</f>
        <v>48317414</v>
      </c>
      <c r="O764" s="277">
        <f>ROUND(AG73,0)</f>
        <v>3615346</v>
      </c>
      <c r="P764" s="277">
        <f>IF(AG76&gt;0,ROUND(AG76,0),0)</f>
        <v>9543</v>
      </c>
      <c r="Q764" s="277">
        <f>IF(AG77&gt;0,ROUND(AG77,0),0)</f>
        <v>1120</v>
      </c>
      <c r="R764" s="277">
        <f>IF(AG78&gt;0,ROUND(AG78,0),0)</f>
        <v>9543</v>
      </c>
      <c r="S764" s="277">
        <f>IF(AG79&gt;0,ROUND(AG79,0),0)</f>
        <v>60842</v>
      </c>
      <c r="T764" s="279">
        <f>IF(AG80&gt;0,ROUND(AG80,2),0)</f>
        <v>30.7</v>
      </c>
      <c r="U764" s="277"/>
      <c r="V764" s="278"/>
      <c r="W764" s="277"/>
      <c r="X764" s="277"/>
      <c r="Y764" s="277">
        <f t="shared" si="22"/>
        <v>5656028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">
      <c r="A765" s="209" t="str">
        <f>RIGHT($C$83,3)&amp;"*"&amp;RIGHT($C$82,4)&amp;"*"&amp;AH$55&amp;"*"&amp;"A"</f>
        <v>152*2021*7240*A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2"/>
        <v>0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">
      <c r="A766" s="209" t="str">
        <f>RIGHT($C$83,3)&amp;"*"&amp;RIGHT($C$82,4)&amp;"*"&amp;AI$55&amp;"*"&amp;"A"</f>
        <v>152*2021*7250*A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>
        <f t="shared" si="22"/>
        <v>0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">
      <c r="A767" s="209" t="str">
        <f>RIGHT($C$83,3)&amp;"*"&amp;RIGHT($C$82,4)&amp;"*"&amp;AJ$55&amp;"*"&amp;"A"</f>
        <v>152*2021*7260*A</v>
      </c>
      <c r="B767" s="277">
        <f>ROUND(AJ59,0)</f>
        <v>0</v>
      </c>
      <c r="C767" s="279">
        <f>ROUND(AJ60,2)</f>
        <v>0</v>
      </c>
      <c r="D767" s="277">
        <f>ROUND(AJ61,0)</f>
        <v>0</v>
      </c>
      <c r="E767" s="277">
        <f>ROUND(AJ62,0)</f>
        <v>0</v>
      </c>
      <c r="F767" s="277">
        <f>ROUND(AJ63,0)</f>
        <v>0</v>
      </c>
      <c r="G767" s="277">
        <f>ROUND(AJ64,0)</f>
        <v>0</v>
      </c>
      <c r="H767" s="277">
        <f>ROUND(AJ65,0)</f>
        <v>0</v>
      </c>
      <c r="I767" s="277">
        <f>ROUND(AJ66,0)</f>
        <v>0</v>
      </c>
      <c r="J767" s="277">
        <f>ROUND(AJ67,0)</f>
        <v>0</v>
      </c>
      <c r="K767" s="277">
        <f>ROUND(AJ68,0)</f>
        <v>0</v>
      </c>
      <c r="L767" s="277">
        <f>ROUND(AJ69,0)</f>
        <v>0</v>
      </c>
      <c r="M767" s="277">
        <f>ROUND(AJ70,0)</f>
        <v>0</v>
      </c>
      <c r="N767" s="277">
        <f>ROUND(AJ75,0)</f>
        <v>0</v>
      </c>
      <c r="O767" s="277">
        <f>ROUND(AJ73,0)</f>
        <v>0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0</v>
      </c>
      <c r="U767" s="277"/>
      <c r="V767" s="278"/>
      <c r="W767" s="277"/>
      <c r="X767" s="277"/>
      <c r="Y767" s="277">
        <f t="shared" si="22"/>
        <v>0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">
      <c r="A768" s="209" t="str">
        <f>RIGHT($C$83,3)&amp;"*"&amp;RIGHT($C$82,4)&amp;"*"&amp;AK$55&amp;"*"&amp;"A"</f>
        <v>152*2021*7310*A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0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>
        <f t="shared" si="22"/>
        <v>0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">
      <c r="A769" s="209" t="str">
        <f>RIGHT($C$83,3)&amp;"*"&amp;RIGHT($C$82,4)&amp;"*"&amp;AL$55&amp;"*"&amp;"A"</f>
        <v>152*2021*7320*A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2"/>
        <v>0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">
      <c r="A770" s="209" t="str">
        <f>RIGHT($C$83,3)&amp;"*"&amp;RIGHT($C$82,4)&amp;"*"&amp;AM$55&amp;"*"&amp;"A"</f>
        <v>152*2021*7330*A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2"/>
        <v>0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">
      <c r="A771" s="209" t="str">
        <f>RIGHT($C$83,3)&amp;"*"&amp;RIGHT($C$82,4)&amp;"*"&amp;AN$55&amp;"*"&amp;"A"</f>
        <v>152*2021*7340*A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2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">
      <c r="A772" s="209" t="str">
        <f>RIGHT($C$83,3)&amp;"*"&amp;RIGHT($C$82,4)&amp;"*"&amp;AO$55&amp;"*"&amp;"A"</f>
        <v>152*2021*7350*A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2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">
      <c r="A773" s="209" t="str">
        <f>RIGHT($C$83,3)&amp;"*"&amp;RIGHT($C$82,4)&amp;"*"&amp;AP$55&amp;"*"&amp;"A"</f>
        <v>152*2021*7380*A</v>
      </c>
      <c r="B773" s="277">
        <f>ROUND(AP59,0)</f>
        <v>84202</v>
      </c>
      <c r="C773" s="279">
        <f>ROUND(AP60,2)</f>
        <v>152.94999999999999</v>
      </c>
      <c r="D773" s="277">
        <f>ROUND(AP61,0)</f>
        <v>15750610</v>
      </c>
      <c r="E773" s="277">
        <f>ROUND(AP62,0)</f>
        <v>4881683</v>
      </c>
      <c r="F773" s="277">
        <f>ROUND(AP63,0)</f>
        <v>2578625</v>
      </c>
      <c r="G773" s="277">
        <f>ROUND(AP64,0)</f>
        <v>1121849</v>
      </c>
      <c r="H773" s="277">
        <f>ROUND(AP65,0)</f>
        <v>45086</v>
      </c>
      <c r="I773" s="277">
        <f>ROUND(AP66,0)</f>
        <v>363737</v>
      </c>
      <c r="J773" s="277">
        <f>ROUND(AP67,0)</f>
        <v>2875130</v>
      </c>
      <c r="K773" s="277">
        <f>ROUND(AP68,0)</f>
        <v>33463</v>
      </c>
      <c r="L773" s="277">
        <f>ROUND(AP69,0)</f>
        <v>360157</v>
      </c>
      <c r="M773" s="277">
        <f>ROUND(AP70,0)</f>
        <v>30062</v>
      </c>
      <c r="N773" s="277">
        <f>ROUND(AP75,0)</f>
        <v>34001077</v>
      </c>
      <c r="O773" s="277">
        <f>ROUND(AP73,0)</f>
        <v>1376774</v>
      </c>
      <c r="P773" s="277">
        <f>IF(AP76&gt;0,ROUND(AP76,0),0)</f>
        <v>78245</v>
      </c>
      <c r="Q773" s="277">
        <f>IF(AP77&gt;0,ROUND(AP77,0),0)</f>
        <v>0</v>
      </c>
      <c r="R773" s="277">
        <f>IF(AP78&gt;0,ROUND(AP78,0),0)</f>
        <v>78245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>
        <f t="shared" si="22"/>
        <v>7976575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">
      <c r="A774" s="209" t="str">
        <f>RIGHT($C$83,3)&amp;"*"&amp;RIGHT($C$82,4)&amp;"*"&amp;AQ$55&amp;"*"&amp;"A"</f>
        <v>152*2021*7390*A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2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">
      <c r="A775" s="209" t="str">
        <f>RIGHT($C$83,3)&amp;"*"&amp;RIGHT($C$82,4)&amp;"*"&amp;AR$55&amp;"*"&amp;"A"</f>
        <v>152*2021*7400*A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2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">
      <c r="A776" s="209" t="str">
        <f>RIGHT($C$83,3)&amp;"*"&amp;RIGHT($C$82,4)&amp;"*"&amp;AS$55&amp;"*"&amp;"A"</f>
        <v>152*2021*7410*A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>
        <f t="shared" si="22"/>
        <v>0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">
      <c r="A777" s="209" t="str">
        <f>RIGHT($C$83,3)&amp;"*"&amp;RIGHT($C$82,4)&amp;"*"&amp;AT$55&amp;"*"&amp;"A"</f>
        <v>152*2021*7420*A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>
        <f t="shared" si="22"/>
        <v>0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">
      <c r="A778" s="209" t="str">
        <f>RIGHT($C$83,3)&amp;"*"&amp;RIGHT($C$82,4)&amp;"*"&amp;AU$55&amp;"*"&amp;"A"</f>
        <v>152*2021*7430*A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2"/>
        <v>0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">
      <c r="A779" s="209" t="str">
        <f>RIGHT($C$83,3)&amp;"*"&amp;RIGHT($C$82,4)&amp;"*"&amp;AV$55&amp;"*"&amp;"A"</f>
        <v>152*2021*7490*A</v>
      </c>
      <c r="B779" s="277"/>
      <c r="C779" s="279">
        <f>ROUND(AV60,2)</f>
        <v>3.07</v>
      </c>
      <c r="D779" s="277">
        <f>ROUND(AV61,0)</f>
        <v>269586</v>
      </c>
      <c r="E779" s="277">
        <f>ROUND(AV62,0)</f>
        <v>98606</v>
      </c>
      <c r="F779" s="277">
        <f>ROUND(AV63,0)</f>
        <v>0</v>
      </c>
      <c r="G779" s="277">
        <f>ROUND(AV64,0)</f>
        <v>12196</v>
      </c>
      <c r="H779" s="277">
        <f>ROUND(AV65,0)</f>
        <v>0</v>
      </c>
      <c r="I779" s="277">
        <f>ROUND(AV66,0)</f>
        <v>11393</v>
      </c>
      <c r="J779" s="277">
        <f>ROUND(AV67,0)</f>
        <v>8251</v>
      </c>
      <c r="K779" s="277">
        <f>ROUND(AV68,0)</f>
        <v>673</v>
      </c>
      <c r="L779" s="277">
        <f>ROUND(AV69,0)</f>
        <v>698</v>
      </c>
      <c r="M779" s="277">
        <f>ROUND(AV70,0)</f>
        <v>0</v>
      </c>
      <c r="N779" s="277">
        <f>ROUND(AV75,0)</f>
        <v>606959</v>
      </c>
      <c r="O779" s="277">
        <f>ROUND(AV73,0)</f>
        <v>77007</v>
      </c>
      <c r="P779" s="277">
        <f>IF(AV76&gt;0,ROUND(AV76,0),0)</f>
        <v>268</v>
      </c>
      <c r="Q779" s="277">
        <f>IF(AV77&gt;0,ROUND(AV77,0),0)</f>
        <v>0</v>
      </c>
      <c r="R779" s="277">
        <f>IF(AV78&gt;0,ROUND(AV78,0),0)</f>
        <v>268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>
        <f t="shared" si="22"/>
        <v>92070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">
      <c r="A780" s="209" t="str">
        <f>RIGHT($C$83,3)&amp;"*"&amp;RIGHT($C$82,4)&amp;"*"&amp;AW$55&amp;"*"&amp;"A"</f>
        <v>152*2021*8200*A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">
      <c r="A781" s="209" t="str">
        <f>RIGHT($C$83,3)&amp;"*"&amp;RIGHT($C$82,4)&amp;"*"&amp;AX$55&amp;"*"&amp;"A"</f>
        <v>152*2021*8310*A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">
      <c r="A782" s="209" t="str">
        <f>RIGHT($C$83,3)&amp;"*"&amp;RIGHT($C$82,4)&amp;"*"&amp;AY$55&amp;"*"&amp;"A"</f>
        <v>152*2021*8320*A</v>
      </c>
      <c r="B782" s="277">
        <f>ROUND(AY59,0)</f>
        <v>33137</v>
      </c>
      <c r="C782" s="279">
        <f>ROUND(AY60,2)</f>
        <v>17.28</v>
      </c>
      <c r="D782" s="277">
        <f>ROUND(AY61,0)</f>
        <v>794769</v>
      </c>
      <c r="E782" s="277">
        <f>ROUND(AY62,0)</f>
        <v>449300</v>
      </c>
      <c r="F782" s="277">
        <f>ROUND(AY63,0)</f>
        <v>0</v>
      </c>
      <c r="G782" s="277">
        <f>ROUND(AY64,0)</f>
        <v>688351</v>
      </c>
      <c r="H782" s="277">
        <f>ROUND(AY65,0)</f>
        <v>0</v>
      </c>
      <c r="I782" s="277">
        <f>ROUND(AY66,0)</f>
        <v>24411</v>
      </c>
      <c r="J782" s="277">
        <f>ROUND(AY67,0)</f>
        <v>155203</v>
      </c>
      <c r="K782" s="277">
        <f>ROUND(AY68,0)</f>
        <v>1613</v>
      </c>
      <c r="L782" s="277">
        <f>ROUND(AY69,0)</f>
        <v>12281</v>
      </c>
      <c r="M782" s="277">
        <f>ROUND(AY70,0)</f>
        <v>336662</v>
      </c>
      <c r="N782" s="277"/>
      <c r="O782" s="277"/>
      <c r="P782" s="277">
        <f>IF(AY76&gt;0,ROUND(AY76,0),0)</f>
        <v>5040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">
      <c r="A783" s="209" t="str">
        <f>RIGHT($C$83,3)&amp;"*"&amp;RIGHT($C$82,4)&amp;"*"&amp;AZ$55&amp;"*"&amp;"A"</f>
        <v>152*2021*8330*A</v>
      </c>
      <c r="B783" s="277">
        <f>ROUND(AZ59,0)</f>
        <v>0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">
      <c r="A784" s="209" t="str">
        <f>RIGHT($C$83,3)&amp;"*"&amp;RIGHT($C$82,4)&amp;"*"&amp;BA$55&amp;"*"&amp;"A"</f>
        <v>152*2021*8350*A</v>
      </c>
      <c r="B784" s="277">
        <f>ROUND(BA59,0)</f>
        <v>0</v>
      </c>
      <c r="C784" s="279">
        <f>ROUND(BA60,2)</f>
        <v>1.01</v>
      </c>
      <c r="D784" s="277">
        <f>ROUND(BA61,0)</f>
        <v>45417</v>
      </c>
      <c r="E784" s="277">
        <f>ROUND(BA62,0)</f>
        <v>45145</v>
      </c>
      <c r="F784" s="277">
        <f>ROUND(BA63,0)</f>
        <v>0</v>
      </c>
      <c r="G784" s="277">
        <f>ROUND(BA64,0)</f>
        <v>69747</v>
      </c>
      <c r="H784" s="277">
        <f>ROUND(BA65,0)</f>
        <v>0</v>
      </c>
      <c r="I784" s="277">
        <f>ROUND(BA66,0)</f>
        <v>166382</v>
      </c>
      <c r="J784" s="277">
        <f>ROUND(BA67,0)</f>
        <v>44985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1461</v>
      </c>
      <c r="Q784" s="277">
        <f>IF(BA77&gt;0,ROUND(BA77,0),0)</f>
        <v>0</v>
      </c>
      <c r="R784" s="277">
        <f>IF(BA78&gt;0,ROUND(BA78,0),0)</f>
        <v>1461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">
      <c r="A785" s="209" t="str">
        <f>RIGHT($C$83,3)&amp;"*"&amp;RIGHT($C$82,4)&amp;"*"&amp;BB$55&amp;"*"&amp;"A"</f>
        <v>152*2021*8360*A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">
      <c r="A786" s="209" t="str">
        <f>RIGHT($C$83,3)&amp;"*"&amp;RIGHT($C$82,4)&amp;"*"&amp;BC$55&amp;"*"&amp;"A"</f>
        <v>152*2021*8370*A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">
      <c r="A787" s="209" t="str">
        <f>RIGHT($C$83,3)&amp;"*"&amp;RIGHT($C$82,4)&amp;"*"&amp;BD$55&amp;"*"&amp;"A"</f>
        <v>152*2021*8420*A</v>
      </c>
      <c r="B787" s="277"/>
      <c r="C787" s="279">
        <f>ROUND(BD60,2)</f>
        <v>5.82</v>
      </c>
      <c r="D787" s="277">
        <f>ROUND(BD61,0)</f>
        <v>358492</v>
      </c>
      <c r="E787" s="277">
        <f>ROUND(BD62,0)</f>
        <v>122870</v>
      </c>
      <c r="F787" s="277">
        <f>ROUND(BD63,0)</f>
        <v>45973</v>
      </c>
      <c r="G787" s="277">
        <f>ROUND(BD64,0)</f>
        <v>-15059</v>
      </c>
      <c r="H787" s="277">
        <f>ROUND(BD65,0)</f>
        <v>2428</v>
      </c>
      <c r="I787" s="277">
        <f>ROUND(BD66,0)</f>
        <v>1097</v>
      </c>
      <c r="J787" s="277">
        <f>ROUND(BD67,0)</f>
        <v>104773</v>
      </c>
      <c r="K787" s="277">
        <f>ROUND(BD68,0)</f>
        <v>5288</v>
      </c>
      <c r="L787" s="277">
        <f>ROUND(BD69,0)</f>
        <v>40554</v>
      </c>
      <c r="M787" s="277">
        <f>ROUND(BD70,0)</f>
        <v>0</v>
      </c>
      <c r="N787" s="277"/>
      <c r="O787" s="277"/>
      <c r="P787" s="277">
        <f>IF(BD76&gt;0,ROUND(BD76,0),0)</f>
        <v>3402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">
      <c r="A788" s="209" t="str">
        <f>RIGHT($C$83,3)&amp;"*"&amp;RIGHT($C$82,4)&amp;"*"&amp;BE$55&amp;"*"&amp;"A"</f>
        <v>152*2021*8430*A</v>
      </c>
      <c r="B788" s="277">
        <f>ROUND(BE59,0)</f>
        <v>241487</v>
      </c>
      <c r="C788" s="279">
        <f>ROUND(BE60,2)</f>
        <v>11.24</v>
      </c>
      <c r="D788" s="277">
        <f>ROUND(BE61,0)</f>
        <v>774954</v>
      </c>
      <c r="E788" s="277">
        <f>ROUND(BE62,0)</f>
        <v>322273</v>
      </c>
      <c r="F788" s="277">
        <f>ROUND(BE63,0)</f>
        <v>6764</v>
      </c>
      <c r="G788" s="277">
        <f>ROUND(BE64,0)</f>
        <v>78154</v>
      </c>
      <c r="H788" s="277">
        <f>ROUND(BE65,0)</f>
        <v>745510</v>
      </c>
      <c r="I788" s="277">
        <f>ROUND(BE66,0)</f>
        <v>456236</v>
      </c>
      <c r="J788" s="277">
        <f>ROUND(BE67,0)</f>
        <v>867316</v>
      </c>
      <c r="K788" s="277">
        <f>ROUND(BE68,0)</f>
        <v>31826</v>
      </c>
      <c r="L788" s="277">
        <f>ROUND(BE69,0)</f>
        <v>12742</v>
      </c>
      <c r="M788" s="277">
        <f>ROUND(BE70,0)</f>
        <v>0</v>
      </c>
      <c r="N788" s="277"/>
      <c r="O788" s="277"/>
      <c r="P788" s="277">
        <f>IF(BE76&gt;0,ROUND(BE76,0),0)</f>
        <v>28165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">
      <c r="A789" s="209" t="str">
        <f>RIGHT($C$83,3)&amp;"*"&amp;RIGHT($C$82,4)&amp;"*"&amp;BF$55&amp;"*"&amp;"A"</f>
        <v>152*2021*8460*A</v>
      </c>
      <c r="B789" s="277"/>
      <c r="C789" s="279">
        <f>ROUND(BF60,2)</f>
        <v>29.43</v>
      </c>
      <c r="D789" s="277">
        <f>ROUND(BF61,0)</f>
        <v>1305267</v>
      </c>
      <c r="E789" s="277">
        <f>ROUND(BF62,0)</f>
        <v>644213</v>
      </c>
      <c r="F789" s="277">
        <f>ROUND(BF63,0)</f>
        <v>0</v>
      </c>
      <c r="G789" s="277">
        <f>ROUND(BF64,0)</f>
        <v>159696</v>
      </c>
      <c r="H789" s="277">
        <f>ROUND(BF65,0)</f>
        <v>151236</v>
      </c>
      <c r="I789" s="277">
        <f>ROUND(BF66,0)</f>
        <v>84398</v>
      </c>
      <c r="J789" s="277">
        <f>ROUND(BF67,0)</f>
        <v>70674</v>
      </c>
      <c r="K789" s="277">
        <f>ROUND(BF68,0)</f>
        <v>2863</v>
      </c>
      <c r="L789" s="277">
        <f>ROUND(BF69,0)</f>
        <v>6506</v>
      </c>
      <c r="M789" s="277">
        <f>ROUND(BF70,0)</f>
        <v>0</v>
      </c>
      <c r="N789" s="277"/>
      <c r="O789" s="277"/>
      <c r="P789" s="277">
        <f>IF(BF76&gt;0,ROUND(BF76,0),0)</f>
        <v>2295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">
      <c r="A790" s="209" t="str">
        <f>RIGHT($C$83,3)&amp;"*"&amp;RIGHT($C$82,4)&amp;"*"&amp;BG$55&amp;"*"&amp;"A"</f>
        <v>152*2021*8470*A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">
      <c r="A791" s="209" t="str">
        <f>RIGHT($C$83,3)&amp;"*"&amp;RIGHT($C$82,4)&amp;"*"&amp;BH$55&amp;"*"&amp;"A"</f>
        <v>152*2021*8480*A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448345</v>
      </c>
      <c r="H791" s="277">
        <f>ROUND(BH65,0)</f>
        <v>274572</v>
      </c>
      <c r="I791" s="277">
        <f>ROUND(BH66,0)</f>
        <v>8225097</v>
      </c>
      <c r="J791" s="277">
        <f>ROUND(BH67,0)</f>
        <v>100182</v>
      </c>
      <c r="K791" s="277">
        <f>ROUND(BH68,0)</f>
        <v>242944</v>
      </c>
      <c r="L791" s="277">
        <f>ROUND(BH69,0)</f>
        <v>50431</v>
      </c>
      <c r="M791" s="277">
        <f>ROUND(BH70,0)</f>
        <v>0</v>
      </c>
      <c r="N791" s="277"/>
      <c r="O791" s="277"/>
      <c r="P791" s="277">
        <f>IF(BH76&gt;0,ROUND(BH76,0),0)</f>
        <v>3253</v>
      </c>
      <c r="Q791" s="277">
        <f>IF(BH77&gt;0,ROUND(BH77,0),0)</f>
        <v>0</v>
      </c>
      <c r="R791" s="277">
        <f>IF(BH78&gt;0,ROUND(BH78,0),0)</f>
        <v>3253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">
      <c r="A792" s="209" t="str">
        <f>RIGHT($C$83,3)&amp;"*"&amp;RIGHT($C$82,4)&amp;"*"&amp;BI$55&amp;"*"&amp;"A"</f>
        <v>152*2021*8490*A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">
      <c r="A793" s="209" t="str">
        <f>RIGHT($C$83,3)&amp;"*"&amp;RIGHT($C$82,4)&amp;"*"&amp;BJ$55&amp;"*"&amp;"A"</f>
        <v>152*2021*8510*A</v>
      </c>
      <c r="B793" s="277"/>
      <c r="C793" s="279">
        <f>ROUND(BJ60,2)</f>
        <v>6.26</v>
      </c>
      <c r="D793" s="277">
        <f>ROUND(BJ61,0)</f>
        <v>484822</v>
      </c>
      <c r="E793" s="277">
        <f>ROUND(BJ62,0)</f>
        <v>198069</v>
      </c>
      <c r="F793" s="277">
        <f>ROUND(BJ63,0)</f>
        <v>0</v>
      </c>
      <c r="G793" s="277">
        <f>ROUND(BJ64,0)</f>
        <v>8501</v>
      </c>
      <c r="H793" s="277">
        <f>ROUND(BJ65,0)</f>
        <v>435</v>
      </c>
      <c r="I793" s="277">
        <f>ROUND(BJ66,0)</f>
        <v>15650</v>
      </c>
      <c r="J793" s="277">
        <f>ROUND(BJ67,0)</f>
        <v>61020</v>
      </c>
      <c r="K793" s="277">
        <f>ROUND(BJ68,0)</f>
        <v>30689</v>
      </c>
      <c r="L793" s="277">
        <f>ROUND(BJ69,0)</f>
        <v>160186</v>
      </c>
      <c r="M793" s="277">
        <f>ROUND(BJ70,0)</f>
        <v>0</v>
      </c>
      <c r="N793" s="277"/>
      <c r="O793" s="277"/>
      <c r="P793" s="277">
        <f>IF(BJ76&gt;0,ROUND(BJ76,0),0)</f>
        <v>1982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">
      <c r="A794" s="209" t="str">
        <f>RIGHT($C$83,3)&amp;"*"&amp;RIGHT($C$82,4)&amp;"*"&amp;BK$55&amp;"*"&amp;"A"</f>
        <v>152*2021*8530*A</v>
      </c>
      <c r="B794" s="277"/>
      <c r="C794" s="279">
        <f>ROUND(BK60,2)</f>
        <v>22.27</v>
      </c>
      <c r="D794" s="277">
        <f>ROUND(BK61,0)</f>
        <v>1322443</v>
      </c>
      <c r="E794" s="277">
        <f>ROUND(BK62,0)</f>
        <v>594825</v>
      </c>
      <c r="F794" s="277">
        <f>ROUND(BK63,0)</f>
        <v>63573</v>
      </c>
      <c r="G794" s="277">
        <f>ROUND(BK64,0)</f>
        <v>14164</v>
      </c>
      <c r="H794" s="277">
        <f>ROUND(BK65,0)</f>
        <v>0</v>
      </c>
      <c r="I794" s="277">
        <f>ROUND(BK66,0)</f>
        <v>318344</v>
      </c>
      <c r="J794" s="277">
        <f>ROUND(BK67,0)</f>
        <v>84208</v>
      </c>
      <c r="K794" s="277">
        <f>ROUND(BK68,0)</f>
        <v>55282</v>
      </c>
      <c r="L794" s="277">
        <f>ROUND(BK69,0)</f>
        <v>4700</v>
      </c>
      <c r="M794" s="277">
        <f>ROUND(BK70,0)</f>
        <v>1824</v>
      </c>
      <c r="N794" s="277"/>
      <c r="O794" s="277"/>
      <c r="P794" s="277">
        <f>IF(BK76&gt;0,ROUND(BK76,0),0)</f>
        <v>2735</v>
      </c>
      <c r="Q794" s="277">
        <f>IF(BK77&gt;0,ROUND(BK77,0),0)</f>
        <v>0</v>
      </c>
      <c r="R794" s="277">
        <f>IF(BK78&gt;0,ROUND(BK78,0),0)</f>
        <v>2735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">
      <c r="A795" s="209" t="str">
        <f>RIGHT($C$83,3)&amp;"*"&amp;RIGHT($C$82,4)&amp;"*"&amp;BL$55&amp;"*"&amp;"A"</f>
        <v>152*2021*8560*A</v>
      </c>
      <c r="B795" s="277"/>
      <c r="C795" s="279">
        <f>ROUND(BL60,2)</f>
        <v>23.1</v>
      </c>
      <c r="D795" s="277">
        <f>ROUND(BL61,0)</f>
        <v>1171737</v>
      </c>
      <c r="E795" s="277">
        <f>ROUND(BL62,0)</f>
        <v>536122</v>
      </c>
      <c r="F795" s="277">
        <f>ROUND(BL63,0)</f>
        <v>0</v>
      </c>
      <c r="G795" s="277">
        <f>ROUND(BL64,0)</f>
        <v>19339</v>
      </c>
      <c r="H795" s="277">
        <f>ROUND(BL65,0)</f>
        <v>0</v>
      </c>
      <c r="I795" s="277">
        <f>ROUND(BL66,0)</f>
        <v>15377</v>
      </c>
      <c r="J795" s="277">
        <f>ROUND(BL67,0)</f>
        <v>59186</v>
      </c>
      <c r="K795" s="277">
        <f>ROUND(BL68,0)</f>
        <v>4089</v>
      </c>
      <c r="L795" s="277">
        <f>ROUND(BL69,0)</f>
        <v>0</v>
      </c>
      <c r="M795" s="277">
        <f>ROUND(BL70,0)</f>
        <v>0</v>
      </c>
      <c r="N795" s="277"/>
      <c r="O795" s="277"/>
      <c r="P795" s="277">
        <f>IF(BL76&gt;0,ROUND(BL76,0),0)</f>
        <v>1922</v>
      </c>
      <c r="Q795" s="277">
        <f>IF(BL77&gt;0,ROUND(BL77,0),0)</f>
        <v>0</v>
      </c>
      <c r="R795" s="277">
        <f>IF(BL78&gt;0,ROUND(BL78,0),0)</f>
        <v>1922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">
      <c r="A796" s="209" t="str">
        <f>RIGHT($C$83,3)&amp;"*"&amp;RIGHT($C$82,4)&amp;"*"&amp;BM$55&amp;"*"&amp;"A"</f>
        <v>152*2021*8590*A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">
      <c r="A797" s="209" t="str">
        <f>RIGHT($C$83,3)&amp;"*"&amp;RIGHT($C$82,4)&amp;"*"&amp;BN$55&amp;"*"&amp;"A"</f>
        <v>152*2021*8610*A</v>
      </c>
      <c r="B797" s="277"/>
      <c r="C797" s="279">
        <f>ROUND(BN60,2)</f>
        <v>10.8</v>
      </c>
      <c r="D797" s="277">
        <f>ROUND(BN61,0)</f>
        <v>1874859</v>
      </c>
      <c r="E797" s="277">
        <f>ROUND(BN62,0)</f>
        <v>560851</v>
      </c>
      <c r="F797" s="277">
        <f>ROUND(BN63,0)</f>
        <v>182343</v>
      </c>
      <c r="G797" s="277">
        <f>ROUND(BN64,0)</f>
        <v>50669</v>
      </c>
      <c r="H797" s="277">
        <f>ROUND(BN65,0)</f>
        <v>949</v>
      </c>
      <c r="I797" s="277">
        <f>ROUND(BN66,0)</f>
        <v>461077</v>
      </c>
      <c r="J797" s="277">
        <f>ROUND(BN67,0)</f>
        <v>165752</v>
      </c>
      <c r="K797" s="277">
        <f>ROUND(BN68,0)</f>
        <v>40410</v>
      </c>
      <c r="L797" s="277">
        <f>ROUND(BN69,0)</f>
        <v>317874</v>
      </c>
      <c r="M797" s="277">
        <f>ROUND(BN70,0)</f>
        <v>0</v>
      </c>
      <c r="N797" s="277"/>
      <c r="O797" s="277"/>
      <c r="P797" s="277">
        <f>IF(BN76&gt;0,ROUND(BN76,0),0)</f>
        <v>5383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">
      <c r="A798" s="209" t="str">
        <f>RIGHT($C$83,3)&amp;"*"&amp;RIGHT($C$82,4)&amp;"*"&amp;BO$55&amp;"*"&amp;"A"</f>
        <v>152*2021*8620*A</v>
      </c>
      <c r="B798" s="277"/>
      <c r="C798" s="279">
        <f>ROUND(BO60,2)</f>
        <v>1.85</v>
      </c>
      <c r="D798" s="277">
        <f>ROUND(BO61,0)</f>
        <v>165680</v>
      </c>
      <c r="E798" s="277">
        <f>ROUND(BO62,0)</f>
        <v>41890</v>
      </c>
      <c r="F798" s="277">
        <f>ROUND(BO63,0)</f>
        <v>0</v>
      </c>
      <c r="G798" s="277">
        <f>ROUND(BO64,0)</f>
        <v>1497</v>
      </c>
      <c r="H798" s="277">
        <f>ROUND(BO65,0)</f>
        <v>959</v>
      </c>
      <c r="I798" s="277">
        <f>ROUND(BO66,0)</f>
        <v>40033</v>
      </c>
      <c r="J798" s="277">
        <f>ROUND(BO67,0)</f>
        <v>8600</v>
      </c>
      <c r="K798" s="277">
        <f>ROUND(BO68,0)</f>
        <v>2460</v>
      </c>
      <c r="L798" s="277">
        <f>ROUND(BO69,0)</f>
        <v>2424</v>
      </c>
      <c r="M798" s="277">
        <f>ROUND(BO70,0)</f>
        <v>0</v>
      </c>
      <c r="N798" s="277"/>
      <c r="O798" s="277"/>
      <c r="P798" s="277">
        <f>IF(BO76&gt;0,ROUND(BO76,0),0)</f>
        <v>279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">
      <c r="A799" s="209" t="str">
        <f>RIGHT($C$83,3)&amp;"*"&amp;RIGHT($C$82,4)&amp;"*"&amp;BP$55&amp;"*"&amp;"A"</f>
        <v>152*2021*8630*A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1167</v>
      </c>
      <c r="H799" s="277">
        <f>ROUND(BP65,0)</f>
        <v>0</v>
      </c>
      <c r="I799" s="277">
        <f>ROUND(BP66,0)</f>
        <v>175231</v>
      </c>
      <c r="J799" s="277">
        <f>ROUND(BP67,0)</f>
        <v>87708</v>
      </c>
      <c r="K799" s="277">
        <f>ROUND(BP68,0)</f>
        <v>1870</v>
      </c>
      <c r="L799" s="277">
        <f>ROUND(BP69,0)</f>
        <v>53882</v>
      </c>
      <c r="M799" s="277">
        <f>ROUND(BP70,0)</f>
        <v>0</v>
      </c>
      <c r="N799" s="277"/>
      <c r="O799" s="277"/>
      <c r="P799" s="277">
        <f>IF(BP76&gt;0,ROUND(BP76,0),0)</f>
        <v>2848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">
      <c r="A800" s="209" t="str">
        <f>RIGHT($C$83,3)&amp;"*"&amp;RIGHT($C$82,4)&amp;"*"&amp;BQ$55&amp;"*"&amp;"A"</f>
        <v>152*2021*8640*A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">
      <c r="A801" s="209" t="str">
        <f>RIGHT($C$83,3)&amp;"*"&amp;RIGHT($C$82,4)&amp;"*"&amp;BR$55&amp;"*"&amp;"A"</f>
        <v>152*2021*8650*A</v>
      </c>
      <c r="B801" s="277"/>
      <c r="C801" s="279">
        <f>ROUND(BR60,2)</f>
        <v>5.53</v>
      </c>
      <c r="D801" s="277">
        <f>ROUND(BR61,0)</f>
        <v>554537</v>
      </c>
      <c r="E801" s="277">
        <f>ROUND(BR62,0)</f>
        <v>157001</v>
      </c>
      <c r="F801" s="277">
        <f>ROUND(BR63,0)</f>
        <v>0</v>
      </c>
      <c r="G801" s="277">
        <f>ROUND(BR64,0)</f>
        <v>10051</v>
      </c>
      <c r="H801" s="277">
        <f>ROUND(BR65,0)</f>
        <v>999</v>
      </c>
      <c r="I801" s="277">
        <f>ROUND(BR66,0)</f>
        <v>65374</v>
      </c>
      <c r="J801" s="277">
        <f>ROUND(BR67,0)</f>
        <v>65565</v>
      </c>
      <c r="K801" s="277">
        <f>ROUND(BR68,0)</f>
        <v>17733</v>
      </c>
      <c r="L801" s="277">
        <f>ROUND(BR69,0)</f>
        <v>154524</v>
      </c>
      <c r="M801" s="277">
        <f>ROUND(BR70,0)</f>
        <v>0</v>
      </c>
      <c r="N801" s="277"/>
      <c r="O801" s="277"/>
      <c r="P801" s="277">
        <f>IF(BR76&gt;0,ROUND(BR76,0),0)</f>
        <v>2129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">
      <c r="A802" s="209" t="str">
        <f>RIGHT($C$83,3)&amp;"*"&amp;RIGHT($C$82,4)&amp;"*"&amp;BS$55&amp;"*"&amp;"A"</f>
        <v>152*2021*8660*A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">
      <c r="A803" s="209" t="str">
        <f>RIGHT($C$83,3)&amp;"*"&amp;RIGHT($C$82,4)&amp;"*"&amp;BT$55&amp;"*"&amp;"A"</f>
        <v>152*2021*8670*A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">
      <c r="A804" s="209" t="str">
        <f>RIGHT($C$83,3)&amp;"*"&amp;RIGHT($C$82,4)&amp;"*"&amp;BU$55&amp;"*"&amp;"A"</f>
        <v>152*2021*8680*A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">
      <c r="A805" s="209" t="str">
        <f>RIGHT($C$83,3)&amp;"*"&amp;RIGHT($C$82,4)&amp;"*"&amp;BV$55&amp;"*"&amp;"A"</f>
        <v>152*2021*8690*A</v>
      </c>
      <c r="B805" s="277"/>
      <c r="C805" s="279">
        <f>ROUND(BV60,2)</f>
        <v>19.899999999999999</v>
      </c>
      <c r="D805" s="277">
        <f>ROUND(BV61,0)</f>
        <v>1174869</v>
      </c>
      <c r="E805" s="277">
        <f>ROUND(BV62,0)</f>
        <v>539963</v>
      </c>
      <c r="F805" s="277">
        <f>ROUND(BV63,0)</f>
        <v>0</v>
      </c>
      <c r="G805" s="277">
        <f>ROUND(BV64,0)</f>
        <v>8734</v>
      </c>
      <c r="H805" s="277">
        <f>ROUND(BV65,0)</f>
        <v>5014</v>
      </c>
      <c r="I805" s="277">
        <f>ROUND(BV66,0)</f>
        <v>504143</v>
      </c>
      <c r="J805" s="277">
        <f>ROUND(BV67,0)</f>
        <v>139982</v>
      </c>
      <c r="K805" s="277">
        <f>ROUND(BV68,0)</f>
        <v>47583</v>
      </c>
      <c r="L805" s="277">
        <f>ROUND(BV69,0)</f>
        <v>582</v>
      </c>
      <c r="M805" s="277">
        <f>ROUND(BV70,0)</f>
        <v>66361</v>
      </c>
      <c r="N805" s="277"/>
      <c r="O805" s="277"/>
      <c r="P805" s="277">
        <f>IF(BV76&gt;0,ROUND(BV76,0),0)</f>
        <v>4546</v>
      </c>
      <c r="Q805" s="277">
        <f>IF(BV77&gt;0,ROUND(BV77,0),0)</f>
        <v>0</v>
      </c>
      <c r="R805" s="277">
        <f>IF(BV78&gt;0,ROUND(BV78,0),0)</f>
        <v>4546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">
      <c r="A806" s="209" t="str">
        <f>RIGHT($C$83,3)&amp;"*"&amp;RIGHT($C$82,4)&amp;"*"&amp;BW$55&amp;"*"&amp;"A"</f>
        <v>152*2021*8700*A</v>
      </c>
      <c r="B806" s="277"/>
      <c r="C806" s="279">
        <f>ROUND(BW60,2)</f>
        <v>2.0099999999999998</v>
      </c>
      <c r="D806" s="277">
        <f>ROUND(BW61,0)</f>
        <v>170400</v>
      </c>
      <c r="E806" s="277">
        <f>ROUND(BW62,0)</f>
        <v>60518</v>
      </c>
      <c r="F806" s="277">
        <f>ROUND(BW63,0)</f>
        <v>20000</v>
      </c>
      <c r="G806" s="277">
        <f>ROUND(BW64,0)</f>
        <v>1745</v>
      </c>
      <c r="H806" s="277">
        <f>ROUND(BW65,0)</f>
        <v>0</v>
      </c>
      <c r="I806" s="277">
        <f>ROUND(BW66,0)</f>
        <v>13380</v>
      </c>
      <c r="J806" s="277">
        <f>ROUND(BW67,0)</f>
        <v>31467</v>
      </c>
      <c r="K806" s="277">
        <f>ROUND(BW68,0)</f>
        <v>780</v>
      </c>
      <c r="L806" s="277">
        <f>ROUND(BW69,0)</f>
        <v>36053</v>
      </c>
      <c r="M806" s="277">
        <f>ROUND(BW70,0)</f>
        <v>1500</v>
      </c>
      <c r="N806" s="277"/>
      <c r="O806" s="277"/>
      <c r="P806" s="277">
        <f>IF(BW76&gt;0,ROUND(BW76,0),0)</f>
        <v>1022</v>
      </c>
      <c r="Q806" s="277">
        <f>IF(BW77&gt;0,ROUND(BW77,0),0)</f>
        <v>0</v>
      </c>
      <c r="R806" s="277">
        <f>IF(BW78&gt;0,ROUND(BW78,0),0)</f>
        <v>1022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">
      <c r="A807" s="209" t="str">
        <f>RIGHT($C$83,3)&amp;"*"&amp;RIGHT($C$82,4)&amp;"*"&amp;BX$55&amp;"*"&amp;"A"</f>
        <v>152*2021*8710*A</v>
      </c>
      <c r="B807" s="277"/>
      <c r="C807" s="279">
        <f>ROUND(BX60,2)</f>
        <v>0</v>
      </c>
      <c r="D807" s="277">
        <f>ROUND(BX61,0)</f>
        <v>0</v>
      </c>
      <c r="E807" s="277">
        <f>ROUND(BX62,0)</f>
        <v>0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">
      <c r="A808" s="209" t="str">
        <f>RIGHT($C$83,3)&amp;"*"&amp;RIGHT($C$82,4)&amp;"*"&amp;BY$55&amp;"*"&amp;"A"</f>
        <v>152*2021*8720*A</v>
      </c>
      <c r="B808" s="277"/>
      <c r="C808" s="279">
        <f>ROUND(BY60,2)</f>
        <v>30</v>
      </c>
      <c r="D808" s="277">
        <f>ROUND(BY61,0)</f>
        <v>2937477</v>
      </c>
      <c r="E808" s="277">
        <f>ROUND(BY62,0)</f>
        <v>973981</v>
      </c>
      <c r="F808" s="277">
        <f>ROUND(BY63,0)</f>
        <v>102845</v>
      </c>
      <c r="G808" s="277">
        <f>ROUND(BY64,0)</f>
        <v>8591</v>
      </c>
      <c r="H808" s="277">
        <f>ROUND(BY65,0)</f>
        <v>5521</v>
      </c>
      <c r="I808" s="277">
        <f>ROUND(BY66,0)</f>
        <v>254019</v>
      </c>
      <c r="J808" s="277">
        <f>ROUND(BY67,0)</f>
        <v>53293</v>
      </c>
      <c r="K808" s="277">
        <f>ROUND(BY68,0)</f>
        <v>2457</v>
      </c>
      <c r="L808" s="277">
        <f>ROUND(BY69,0)</f>
        <v>39080</v>
      </c>
      <c r="M808" s="277">
        <f>ROUND(BY70,0)</f>
        <v>0</v>
      </c>
      <c r="N808" s="277"/>
      <c r="O808" s="277"/>
      <c r="P808" s="277">
        <f>IF(BY76&gt;0,ROUND(BY76,0),0)</f>
        <v>1731</v>
      </c>
      <c r="Q808" s="277">
        <f>IF(BY77&gt;0,ROUND(BY77,0),0)</f>
        <v>0</v>
      </c>
      <c r="R808" s="277">
        <f>IF(BY78&gt;0,ROUND(BY78,0),0)</f>
        <v>1731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">
      <c r="A809" s="209" t="str">
        <f>RIGHT($C$83,3)&amp;"*"&amp;RIGHT($C$82,4)&amp;"*"&amp;BZ$55&amp;"*"&amp;"A"</f>
        <v>152*2021*8730*A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">
      <c r="A810" s="209" t="str">
        <f>RIGHT($C$83,3)&amp;"*"&amp;RIGHT($C$82,4)&amp;"*"&amp;CA$55&amp;"*"&amp;"A"</f>
        <v>152*2021*8740*A</v>
      </c>
      <c r="B810" s="277"/>
      <c r="C810" s="279">
        <f>ROUND(CA60,2)</f>
        <v>1.1599999999999999</v>
      </c>
      <c r="D810" s="277">
        <f>ROUND(CA61,0)</f>
        <v>75829</v>
      </c>
      <c r="E810" s="277">
        <f>ROUND(CA62,0)</f>
        <v>29612</v>
      </c>
      <c r="F810" s="277">
        <f>ROUND(CA63,0)</f>
        <v>0</v>
      </c>
      <c r="G810" s="277">
        <f>ROUND(CA64,0)</f>
        <v>2482</v>
      </c>
      <c r="H810" s="277">
        <f>ROUND(CA65,0)</f>
        <v>0</v>
      </c>
      <c r="I810" s="277">
        <f>ROUND(CA66,0)</f>
        <v>43841</v>
      </c>
      <c r="J810" s="277">
        <f>ROUND(CA67,0)</f>
        <v>32211</v>
      </c>
      <c r="K810" s="277">
        <f>ROUND(CA68,0)</f>
        <v>20726</v>
      </c>
      <c r="L810" s="277">
        <f>ROUND(CA69,0)</f>
        <v>15999</v>
      </c>
      <c r="M810" s="277">
        <f>ROUND(CA70,0)</f>
        <v>0</v>
      </c>
      <c r="N810" s="277"/>
      <c r="O810" s="277"/>
      <c r="P810" s="277">
        <f>IF(CA76&gt;0,ROUND(CA76,0),0)</f>
        <v>1046</v>
      </c>
      <c r="Q810" s="277">
        <f>IF(CA77&gt;0,ROUND(CA77,0),0)</f>
        <v>0</v>
      </c>
      <c r="R810" s="277">
        <f>IF(CA78&gt;0,ROUND(CA78,0),0)</f>
        <v>1046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">
      <c r="A811" s="209" t="str">
        <f>RIGHT($C$83,3)&amp;"*"&amp;RIGHT($C$82,4)&amp;"*"&amp;CB$55&amp;"*"&amp;"A"</f>
        <v>152*2021*8770*A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">
      <c r="A812" s="209" t="str">
        <f>RIGHT($C$83,3)&amp;"*"&amp;RIGHT($C$82,4)&amp;"*"&amp;CC$55&amp;"*"&amp;"A"</f>
        <v>152*2021*8790*A</v>
      </c>
      <c r="B812" s="277"/>
      <c r="C812" s="279">
        <f>ROUND(CC60,2)</f>
        <v>14.17</v>
      </c>
      <c r="D812" s="277">
        <f>ROUND(CC61,0)</f>
        <v>1050523</v>
      </c>
      <c r="E812" s="277">
        <f>ROUND(CC62,0)</f>
        <v>421979</v>
      </c>
      <c r="F812" s="277">
        <f>ROUND(CC63,0)</f>
        <v>38318</v>
      </c>
      <c r="G812" s="277">
        <f>ROUND(CC64,0)</f>
        <v>143287</v>
      </c>
      <c r="H812" s="277">
        <f>ROUND(CC65,0)</f>
        <v>3941</v>
      </c>
      <c r="I812" s="277">
        <f>ROUND(CC66,0)</f>
        <v>1435886</v>
      </c>
      <c r="J812" s="277">
        <f>ROUND(CC67,0)</f>
        <v>562050</v>
      </c>
      <c r="K812" s="277">
        <f>ROUND(CC68,0)</f>
        <v>53790</v>
      </c>
      <c r="L812" s="277">
        <f>ROUND(CC69,0)</f>
        <v>28310</v>
      </c>
      <c r="M812" s="277">
        <f>ROUND(CC70,0)</f>
        <v>0</v>
      </c>
      <c r="N812" s="277"/>
      <c r="O812" s="277"/>
      <c r="P812" s="277">
        <f>IF(CC76&gt;0,ROUND(CC76,0),0)</f>
        <v>18252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">
      <c r="A813" s="209" t="str">
        <f>RIGHT($C$83,3)&amp;"*"&amp;RIGHT($C$82,4)&amp;"*"&amp;"9000"&amp;"*"&amp;"A"</f>
        <v>152*2021*9000*A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3521152</v>
      </c>
      <c r="V813" s="278">
        <f>ROUND(CD70,0)</f>
        <v>2616091</v>
      </c>
      <c r="W813" s="277">
        <f>ROUND(CE72,0)</f>
        <v>2332920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">
      <c r="B815" s="281" t="s">
        <v>1004</v>
      </c>
      <c r="C815" s="282">
        <f t="shared" ref="C815:K815" si="23">SUM(C734:C813)</f>
        <v>590.53999999999974</v>
      </c>
      <c r="D815" s="278">
        <f t="shared" si="23"/>
        <v>53021197</v>
      </c>
      <c r="E815" s="278">
        <f t="shared" si="23"/>
        <v>18160795</v>
      </c>
      <c r="F815" s="278">
        <f t="shared" si="23"/>
        <v>8144595</v>
      </c>
      <c r="G815" s="278">
        <f t="shared" si="23"/>
        <v>14691259</v>
      </c>
      <c r="H815" s="278">
        <f t="shared" si="23"/>
        <v>1239607</v>
      </c>
      <c r="I815" s="278">
        <f t="shared" si="23"/>
        <v>15654401</v>
      </c>
      <c r="J815" s="278">
        <f t="shared" si="23"/>
        <v>7902106</v>
      </c>
      <c r="K815" s="278">
        <f t="shared" si="23"/>
        <v>859386</v>
      </c>
      <c r="L815" s="278">
        <f>SUM(L734:L813)+SUM(U734:U813)</f>
        <v>4929237</v>
      </c>
      <c r="M815" s="278">
        <f>SUM(M734:M813)+SUM(V734:V813)</f>
        <v>8278333</v>
      </c>
      <c r="N815" s="278">
        <f t="shared" ref="N815:Y815" si="24">SUM(N734:N813)</f>
        <v>293272241</v>
      </c>
      <c r="O815" s="278">
        <f t="shared" si="24"/>
        <v>73483432</v>
      </c>
      <c r="P815" s="278">
        <f t="shared" si="24"/>
        <v>241490</v>
      </c>
      <c r="Q815" s="278">
        <f t="shared" si="24"/>
        <v>33137</v>
      </c>
      <c r="R815" s="278">
        <f t="shared" si="24"/>
        <v>171715</v>
      </c>
      <c r="S815" s="278">
        <f t="shared" si="24"/>
        <v>264967</v>
      </c>
      <c r="T815" s="282">
        <f t="shared" si="24"/>
        <v>132.38</v>
      </c>
      <c r="U815" s="278">
        <f t="shared" si="24"/>
        <v>3521152</v>
      </c>
      <c r="V815" s="278">
        <f t="shared" si="24"/>
        <v>2616091</v>
      </c>
      <c r="W815" s="278">
        <f t="shared" si="24"/>
        <v>2332920</v>
      </c>
      <c r="X815" s="278">
        <f t="shared" si="24"/>
        <v>0</v>
      </c>
      <c r="Y815" s="278">
        <f t="shared" si="24"/>
        <v>40302921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">
      <c r="B816" s="278" t="s">
        <v>1005</v>
      </c>
      <c r="C816" s="282">
        <f>CE60</f>
        <v>590.53032129658641</v>
      </c>
      <c r="D816" s="278">
        <f>CE61</f>
        <v>53021196.609999999</v>
      </c>
      <c r="E816" s="278">
        <f>CE62</f>
        <v>18160795</v>
      </c>
      <c r="F816" s="278">
        <f>CE63</f>
        <v>8144595.4299999997</v>
      </c>
      <c r="G816" s="278">
        <f>CE64</f>
        <v>14691258.549999997</v>
      </c>
      <c r="H816" s="281">
        <f>CE65</f>
        <v>1239606.42</v>
      </c>
      <c r="I816" s="281">
        <f>CE66</f>
        <v>15654400.800000001</v>
      </c>
      <c r="J816" s="281">
        <f>CE67</f>
        <v>7902106</v>
      </c>
      <c r="K816" s="281">
        <f>CE68</f>
        <v>859385.12999999977</v>
      </c>
      <c r="L816" s="281">
        <f>CE69</f>
        <v>4929233.9699999988</v>
      </c>
      <c r="M816" s="281">
        <f>CE70</f>
        <v>8278333.6000000015</v>
      </c>
      <c r="N816" s="278">
        <f>CE75</f>
        <v>293272240.48999995</v>
      </c>
      <c r="O816" s="278">
        <f>CE73</f>
        <v>73483429.809999987</v>
      </c>
      <c r="P816" s="278">
        <f>CE76</f>
        <v>241486.90000000002</v>
      </c>
      <c r="Q816" s="278">
        <f>CE77</f>
        <v>33137.17733645202</v>
      </c>
      <c r="R816" s="278">
        <f>CE78</f>
        <v>171713.11000000002</v>
      </c>
      <c r="S816" s="278">
        <f>CE79</f>
        <v>264967</v>
      </c>
      <c r="T816" s="282">
        <f>CE80</f>
        <v>132.37950006685438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40302918.910000004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53021196.609999999</v>
      </c>
      <c r="E817" s="180">
        <f>C379</f>
        <v>18160794.949999999</v>
      </c>
      <c r="F817" s="180">
        <f>C380</f>
        <v>8144595.4300000006</v>
      </c>
      <c r="G817" s="241">
        <f>C381</f>
        <v>14691258.52</v>
      </c>
      <c r="H817" s="241">
        <f>C382</f>
        <v>1239606.42</v>
      </c>
      <c r="I817" s="241">
        <f>C383</f>
        <v>15654400.800000001</v>
      </c>
      <c r="J817" s="241">
        <f>C384</f>
        <v>7902106.0800000001</v>
      </c>
      <c r="K817" s="241">
        <f>C385</f>
        <v>859385.13</v>
      </c>
      <c r="L817" s="241">
        <f>C386+C387+C388+C389</f>
        <v>4929233.97</v>
      </c>
      <c r="M817" s="241">
        <f>C370</f>
        <v>8278333.5999999996</v>
      </c>
      <c r="N817" s="180">
        <f>D361</f>
        <v>293272240.49000001</v>
      </c>
      <c r="O817" s="180">
        <f>C359</f>
        <v>73483429.810000002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Public Hospital District No 1 of Mason County, WA, DBA Mason Health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H-152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901 Mountain View Drive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901 Mountain View Drive, PO Box 1668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Shelton, WA 98584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H-152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Public Hospital District No 1 of Mason County, WA, DBA Mason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Mason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Eric Moll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Rick Smith, CFO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Darrin Moody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360-432-7721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360-427-1921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1498</v>
      </c>
      <c r="G23" s="21">
        <f>data!D111</f>
        <v>5438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317</v>
      </c>
      <c r="G26" s="13">
        <f>data!D114</f>
        <v>619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Public Hospital District No 1 of Mason County, WA, DBA Mason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798</v>
      </c>
      <c r="C7" s="48">
        <f>data!B139</f>
        <v>3165</v>
      </c>
      <c r="D7" s="48">
        <f>data!B140</f>
        <v>72057</v>
      </c>
      <c r="E7" s="48">
        <f>data!B141</f>
        <v>38087808.270000003</v>
      </c>
      <c r="F7" s="48">
        <f>data!B142</f>
        <v>94970948.129999995</v>
      </c>
      <c r="G7" s="48">
        <f>data!B141+data!B142</f>
        <v>133058756.40000001</v>
      </c>
    </row>
    <row r="8" spans="1:13" ht="20.149999999999999" customHeight="1" x14ac:dyDescent="0.35">
      <c r="A8" s="23" t="s">
        <v>297</v>
      </c>
      <c r="B8" s="48">
        <f>data!C138</f>
        <v>416</v>
      </c>
      <c r="C8" s="48">
        <f>data!C139</f>
        <v>1262</v>
      </c>
      <c r="D8" s="48">
        <f>data!C140</f>
        <v>57095</v>
      </c>
      <c r="E8" s="48">
        <f>data!C141</f>
        <v>20153301.789999999</v>
      </c>
      <c r="F8" s="48">
        <f>data!C142</f>
        <v>62490016.439999998</v>
      </c>
      <c r="G8" s="48">
        <f>data!C141+data!C142</f>
        <v>82643318.229999989</v>
      </c>
    </row>
    <row r="9" spans="1:13" ht="20.149999999999999" customHeight="1" x14ac:dyDescent="0.35">
      <c r="A9" s="23" t="s">
        <v>1058</v>
      </c>
      <c r="B9" s="48">
        <f>data!D138</f>
        <v>284</v>
      </c>
      <c r="C9" s="48">
        <f>data!D139</f>
        <v>1011</v>
      </c>
      <c r="D9" s="48">
        <f>data!D140</f>
        <v>58712</v>
      </c>
      <c r="E9" s="48">
        <f>data!D141</f>
        <v>15242319.75</v>
      </c>
      <c r="F9" s="48">
        <f>data!D142</f>
        <v>62327846.109999999</v>
      </c>
      <c r="G9" s="48">
        <f>data!D141+data!D142</f>
        <v>77570165.859999999</v>
      </c>
    </row>
    <row r="10" spans="1:13" ht="20.149999999999999" customHeight="1" x14ac:dyDescent="0.35">
      <c r="A10" s="111" t="s">
        <v>203</v>
      </c>
      <c r="B10" s="48">
        <f>data!E138</f>
        <v>1498</v>
      </c>
      <c r="C10" s="48">
        <f>data!E139</f>
        <v>5438</v>
      </c>
      <c r="D10" s="48">
        <f>data!E140</f>
        <v>187864</v>
      </c>
      <c r="E10" s="48">
        <f>data!E141</f>
        <v>73483429.810000002</v>
      </c>
      <c r="F10" s="48">
        <f>data!E142</f>
        <v>219788810.68000001</v>
      </c>
      <c r="G10" s="48">
        <f>data!E141+data!E142</f>
        <v>293272240.49000001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6267693.1399999997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2819637.43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46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Public Hospital District No 1 of Mason County, WA, DBA Mason Health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3709281.29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34735.730000000003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214875.59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11007063.310000001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90690.010000000009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2880081.3000000003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224067.23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18160794.460000001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218168.49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641216.64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859385.13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471620.07000000007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436199.95999999996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907820.03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686822.73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686822.73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2141746.4899999998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2141746.4899999998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Public Hospital District No 1 of Mason County, WA, DBA Mason Health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2015497.22</v>
      </c>
      <c r="D7" s="21">
        <f>data!C195</f>
        <v>0</v>
      </c>
      <c r="E7" s="21">
        <f>data!D195</f>
        <v>0</v>
      </c>
      <c r="F7" s="21">
        <f>data!E195</f>
        <v>2015497.22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11010199.720000001</v>
      </c>
      <c r="D8" s="21">
        <f>data!C196</f>
        <v>32785.57</v>
      </c>
      <c r="E8" s="21">
        <f>data!D196</f>
        <v>0</v>
      </c>
      <c r="F8" s="21">
        <f>data!E196</f>
        <v>11042985.290000001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57334670.100000001</v>
      </c>
      <c r="D9" s="21">
        <f>data!C197</f>
        <v>29609.09</v>
      </c>
      <c r="E9" s="21">
        <f>data!D197</f>
        <v>0</v>
      </c>
      <c r="F9" s="21">
        <f>data!E197</f>
        <v>57364279.190000005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32196070.280000001</v>
      </c>
      <c r="D10" s="21">
        <f>data!C198</f>
        <v>403918.16</v>
      </c>
      <c r="E10" s="21">
        <f>data!D198</f>
        <v>0</v>
      </c>
      <c r="F10" s="21">
        <f>data!E198</f>
        <v>32599988.440000001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39071172.310000002</v>
      </c>
      <c r="D12" s="21">
        <f>data!C200</f>
        <v>1914984.33</v>
      </c>
      <c r="E12" s="21">
        <f>data!D200</f>
        <v>1038423.24</v>
      </c>
      <c r="F12" s="21">
        <f>data!E200</f>
        <v>39947733.399999999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1163193.04</v>
      </c>
      <c r="D14" s="21">
        <f>data!C202</f>
        <v>0</v>
      </c>
      <c r="E14" s="21">
        <f>data!D202</f>
        <v>0</v>
      </c>
      <c r="F14" s="21">
        <f>data!E202</f>
        <v>1163193.04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1538936.82</v>
      </c>
      <c r="D15" s="21">
        <f>data!C203</f>
        <v>3050544.29</v>
      </c>
      <c r="E15" s="21">
        <f>data!D203</f>
        <v>1682359.62</v>
      </c>
      <c r="F15" s="21">
        <f>data!E203</f>
        <v>2907121.49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144329739.48999998</v>
      </c>
      <c r="D16" s="21">
        <f>data!C204</f>
        <v>5431841.4399999995</v>
      </c>
      <c r="E16" s="21">
        <f>data!D204</f>
        <v>2720782.8600000003</v>
      </c>
      <c r="F16" s="21">
        <f>data!E204</f>
        <v>147040798.06999999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2721542.47</v>
      </c>
      <c r="D24" s="21">
        <f>data!C209</f>
        <v>766060.45</v>
      </c>
      <c r="E24" s="21">
        <f>data!D209</f>
        <v>0</v>
      </c>
      <c r="F24" s="21">
        <f>data!E209</f>
        <v>3487602.92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21279639.199999999</v>
      </c>
      <c r="D25" s="21">
        <f>data!C210</f>
        <v>2503630.04</v>
      </c>
      <c r="E25" s="21">
        <f>data!D210</f>
        <v>0</v>
      </c>
      <c r="F25" s="21">
        <f>data!E210</f>
        <v>23783269.239999998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12303772.77</v>
      </c>
      <c r="D26" s="21">
        <f>data!C211</f>
        <v>1810096.38</v>
      </c>
      <c r="E26" s="21">
        <f>data!D211</f>
        <v>0</v>
      </c>
      <c r="F26" s="21">
        <f>data!E211</f>
        <v>14113869.149999999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30162457.829999998</v>
      </c>
      <c r="D28" s="21">
        <f>data!C213</f>
        <v>2649086.56</v>
      </c>
      <c r="E28" s="21">
        <f>data!D213</f>
        <v>1022559.01</v>
      </c>
      <c r="F28" s="21">
        <f>data!E213</f>
        <v>31788985.379999995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473101.24</v>
      </c>
      <c r="D30" s="21">
        <f>data!C215</f>
        <v>173232.65</v>
      </c>
      <c r="E30" s="21">
        <f>data!D215</f>
        <v>0</v>
      </c>
      <c r="F30" s="21">
        <f>data!E215</f>
        <v>646333.89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66940513.509999998</v>
      </c>
      <c r="D32" s="21">
        <f>data!C217</f>
        <v>7902106.0800000001</v>
      </c>
      <c r="E32" s="21">
        <f>data!D217</f>
        <v>1022559.01</v>
      </c>
      <c r="F32" s="21">
        <f>data!E217</f>
        <v>73820060.579999998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Public Hospital District No 1 of Mason County, WA, DBA Mason Health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3753986.2000000007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74649469.299999997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54134856.170000002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4620366.83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27280979.5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160685671.80000001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1741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444332.08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3905197.58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4349529.66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4102989.56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172892177.22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Public Hospital District No 1 of Mason County, WA, DBA Mason Health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86981018.279999971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50076554.970000006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29767403</v>
      </c>
    </row>
    <row r="10" spans="1:13" ht="20.149999999999999" customHeight="1" x14ac:dyDescent="0.35">
      <c r="A10" s="13">
        <v>6</v>
      </c>
      <c r="B10" s="14" t="s">
        <v>1105</v>
      </c>
      <c r="C10" s="21" t="str">
        <f>data!C254</f>
        <v/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293651.75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1478868.8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1020360.1699999997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110083050.96999997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5130581.7499999991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5130581.7499999991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2015497.22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11042985.290000001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57364279.190000005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32599988.440000001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39947733.410000019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1163193.04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2907121.4899999998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147040798.08000001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73820060.579999998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73220737.500000015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188434370.21999997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Public Hospital District No 1 of Mason County, WA, DBA Mason Health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3278421.2199999993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8182894.7799999993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80209.37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13402761.359999998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178430.74000000002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1505000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26627717.469999995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3749886.7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3749886.7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60467251.230000004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60467251.230000004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1505000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58962251.230000004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99094514.820000023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99094514.820000023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188434370.22000003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Public Hospital District No 1 of Mason County, WA, DBA Mason Health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73483429.810000002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219788810.68000001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293272240.49000001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3753986.2000000007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160685671.80000001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4349529.66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4102989.56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172892177.22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120380063.27000001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8278333.5999999996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2332919.7799999998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10611253.379999999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130991316.65000001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53021196.609999999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18160794.949999999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8144595.4300000006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14691258.52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1239606.42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15654400.800000001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7902106.0800000001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859385.13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907820.03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686822.73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2141746.4899999998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1192844.72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124602577.91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6388738.7400000095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672842.04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7061580.7800000096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7061580.7800000096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43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Public Hospital District No 1 of Mason County, WA, DBA Mason Health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1166</v>
      </c>
      <c r="D9" s="14">
        <f>data!D59</f>
        <v>0</v>
      </c>
      <c r="E9" s="14">
        <f>data!E59</f>
        <v>4272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19.982597130494504</v>
      </c>
      <c r="D10" s="26">
        <f>data!D60</f>
        <v>0</v>
      </c>
      <c r="E10" s="26">
        <f>data!E60</f>
        <v>48.04791311195055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2122612.08</v>
      </c>
      <c r="D11" s="14">
        <f>data!D61</f>
        <v>0</v>
      </c>
      <c r="E11" s="14">
        <f>data!E61</f>
        <v>4659053.33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686356</v>
      </c>
      <c r="D12" s="14">
        <f>data!D62</f>
        <v>0</v>
      </c>
      <c r="E12" s="14">
        <f>data!E62</f>
        <v>1567618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186078.75</v>
      </c>
      <c r="D13" s="14">
        <f>data!D63</f>
        <v>0</v>
      </c>
      <c r="E13" s="14">
        <f>data!E63</f>
        <v>964317.81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320092.3899999999</v>
      </c>
      <c r="D14" s="14">
        <f>data!D64</f>
        <v>0</v>
      </c>
      <c r="E14" s="14">
        <f>data!E64</f>
        <v>218344.20000000004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615.27</v>
      </c>
      <c r="D15" s="14">
        <f>data!D65</f>
        <v>0</v>
      </c>
      <c r="E15" s="14">
        <f>data!E65</f>
        <v>1139.0999999999999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5725</v>
      </c>
      <c r="D16" s="14">
        <f>data!D66</f>
        <v>0</v>
      </c>
      <c r="E16" s="14">
        <f>data!E66</f>
        <v>10523.729999999998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200724</v>
      </c>
      <c r="D17" s="14">
        <f>data!D67</f>
        <v>0</v>
      </c>
      <c r="E17" s="14">
        <f>data!E67</f>
        <v>592913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1665.61</v>
      </c>
      <c r="D18" s="14">
        <f>data!D68</f>
        <v>0</v>
      </c>
      <c r="E18" s="14">
        <f>data!E68</f>
        <v>4261.25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335</v>
      </c>
      <c r="D19" s="14">
        <f>data!D69</f>
        <v>0</v>
      </c>
      <c r="E19" s="14">
        <f>data!E69</f>
        <v>6926.1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3524204.0999999996</v>
      </c>
      <c r="D21" s="14">
        <f>data!D71</f>
        <v>0</v>
      </c>
      <c r="E21" s="14">
        <f>data!E71</f>
        <v>8025096.5200000005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2704061</v>
      </c>
      <c r="D23" s="48">
        <f>+data!M669</f>
        <v>0</v>
      </c>
      <c r="E23" s="48">
        <f>+data!M670</f>
        <v>7069084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11732206.609999999</v>
      </c>
      <c r="D24" s="14">
        <f>data!D73</f>
        <v>0</v>
      </c>
      <c r="E24" s="14">
        <f>data!E73</f>
        <v>22071398.569999997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2595214.13</v>
      </c>
      <c r="D25" s="14">
        <f>data!D74</f>
        <v>0</v>
      </c>
      <c r="E25" s="14">
        <f>data!E74</f>
        <v>7644238.2700000005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14327420.739999998</v>
      </c>
      <c r="D26" s="14">
        <f>data!D75</f>
        <v>0</v>
      </c>
      <c r="E26" s="14">
        <f>data!E75</f>
        <v>29715636.839999996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6518.13</v>
      </c>
      <c r="D28" s="14">
        <f>data!D76</f>
        <v>0</v>
      </c>
      <c r="E28" s="14">
        <f>data!E76</f>
        <v>19253.77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5460.6088594605108</v>
      </c>
      <c r="D29" s="14">
        <f>data!D77</f>
        <v>0</v>
      </c>
      <c r="E29" s="14">
        <f>data!E77</f>
        <v>26275.184773848963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6518.13</v>
      </c>
      <c r="D30" s="14">
        <f>data!D78</f>
        <v>0</v>
      </c>
      <c r="E30" s="14">
        <f>data!E78</f>
        <v>19253.77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31193</v>
      </c>
      <c r="D31" s="14">
        <f>data!D79</f>
        <v>0</v>
      </c>
      <c r="E31" s="14">
        <f>data!E79</f>
        <v>58134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19.982597130494504</v>
      </c>
      <c r="D32" s="84">
        <f>data!D80</f>
        <v>0</v>
      </c>
      <c r="E32" s="84">
        <f>data!E80</f>
        <v>48.04791311195055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Public Hospital District No 1 of Mason County, WA, DBA Mason Health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619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883</v>
      </c>
      <c r="I41" s="14">
        <f>data!P59</f>
        <v>133270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16.607230490899724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1410228.5899999999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490976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223065.42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30400.47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75112.350000000006</v>
      </c>
      <c r="I46" s="14">
        <f>data!P64</f>
        <v>852488.84000000008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615.27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3220.5799999999995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8662.19</v>
      </c>
      <c r="I48" s="14">
        <f>data!P66</f>
        <v>198000.58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14844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30022</v>
      </c>
      <c r="I49" s="14">
        <f>data!P67</f>
        <v>202182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838.99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1206.44</v>
      </c>
      <c r="I50" s="14">
        <f>data!P68</f>
        <v>123312.06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801.03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4835.99</v>
      </c>
      <c r="I51" s="14">
        <f>data!P69</f>
        <v>7663.66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50105.07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119838.97000000002</v>
      </c>
      <c r="I53" s="14">
        <f>data!P71</f>
        <v>3508532.42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108697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302389</v>
      </c>
      <c r="I55" s="48">
        <f>+data!M681</f>
        <v>2583596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1261578.9500000002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2477639.73</v>
      </c>
      <c r="I56" s="14">
        <f>data!P73</f>
        <v>4774045.49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85577.85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701997.38</v>
      </c>
      <c r="I57" s="14">
        <f>data!P74</f>
        <v>14641376.280000001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1347156.8000000003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3179637.11</v>
      </c>
      <c r="I58" s="14">
        <f>data!P75</f>
        <v>19415421.770000003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482.03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974.9</v>
      </c>
      <c r="I60" s="14">
        <f>data!P76</f>
        <v>6565.4999999999991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281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482.03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974.9</v>
      </c>
      <c r="I62" s="14">
        <f>data!P78</f>
        <v>6565.4999999999991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29403</v>
      </c>
      <c r="I63" s="14">
        <f>data!P79</f>
        <v>30333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16.607230490899724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Public Hospital District No 1 of Mason County, WA, DBA Mason Health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121066</v>
      </c>
      <c r="D73" s="48">
        <f>data!R59</f>
        <v>133270</v>
      </c>
      <c r="E73" s="212"/>
      <c r="F73" s="212"/>
      <c r="G73" s="14">
        <f>data!U59</f>
        <v>263013</v>
      </c>
      <c r="H73" s="14">
        <f>data!V59</f>
        <v>0</v>
      </c>
      <c r="I73" s="14">
        <f>data!W59</f>
        <v>2000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13.104546598729398</v>
      </c>
      <c r="D74" s="26">
        <f>data!R60</f>
        <v>3.9400814835164826</v>
      </c>
      <c r="E74" s="26">
        <f>data!S60</f>
        <v>0</v>
      </c>
      <c r="F74" s="26">
        <f>data!T60</f>
        <v>0</v>
      </c>
      <c r="G74" s="26">
        <f>data!U60</f>
        <v>27.920440970975271</v>
      </c>
      <c r="H74" s="26">
        <f>data!V60</f>
        <v>0</v>
      </c>
      <c r="I74" s="26">
        <f>data!W60</f>
        <v>2.0669674196428574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1401259.7799999998</v>
      </c>
      <c r="D75" s="14">
        <f>data!R61</f>
        <v>903136.77</v>
      </c>
      <c r="E75" s="14">
        <f>data!S61</f>
        <v>0</v>
      </c>
      <c r="F75" s="14">
        <f>data!T61</f>
        <v>0</v>
      </c>
      <c r="G75" s="14">
        <f>data!U61</f>
        <v>1925402.5099999998</v>
      </c>
      <c r="H75" s="14">
        <f>data!V61</f>
        <v>0</v>
      </c>
      <c r="I75" s="14">
        <f>data!W61</f>
        <v>209439.83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484609</v>
      </c>
      <c r="D76" s="14">
        <f>data!R62</f>
        <v>209111</v>
      </c>
      <c r="E76" s="14">
        <f>data!S62</f>
        <v>0</v>
      </c>
      <c r="F76" s="14">
        <f>data!T62</f>
        <v>0</v>
      </c>
      <c r="G76" s="14">
        <f>data!U62</f>
        <v>708880</v>
      </c>
      <c r="H76" s="14">
        <f>data!V62</f>
        <v>0</v>
      </c>
      <c r="I76" s="14">
        <f>data!W62</f>
        <v>83905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113557.82</v>
      </c>
      <c r="E77" s="14">
        <f>data!S63</f>
        <v>0</v>
      </c>
      <c r="F77" s="14">
        <f>data!T63</f>
        <v>0</v>
      </c>
      <c r="G77" s="14">
        <f>data!U63</f>
        <v>164966.19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108313.24</v>
      </c>
      <c r="D78" s="14">
        <f>data!R64</f>
        <v>55471.08</v>
      </c>
      <c r="E78" s="14">
        <f>data!S64</f>
        <v>4611449.82</v>
      </c>
      <c r="F78" s="14">
        <f>data!T64</f>
        <v>0</v>
      </c>
      <c r="G78" s="14">
        <f>data!U64</f>
        <v>2026808.92</v>
      </c>
      <c r="H78" s="14">
        <f>data!V64</f>
        <v>0</v>
      </c>
      <c r="I78" s="14">
        <f>data!W64</f>
        <v>23972.94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107.52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6785.8</v>
      </c>
      <c r="D80" s="14">
        <f>data!R66</f>
        <v>58159.54</v>
      </c>
      <c r="E80" s="14">
        <f>data!S66</f>
        <v>109.67</v>
      </c>
      <c r="F80" s="14">
        <f>data!T66</f>
        <v>0</v>
      </c>
      <c r="G80" s="14">
        <f>data!U66</f>
        <v>1089953.4100000001</v>
      </c>
      <c r="H80" s="14">
        <f>data!V66</f>
        <v>0</v>
      </c>
      <c r="I80" s="14">
        <f>data!W66</f>
        <v>10729.4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223177</v>
      </c>
      <c r="D81" s="14">
        <f>data!R67</f>
        <v>9596</v>
      </c>
      <c r="E81" s="14">
        <f>data!S67</f>
        <v>91472</v>
      </c>
      <c r="F81" s="14">
        <f>data!T67</f>
        <v>0</v>
      </c>
      <c r="G81" s="14">
        <f>data!U67</f>
        <v>135280</v>
      </c>
      <c r="H81" s="14">
        <f>data!V67</f>
        <v>0</v>
      </c>
      <c r="I81" s="14">
        <f>data!W67</f>
        <v>65823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2750.2999999999993</v>
      </c>
      <c r="D82" s="14">
        <f>data!R68</f>
        <v>1084.0899999999999</v>
      </c>
      <c r="E82" s="14">
        <f>data!S68</f>
        <v>89778.7</v>
      </c>
      <c r="F82" s="14">
        <f>data!T68</f>
        <v>0</v>
      </c>
      <c r="G82" s="14">
        <f>data!U68</f>
        <v>4453.6799999999994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2164.17</v>
      </c>
      <c r="D83" s="14">
        <f>data!R69</f>
        <v>17645.97</v>
      </c>
      <c r="E83" s="14">
        <f>data!S69</f>
        <v>0</v>
      </c>
      <c r="F83" s="14">
        <f>data!T69</f>
        <v>0</v>
      </c>
      <c r="G83" s="14">
        <f>data!U69</f>
        <v>1990.81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-1971107.04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2229059.2899999996</v>
      </c>
      <c r="D85" s="14">
        <f>data!R71</f>
        <v>-603344.76999999979</v>
      </c>
      <c r="E85" s="14">
        <f>data!S71</f>
        <v>4792810.1900000004</v>
      </c>
      <c r="F85" s="14">
        <f>data!T71</f>
        <v>0</v>
      </c>
      <c r="G85" s="14">
        <f>data!U71</f>
        <v>6057843.0399999982</v>
      </c>
      <c r="H85" s="14">
        <f>data!V71</f>
        <v>0</v>
      </c>
      <c r="I85" s="14">
        <f>data!W71</f>
        <v>393870.17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1484601</v>
      </c>
      <c r="D87" s="48">
        <f>+data!M683</f>
        <v>273545</v>
      </c>
      <c r="E87" s="48">
        <f>+data!M684</f>
        <v>1358365</v>
      </c>
      <c r="F87" s="48">
        <f>+data!M685</f>
        <v>0</v>
      </c>
      <c r="G87" s="48">
        <f>+data!M686</f>
        <v>3212014</v>
      </c>
      <c r="H87" s="48">
        <f>+data!M687</f>
        <v>0</v>
      </c>
      <c r="I87" s="48">
        <f>+data!M688</f>
        <v>640722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933278.89999999991</v>
      </c>
      <c r="D88" s="14">
        <f>data!R73</f>
        <v>394580.59</v>
      </c>
      <c r="E88" s="14">
        <f>data!S73</f>
        <v>3531152.58</v>
      </c>
      <c r="F88" s="14">
        <f>data!T73</f>
        <v>0</v>
      </c>
      <c r="G88" s="14">
        <f>data!U73</f>
        <v>5930684.21</v>
      </c>
      <c r="H88" s="14">
        <f>data!V73</f>
        <v>0</v>
      </c>
      <c r="I88" s="14">
        <f>data!W73</f>
        <v>452352.66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5874348.419999999</v>
      </c>
      <c r="D89" s="14">
        <f>data!R74</f>
        <v>1920213.96</v>
      </c>
      <c r="E89" s="14">
        <f>data!S74</f>
        <v>5688105.4900000002</v>
      </c>
      <c r="F89" s="14">
        <f>data!T74</f>
        <v>0</v>
      </c>
      <c r="G89" s="14">
        <f>data!U74</f>
        <v>31227051.009999998</v>
      </c>
      <c r="H89" s="14">
        <f>data!V74</f>
        <v>0</v>
      </c>
      <c r="I89" s="14">
        <f>data!W74</f>
        <v>7818335.1200000001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6807627.3199999984</v>
      </c>
      <c r="D90" s="14">
        <f>data!R75</f>
        <v>2314794.5499999998</v>
      </c>
      <c r="E90" s="14">
        <f>data!S75</f>
        <v>9219258.0700000003</v>
      </c>
      <c r="F90" s="14">
        <f>data!T75</f>
        <v>0</v>
      </c>
      <c r="G90" s="14">
        <f>data!U75</f>
        <v>37157735.219999999</v>
      </c>
      <c r="H90" s="14">
        <f>data!V75</f>
        <v>0</v>
      </c>
      <c r="I90" s="14">
        <f>data!W75</f>
        <v>8270687.7800000003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7247.26</v>
      </c>
      <c r="D92" s="14">
        <f>data!R76</f>
        <v>311.61</v>
      </c>
      <c r="E92" s="14">
        <f>data!S76</f>
        <v>2970.4</v>
      </c>
      <c r="F92" s="14">
        <f>data!T76</f>
        <v>0</v>
      </c>
      <c r="G92" s="14">
        <f>data!U76</f>
        <v>4392.96</v>
      </c>
      <c r="H92" s="14">
        <f>data!V76</f>
        <v>0</v>
      </c>
      <c r="I92" s="14">
        <f>data!W76</f>
        <v>2137.4699999999998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7247.26</v>
      </c>
      <c r="D94" s="14">
        <f>data!R78</f>
        <v>311.61</v>
      </c>
      <c r="E94" s="14">
        <f>data!S78</f>
        <v>2970.4</v>
      </c>
      <c r="F94" s="14">
        <f>data!T78</f>
        <v>0</v>
      </c>
      <c r="G94" s="14">
        <f>data!U78</f>
        <v>4392.96</v>
      </c>
      <c r="H94" s="14">
        <f>data!V78</f>
        <v>0</v>
      </c>
      <c r="I94" s="14">
        <f>data!W78</f>
        <v>2137.4699999999998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20847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611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13.104546598729398</v>
      </c>
      <c r="D96" s="84">
        <f>data!R80</f>
        <v>3.9400814835164826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Public Hospital District No 1 of Mason County, WA, DBA Mason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33716</v>
      </c>
      <c r="D105" s="14">
        <f>data!Y59</f>
        <v>23754</v>
      </c>
      <c r="E105" s="14">
        <f>data!Z59</f>
        <v>0</v>
      </c>
      <c r="F105" s="14">
        <f>data!AA59</f>
        <v>1696</v>
      </c>
      <c r="G105" s="212"/>
      <c r="H105" s="14">
        <f>data!AC59</f>
        <v>5325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3.9518429646291207</v>
      </c>
      <c r="D106" s="26">
        <f>data!Y60</f>
        <v>23.596347804429946</v>
      </c>
      <c r="E106" s="26">
        <f>data!Z60</f>
        <v>0</v>
      </c>
      <c r="F106" s="26">
        <f>data!AA60</f>
        <v>0.90204462293956034</v>
      </c>
      <c r="G106" s="26">
        <f>data!AB60</f>
        <v>13.614623397493132</v>
      </c>
      <c r="H106" s="26">
        <f>data!AC60</f>
        <v>8.5926150630151099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432158.98</v>
      </c>
      <c r="D107" s="14">
        <f>data!Y61</f>
        <v>1942598.86</v>
      </c>
      <c r="E107" s="14">
        <f>data!Z61</f>
        <v>0</v>
      </c>
      <c r="F107" s="14">
        <f>data!AA61</f>
        <v>92301.07</v>
      </c>
      <c r="G107" s="14">
        <f>data!AB61</f>
        <v>1573055.8599999999</v>
      </c>
      <c r="H107" s="14">
        <f>data!AC61</f>
        <v>766905.3400000002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148908</v>
      </c>
      <c r="D108" s="14">
        <f>data!Y62</f>
        <v>707662</v>
      </c>
      <c r="E108" s="14">
        <f>data!Z62</f>
        <v>0</v>
      </c>
      <c r="F108" s="14">
        <f>data!AA62</f>
        <v>29716</v>
      </c>
      <c r="G108" s="14">
        <f>data!AB62</f>
        <v>549092</v>
      </c>
      <c r="H108" s="14">
        <f>data!AC62</f>
        <v>310348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152405.16999999998</v>
      </c>
      <c r="D110" s="14">
        <f>data!Y64</f>
        <v>65569.100000000006</v>
      </c>
      <c r="E110" s="14">
        <f>data!Z64</f>
        <v>0</v>
      </c>
      <c r="F110" s="14">
        <f>data!AA64</f>
        <v>40181.019999999997</v>
      </c>
      <c r="G110" s="14">
        <f>data!AB64</f>
        <v>2757108.99</v>
      </c>
      <c r="H110" s="14">
        <f>data!AC64</f>
        <v>130772.86999999998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90981.610000000015</v>
      </c>
      <c r="D112" s="14">
        <f>data!Y66</f>
        <v>663580.61</v>
      </c>
      <c r="E112" s="14">
        <f>data!Z66</f>
        <v>0</v>
      </c>
      <c r="F112" s="14">
        <f>data!AA66</f>
        <v>38541.49</v>
      </c>
      <c r="G112" s="14">
        <f>data!AB66</f>
        <v>345399.45999999996</v>
      </c>
      <c r="H112" s="14">
        <f>data!AC66</f>
        <v>43134.950000000012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24379</v>
      </c>
      <c r="D113" s="14">
        <f>data!Y67</f>
        <v>215322</v>
      </c>
      <c r="E113" s="14">
        <f>data!Z67</f>
        <v>0</v>
      </c>
      <c r="F113" s="14">
        <f>data!AA67</f>
        <v>21253</v>
      </c>
      <c r="G113" s="14">
        <f>data!AB67</f>
        <v>59199</v>
      </c>
      <c r="H113" s="14">
        <f>data!AC67</f>
        <v>24805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4770.2400000000016</v>
      </c>
      <c r="E114" s="14">
        <f>data!Z68</f>
        <v>0</v>
      </c>
      <c r="F114" s="14">
        <f>data!AA68</f>
        <v>0</v>
      </c>
      <c r="G114" s="14">
        <f>data!AB68</f>
        <v>581.99</v>
      </c>
      <c r="H114" s="14">
        <f>data!AC68</f>
        <v>16050.930000000002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60.26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15818.26</v>
      </c>
      <c r="H115" s="14">
        <f>data!AC69</f>
        <v>222.22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-3254725.61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848893.0199999999</v>
      </c>
      <c r="D117" s="14">
        <f>data!Y71</f>
        <v>3599502.8100000005</v>
      </c>
      <c r="E117" s="14">
        <f>data!Z71</f>
        <v>0</v>
      </c>
      <c r="F117" s="14">
        <f>data!AA71</f>
        <v>221992.58</v>
      </c>
      <c r="G117" s="14">
        <f>data!AB71</f>
        <v>2045529.9499999997</v>
      </c>
      <c r="H117" s="14">
        <f>data!AC71</f>
        <v>1292239.31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1993644</v>
      </c>
      <c r="D119" s="48">
        <f>+data!M690</f>
        <v>2034845</v>
      </c>
      <c r="E119" s="48">
        <f>+data!M691</f>
        <v>0</v>
      </c>
      <c r="F119" s="48">
        <f>+data!M692</f>
        <v>102555</v>
      </c>
      <c r="G119" s="48">
        <f>+data!M693</f>
        <v>1191446</v>
      </c>
      <c r="H119" s="48">
        <f>+data!M694</f>
        <v>676595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2693872.87</v>
      </c>
      <c r="D120" s="14">
        <f>data!Y73</f>
        <v>1658584.9200000002</v>
      </c>
      <c r="E120" s="14">
        <f>data!Z73</f>
        <v>0</v>
      </c>
      <c r="F120" s="14">
        <f>data!AA73</f>
        <v>109834</v>
      </c>
      <c r="G120" s="14">
        <f>data!AB73</f>
        <v>4644541.7299999995</v>
      </c>
      <c r="H120" s="14">
        <f>data!AC73</f>
        <v>5187470.66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27103586.039999999</v>
      </c>
      <c r="D121" s="14">
        <f>data!Y74</f>
        <v>19749432.240000002</v>
      </c>
      <c r="E121" s="14">
        <f>data!Z74</f>
        <v>0</v>
      </c>
      <c r="F121" s="14">
        <f>data!AA74</f>
        <v>730189.33</v>
      </c>
      <c r="G121" s="14">
        <f>data!AB74</f>
        <v>7337243.7800000003</v>
      </c>
      <c r="H121" s="14">
        <f>data!AC74</f>
        <v>2831955.61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29797458.91</v>
      </c>
      <c r="D122" s="14">
        <f>data!Y75</f>
        <v>21408017.160000004</v>
      </c>
      <c r="E122" s="14">
        <f>data!Z75</f>
        <v>0</v>
      </c>
      <c r="F122" s="14">
        <f>data!AA75</f>
        <v>840023.33</v>
      </c>
      <c r="G122" s="14">
        <f>data!AB75</f>
        <v>11981785.51</v>
      </c>
      <c r="H122" s="14">
        <f>data!AC75</f>
        <v>8019426.2699999996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791.67</v>
      </c>
      <c r="D124" s="14">
        <f>data!Y76</f>
        <v>6992.17</v>
      </c>
      <c r="E124" s="14">
        <f>data!Z76</f>
        <v>0</v>
      </c>
      <c r="F124" s="14">
        <f>data!AA76</f>
        <v>690.16</v>
      </c>
      <c r="G124" s="14">
        <f>data!AB76</f>
        <v>1922.3700000000001</v>
      </c>
      <c r="H124" s="14">
        <f>data!AC76</f>
        <v>805.5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791.67</v>
      </c>
      <c r="D126" s="14">
        <f>data!Y78</f>
        <v>6992.17</v>
      </c>
      <c r="E126" s="14">
        <f>data!Z78</f>
        <v>0</v>
      </c>
      <c r="F126" s="14">
        <f>data!AA78</f>
        <v>690.16</v>
      </c>
      <c r="G126" s="14">
        <f>data!AB78</f>
        <v>1922.3700000000001</v>
      </c>
      <c r="H126" s="14">
        <f>data!AC78</f>
        <v>805.5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27197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Public Hospital District No 1 of Mason County, WA, DBA Mason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20118</v>
      </c>
      <c r="D137" s="14">
        <f>data!AF59</f>
        <v>0</v>
      </c>
      <c r="E137" s="14">
        <f>data!AG59</f>
        <v>17349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19.669580366414834</v>
      </c>
      <c r="D138" s="26">
        <f>data!AF60</f>
        <v>0</v>
      </c>
      <c r="E138" s="26">
        <f>data!AG60</f>
        <v>30.697131251263738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1563883.07</v>
      </c>
      <c r="D139" s="14">
        <f>data!AF61</f>
        <v>0</v>
      </c>
      <c r="E139" s="14">
        <f>data!AG61</f>
        <v>3736888.7199999997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566369</v>
      </c>
      <c r="D140" s="14">
        <f>data!AF62</f>
        <v>0</v>
      </c>
      <c r="E140" s="14">
        <f>data!AG62</f>
        <v>938344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194654.37000000002</v>
      </c>
      <c r="D141" s="14">
        <f>data!AF63</f>
        <v>0</v>
      </c>
      <c r="E141" s="14">
        <f>data!AG63</f>
        <v>3259513.88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43315.14</v>
      </c>
      <c r="D142" s="14">
        <f>data!AF64</f>
        <v>0</v>
      </c>
      <c r="E142" s="14">
        <f>data!AG64</f>
        <v>345947.80000000005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480.11999999999995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8388.2099999999991</v>
      </c>
      <c r="D144" s="14">
        <f>data!AF66</f>
        <v>0</v>
      </c>
      <c r="E144" s="14">
        <f>data!AG66</f>
        <v>397398.25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119684</v>
      </c>
      <c r="D145" s="14">
        <f>data!AF67</f>
        <v>0</v>
      </c>
      <c r="E145" s="14">
        <f>data!AG67</f>
        <v>293875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4186.6500000000005</v>
      </c>
      <c r="D146" s="14">
        <f>data!AF68</f>
        <v>0</v>
      </c>
      <c r="E146" s="14">
        <f>data!AG68</f>
        <v>7905.63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8650.51</v>
      </c>
      <c r="D147" s="14">
        <f>data!AF69</f>
        <v>0</v>
      </c>
      <c r="E147" s="14">
        <f>data!AG69</f>
        <v>43987.73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2509130.9500000002</v>
      </c>
      <c r="D149" s="14">
        <f>data!AF71</f>
        <v>0</v>
      </c>
      <c r="E149" s="14">
        <f>data!AG71</f>
        <v>9024341.1300000008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842089</v>
      </c>
      <c r="D151" s="48">
        <f>+data!M697</f>
        <v>0</v>
      </c>
      <c r="E151" s="48">
        <f>+data!M698</f>
        <v>5656028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561080.46999999986</v>
      </c>
      <c r="D152" s="14">
        <f>data!AF73</f>
        <v>0</v>
      </c>
      <c r="E152" s="14">
        <f>data!AG73</f>
        <v>3615346.0100000002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5983622.71</v>
      </c>
      <c r="D153" s="14">
        <f>data!AF74</f>
        <v>0</v>
      </c>
      <c r="E153" s="14">
        <f>data!AG74</f>
        <v>44702068.049999997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6544703.1799999997</v>
      </c>
      <c r="D154" s="14">
        <f>data!AF75</f>
        <v>0</v>
      </c>
      <c r="E154" s="14">
        <f>data!AG75</f>
        <v>48317414.059999995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3886.53</v>
      </c>
      <c r="D156" s="14">
        <f>data!AF76</f>
        <v>0</v>
      </c>
      <c r="E156" s="14">
        <f>data!AG76</f>
        <v>9543.0499999999993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1120.3837031425446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3886.53</v>
      </c>
      <c r="D158" s="14">
        <f>data!AF78</f>
        <v>0</v>
      </c>
      <c r="E158" s="14">
        <f>data!AG78</f>
        <v>9543.0499999999993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6407</v>
      </c>
      <c r="D159" s="14">
        <f>data!AF79</f>
        <v>0</v>
      </c>
      <c r="E159" s="14">
        <f>data!AG79</f>
        <v>60842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30.697131251263738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Public Hospital District No 1 of Mason County, WA, DBA Mason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84202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152.94978771897664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15750609.6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4881683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2578624.7600000002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1121849.08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45085.54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363737.28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2875130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33463.360000000008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360156.63000000006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-30062.12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27980277.130000003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7976575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1376774.06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32624302.779999997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34001076.839999996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78245.09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78245.09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Public Hospital District No 1 of Mason County, WA, DBA Mason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33137.114391143914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3.0691837087912091</v>
      </c>
      <c r="G202" s="26">
        <f>data!AW60</f>
        <v>0</v>
      </c>
      <c r="H202" s="26">
        <f>data!AX60</f>
        <v>0</v>
      </c>
      <c r="I202" s="26">
        <f>data!AY60</f>
        <v>17.278887445329666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269586.37</v>
      </c>
      <c r="G203" s="14">
        <f>data!AW61</f>
        <v>0</v>
      </c>
      <c r="H203" s="14">
        <f>data!AX61</f>
        <v>0</v>
      </c>
      <c r="I203" s="14">
        <f>data!AY61</f>
        <v>794769.24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98606</v>
      </c>
      <c r="G204" s="14">
        <f>data!AW62</f>
        <v>0</v>
      </c>
      <c r="H204" s="14">
        <f>data!AX62</f>
        <v>0</v>
      </c>
      <c r="I204" s="14">
        <f>data!AY62</f>
        <v>449300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12196.120000000003</v>
      </c>
      <c r="G206" s="14">
        <f>data!AW64</f>
        <v>0</v>
      </c>
      <c r="H206" s="14">
        <f>data!AX64</f>
        <v>0</v>
      </c>
      <c r="I206" s="14">
        <f>data!AY64</f>
        <v>688351.21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11392.93</v>
      </c>
      <c r="G208" s="14">
        <f>data!AW66</f>
        <v>0</v>
      </c>
      <c r="H208" s="14">
        <f>data!AX66</f>
        <v>0</v>
      </c>
      <c r="I208" s="14">
        <f>data!AY66</f>
        <v>24410.720000000001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8251</v>
      </c>
      <c r="G209" s="14">
        <f>data!AW67</f>
        <v>0</v>
      </c>
      <c r="H209" s="14">
        <f>data!AX67</f>
        <v>0</v>
      </c>
      <c r="I209" s="14">
        <f>data!AY67</f>
        <v>155203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673.1</v>
      </c>
      <c r="G210" s="14">
        <f>data!AW68</f>
        <v>0</v>
      </c>
      <c r="H210" s="14">
        <f>data!AX68</f>
        <v>0</v>
      </c>
      <c r="I210" s="14">
        <f>data!AY68</f>
        <v>1612.81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698</v>
      </c>
      <c r="G211" s="14">
        <f>data!AW69</f>
        <v>0</v>
      </c>
      <c r="H211" s="14">
        <f>data!AX69</f>
        <v>0</v>
      </c>
      <c r="I211" s="14">
        <f>data!AY69</f>
        <v>12280.560000000001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-336662.28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401403.51999999996</v>
      </c>
      <c r="G213" s="14">
        <f>data!AW71</f>
        <v>0</v>
      </c>
      <c r="H213" s="14">
        <f>data!AX71</f>
        <v>0</v>
      </c>
      <c r="I213" s="14">
        <f>data!AY71</f>
        <v>1789265.26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92070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77006.8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529952.23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606959.03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267.94</v>
      </c>
      <c r="G220" s="14">
        <f>data!AW76</f>
        <v>0</v>
      </c>
      <c r="H220" s="14">
        <f>data!AX76</f>
        <v>0</v>
      </c>
      <c r="I220" s="85">
        <f>data!AY76</f>
        <v>5039.92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267.94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Public Hospital District No 1 of Mason County, WA, DBA Mason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241486.90000000002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1.0092477106799449</v>
      </c>
      <c r="E234" s="26">
        <f>data!BB60</f>
        <v>0</v>
      </c>
      <c r="F234" s="26">
        <f>data!BC60</f>
        <v>0</v>
      </c>
      <c r="G234" s="26">
        <f>data!BD60</f>
        <v>5.8210046710164827</v>
      </c>
      <c r="H234" s="26">
        <f>data!BE60</f>
        <v>11.239351844436813</v>
      </c>
      <c r="I234" s="26">
        <f>data!BF60</f>
        <v>29.426277298420327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45416.990000000005</v>
      </c>
      <c r="E235" s="14">
        <f>data!BB61</f>
        <v>0</v>
      </c>
      <c r="F235" s="14">
        <f>data!BC61</f>
        <v>0</v>
      </c>
      <c r="G235" s="14">
        <f>data!BD61</f>
        <v>358491.97000000003</v>
      </c>
      <c r="H235" s="14">
        <f>data!BE61</f>
        <v>774954.44000000006</v>
      </c>
      <c r="I235" s="14">
        <f>data!BF61</f>
        <v>1305266.6099999999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45145</v>
      </c>
      <c r="E236" s="14">
        <f>data!BB62</f>
        <v>0</v>
      </c>
      <c r="F236" s="14">
        <f>data!BC62</f>
        <v>0</v>
      </c>
      <c r="G236" s="14">
        <f>data!BD62</f>
        <v>122870</v>
      </c>
      <c r="H236" s="14">
        <f>data!BE62</f>
        <v>322273</v>
      </c>
      <c r="I236" s="14">
        <f>data!BF62</f>
        <v>644213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45972.7</v>
      </c>
      <c r="H237" s="14">
        <f>data!BE63</f>
        <v>6764.33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69746.699999999983</v>
      </c>
      <c r="E238" s="14">
        <f>data!BB64</f>
        <v>0</v>
      </c>
      <c r="F238" s="14">
        <f>data!BC64</f>
        <v>0</v>
      </c>
      <c r="G238" s="14">
        <f>data!BD64</f>
        <v>-15059.340000000006</v>
      </c>
      <c r="H238" s="14">
        <f>data!BE64</f>
        <v>78154.100000000006</v>
      </c>
      <c r="I238" s="14">
        <f>data!BF64</f>
        <v>159695.83000000002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2428.17</v>
      </c>
      <c r="H239" s="14">
        <f>data!BE65</f>
        <v>745510.20000000007</v>
      </c>
      <c r="I239" s="14">
        <f>data!BF65</f>
        <v>151235.51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166382.35999999999</v>
      </c>
      <c r="E240" s="14">
        <f>data!BB66</f>
        <v>0</v>
      </c>
      <c r="F240" s="14">
        <f>data!BC66</f>
        <v>0</v>
      </c>
      <c r="G240" s="14">
        <f>data!BD66</f>
        <v>1096.52</v>
      </c>
      <c r="H240" s="14">
        <f>data!BE66</f>
        <v>456236.45000000007</v>
      </c>
      <c r="I240" s="14">
        <f>data!BF66</f>
        <v>84397.86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44985</v>
      </c>
      <c r="E241" s="14">
        <f>data!BB67</f>
        <v>0</v>
      </c>
      <c r="F241" s="14">
        <f>data!BC67</f>
        <v>0</v>
      </c>
      <c r="G241" s="14">
        <f>data!BD67</f>
        <v>104773</v>
      </c>
      <c r="H241" s="14">
        <f>data!BE67</f>
        <v>867316</v>
      </c>
      <c r="I241" s="14">
        <f>data!BF67</f>
        <v>70674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5288.1399999999967</v>
      </c>
      <c r="H242" s="14">
        <f>data!BE68</f>
        <v>31826.339999999997</v>
      </c>
      <c r="I242" s="14">
        <f>data!BF68</f>
        <v>2863.23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40554.44</v>
      </c>
      <c r="H243" s="14">
        <f>data!BE69</f>
        <v>12742.45</v>
      </c>
      <c r="I243" s="14">
        <f>data!BF69</f>
        <v>6505.6699999999992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371676.05</v>
      </c>
      <c r="E245" s="14">
        <f>data!BB71</f>
        <v>0</v>
      </c>
      <c r="F245" s="14">
        <f>data!BC71</f>
        <v>0</v>
      </c>
      <c r="G245" s="14">
        <f>data!BD71</f>
        <v>666415.60000000009</v>
      </c>
      <c r="H245" s="14">
        <f>data!BE71</f>
        <v>3295777.3100000005</v>
      </c>
      <c r="I245" s="14">
        <f>data!BF71</f>
        <v>2424851.71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1460.81</v>
      </c>
      <c r="E252" s="85">
        <f>data!BB76</f>
        <v>0</v>
      </c>
      <c r="F252" s="85">
        <f>data!BC76</f>
        <v>0</v>
      </c>
      <c r="G252" s="85">
        <f>data!BD76</f>
        <v>3402.32</v>
      </c>
      <c r="H252" s="85">
        <f>data!BE76</f>
        <v>28164.5</v>
      </c>
      <c r="I252" s="85">
        <f>data!BF76</f>
        <v>2295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1460.81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Public Hospital District No 1 of Mason County, WA, DBA Mason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6.2639791149587909</v>
      </c>
      <c r="G266" s="26">
        <f>data!BK60</f>
        <v>22.266723634271976</v>
      </c>
      <c r="H266" s="26">
        <f>data!BL60</f>
        <v>23.099238414313188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484822.19999999995</v>
      </c>
      <c r="G267" s="14">
        <f>data!BK61</f>
        <v>1322442.7600000002</v>
      </c>
      <c r="H267" s="14">
        <f>data!BL61</f>
        <v>1171736.93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198069</v>
      </c>
      <c r="G268" s="14">
        <f>data!BK62</f>
        <v>594825</v>
      </c>
      <c r="H268" s="14">
        <f>data!BL62</f>
        <v>536122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63573.099999999991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448344.9200000001</v>
      </c>
      <c r="E270" s="14">
        <f>data!BI64</f>
        <v>0</v>
      </c>
      <c r="F270" s="14">
        <f>data!BJ64</f>
        <v>8501.1</v>
      </c>
      <c r="G270" s="14">
        <f>data!BK64</f>
        <v>14164.03</v>
      </c>
      <c r="H270" s="14">
        <f>data!BL64</f>
        <v>19339.04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274571.53999999998</v>
      </c>
      <c r="E271" s="14">
        <f>data!BI65</f>
        <v>0</v>
      </c>
      <c r="F271" s="14">
        <f>data!BJ65</f>
        <v>434.91999999999985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8225096.8300000001</v>
      </c>
      <c r="E272" s="14">
        <f>data!BI66</f>
        <v>0</v>
      </c>
      <c r="F272" s="14">
        <f>data!BJ66</f>
        <v>15649.89</v>
      </c>
      <c r="G272" s="14">
        <f>data!BK66</f>
        <v>318344.02999999997</v>
      </c>
      <c r="H272" s="14">
        <f>data!BL66</f>
        <v>15377.300000000005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100182</v>
      </c>
      <c r="E273" s="14">
        <f>data!BI67</f>
        <v>0</v>
      </c>
      <c r="F273" s="14">
        <f>data!BJ67</f>
        <v>61020</v>
      </c>
      <c r="G273" s="14">
        <f>data!BK67</f>
        <v>84208</v>
      </c>
      <c r="H273" s="14">
        <f>data!BL67</f>
        <v>59186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242944.06</v>
      </c>
      <c r="E274" s="14">
        <f>data!BI68</f>
        <v>0</v>
      </c>
      <c r="F274" s="14">
        <f>data!BJ68</f>
        <v>30688.82</v>
      </c>
      <c r="G274" s="14">
        <f>data!BK68</f>
        <v>55281.56</v>
      </c>
      <c r="H274" s="14">
        <f>data!BL68</f>
        <v>4089.03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50430.62</v>
      </c>
      <c r="E275" s="14">
        <f>data!BI69</f>
        <v>0</v>
      </c>
      <c r="F275" s="14">
        <f>data!BJ69</f>
        <v>160186.22999999998</v>
      </c>
      <c r="G275" s="14">
        <f>data!BK69</f>
        <v>4699.7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-1824.41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9341569.9700000007</v>
      </c>
      <c r="E277" s="14">
        <f>data!BI71</f>
        <v>0</v>
      </c>
      <c r="F277" s="14">
        <f>data!BJ71</f>
        <v>959372.15999999992</v>
      </c>
      <c r="G277" s="14">
        <f>data!BK71</f>
        <v>2455713.7700000005</v>
      </c>
      <c r="H277" s="14">
        <f>data!BL71</f>
        <v>1805850.3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3253.2200000000003</v>
      </c>
      <c r="E284" s="85">
        <f>data!BI76</f>
        <v>0</v>
      </c>
      <c r="F284" s="85">
        <f>data!BJ76</f>
        <v>1981.5</v>
      </c>
      <c r="G284" s="85">
        <f>data!BK76</f>
        <v>2734.5</v>
      </c>
      <c r="H284" s="85">
        <f>data!BL76</f>
        <v>1921.97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3253.2200000000003</v>
      </c>
      <c r="E286" s="85">
        <f>data!BI78</f>
        <v>0</v>
      </c>
      <c r="F286" s="213" t="str">
        <f>IF(data!BJ78&gt;0,data!BJ78,"")</f>
        <v>x</v>
      </c>
      <c r="G286" s="85">
        <f>data!BK78</f>
        <v>2734.5</v>
      </c>
      <c r="H286" s="85">
        <f>data!BL78</f>
        <v>1921.97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Public Hospital District No 1 of Mason County, WA, DBA Mason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10.796932541380494</v>
      </c>
      <c r="D298" s="26">
        <f>data!BO60</f>
        <v>1.8538233598214284</v>
      </c>
      <c r="E298" s="26">
        <f>data!BP60</f>
        <v>0</v>
      </c>
      <c r="F298" s="26">
        <f>data!BQ60</f>
        <v>0</v>
      </c>
      <c r="G298" s="26">
        <f>data!BR60</f>
        <v>5.5315300978708777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1874858.84</v>
      </c>
      <c r="D299" s="14">
        <f>data!BO61</f>
        <v>165680.26</v>
      </c>
      <c r="E299" s="14">
        <f>data!BP61</f>
        <v>0</v>
      </c>
      <c r="F299" s="14">
        <f>data!BQ61</f>
        <v>0</v>
      </c>
      <c r="G299" s="14">
        <f>data!BR61</f>
        <v>554537.4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560851</v>
      </c>
      <c r="D300" s="14">
        <f>data!BO62</f>
        <v>41890</v>
      </c>
      <c r="E300" s="14">
        <f>data!BP62</f>
        <v>0</v>
      </c>
      <c r="F300" s="14">
        <f>data!BQ62</f>
        <v>0</v>
      </c>
      <c r="G300" s="14">
        <f>data!BR62</f>
        <v>157001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182343.24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50668.72</v>
      </c>
      <c r="D302" s="14">
        <f>data!BO64</f>
        <v>1497.0300000000004</v>
      </c>
      <c r="E302" s="14">
        <f>data!BP64</f>
        <v>1166.77</v>
      </c>
      <c r="F302" s="14">
        <f>data!BQ64</f>
        <v>0</v>
      </c>
      <c r="G302" s="14">
        <f>data!BR64</f>
        <v>10050.629999999999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949.43999999999983</v>
      </c>
      <c r="D303" s="14">
        <f>data!BO65</f>
        <v>959.24000000000012</v>
      </c>
      <c r="E303" s="14">
        <f>data!BP65</f>
        <v>0</v>
      </c>
      <c r="F303" s="14">
        <f>data!BQ65</f>
        <v>0</v>
      </c>
      <c r="G303" s="14">
        <f>data!BR65</f>
        <v>998.80999999999983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461077.06</v>
      </c>
      <c r="D304" s="14">
        <f>data!BO66</f>
        <v>40033</v>
      </c>
      <c r="E304" s="14">
        <f>data!BP66</f>
        <v>175231</v>
      </c>
      <c r="F304" s="14">
        <f>data!BQ66</f>
        <v>0</v>
      </c>
      <c r="G304" s="14">
        <f>data!BR66</f>
        <v>65374.429999999993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165752</v>
      </c>
      <c r="D305" s="14">
        <f>data!BO67</f>
        <v>8600</v>
      </c>
      <c r="E305" s="14">
        <f>data!BP67</f>
        <v>87708</v>
      </c>
      <c r="F305" s="14">
        <f>data!BQ67</f>
        <v>0</v>
      </c>
      <c r="G305" s="14">
        <f>data!BR67</f>
        <v>65565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40410.230000000003</v>
      </c>
      <c r="D306" s="14">
        <f>data!BO68</f>
        <v>2459.5300000000002</v>
      </c>
      <c r="E306" s="14">
        <f>data!BP68</f>
        <v>1869.64</v>
      </c>
      <c r="F306" s="14">
        <f>data!BQ68</f>
        <v>0</v>
      </c>
      <c r="G306" s="14">
        <f>data!BR68</f>
        <v>17733.099999999999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317873.52</v>
      </c>
      <c r="D307" s="14">
        <f>data!BO69</f>
        <v>2423.65</v>
      </c>
      <c r="E307" s="14">
        <f>data!BP69</f>
        <v>53882.46</v>
      </c>
      <c r="F307" s="14">
        <f>data!BQ69</f>
        <v>0</v>
      </c>
      <c r="G307" s="14">
        <f>data!BR69</f>
        <v>154523.71000000002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3654784.0500000003</v>
      </c>
      <c r="D309" s="14">
        <f>data!BO71</f>
        <v>263542.71000000002</v>
      </c>
      <c r="E309" s="14">
        <f>data!BP71</f>
        <v>319857.87000000005</v>
      </c>
      <c r="F309" s="14">
        <f>data!BQ71</f>
        <v>0</v>
      </c>
      <c r="G309" s="14">
        <f>data!BR71</f>
        <v>1025784.0800000001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5382.5</v>
      </c>
      <c r="D316" s="85">
        <f>data!BO76</f>
        <v>279.27</v>
      </c>
      <c r="E316" s="85">
        <f>data!BP76</f>
        <v>2848.15</v>
      </c>
      <c r="F316" s="85">
        <f>data!BQ76</f>
        <v>0</v>
      </c>
      <c r="G316" s="85">
        <f>data!BR76</f>
        <v>2129.09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Public Hospital District No 1 of Mason County, WA, DBA Mason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19.895381862293956</v>
      </c>
      <c r="E330" s="26">
        <f>data!BW60</f>
        <v>2.0088628571428573</v>
      </c>
      <c r="F330" s="26">
        <f>data!BX60</f>
        <v>0</v>
      </c>
      <c r="G330" s="26">
        <f>data!BY60</f>
        <v>29.996631211366754</v>
      </c>
      <c r="H330" s="26">
        <f>data!BZ60</f>
        <v>0</v>
      </c>
      <c r="I330" s="26">
        <f>data!CA60</f>
        <v>1.1600067922390112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1174868.96</v>
      </c>
      <c r="E331" s="86">
        <f>data!BW61</f>
        <v>170400.12</v>
      </c>
      <c r="F331" s="86">
        <f>data!BX61</f>
        <v>0</v>
      </c>
      <c r="G331" s="86">
        <f>data!BY61</f>
        <v>2937477.21</v>
      </c>
      <c r="H331" s="86">
        <f>data!BZ61</f>
        <v>0</v>
      </c>
      <c r="I331" s="86">
        <f>data!CA61</f>
        <v>75829.249999999985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539963</v>
      </c>
      <c r="E332" s="86">
        <f>data!BW62</f>
        <v>60518</v>
      </c>
      <c r="F332" s="86">
        <f>data!BX62</f>
        <v>0</v>
      </c>
      <c r="G332" s="86">
        <f>data!BY62</f>
        <v>973981</v>
      </c>
      <c r="H332" s="86">
        <f>data!BZ62</f>
        <v>0</v>
      </c>
      <c r="I332" s="86">
        <f>data!CA62</f>
        <v>29612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20000</v>
      </c>
      <c r="F333" s="86">
        <f>data!BX63</f>
        <v>0</v>
      </c>
      <c r="G333" s="86">
        <f>data!BY63</f>
        <v>102844.76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8734.14</v>
      </c>
      <c r="E334" s="86">
        <f>data!BW64</f>
        <v>1744.7</v>
      </c>
      <c r="F334" s="86">
        <f>data!BX64</f>
        <v>0</v>
      </c>
      <c r="G334" s="86">
        <f>data!BY64</f>
        <v>8591.0300000000007</v>
      </c>
      <c r="H334" s="86">
        <f>data!BZ64</f>
        <v>0</v>
      </c>
      <c r="I334" s="86">
        <f>data!CA64</f>
        <v>2481.7400000000007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5014.0000000000009</v>
      </c>
      <c r="E335" s="86">
        <f>data!BW65</f>
        <v>0</v>
      </c>
      <c r="F335" s="86">
        <f>data!BX65</f>
        <v>0</v>
      </c>
      <c r="G335" s="86">
        <f>data!BY65</f>
        <v>5520.6999999999989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504142.78</v>
      </c>
      <c r="E336" s="86">
        <f>data!BW66</f>
        <v>13380.04</v>
      </c>
      <c r="F336" s="86">
        <f>data!BX66</f>
        <v>0</v>
      </c>
      <c r="G336" s="86">
        <f>data!BY66</f>
        <v>254018.65</v>
      </c>
      <c r="H336" s="86">
        <f>data!BZ66</f>
        <v>0</v>
      </c>
      <c r="I336" s="86">
        <f>data!CA66</f>
        <v>43841.16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139982</v>
      </c>
      <c r="E337" s="86">
        <f>data!BW67</f>
        <v>31467</v>
      </c>
      <c r="F337" s="86">
        <f>data!BX67</f>
        <v>0</v>
      </c>
      <c r="G337" s="86">
        <f>data!BY67</f>
        <v>53293</v>
      </c>
      <c r="H337" s="86">
        <f>data!BZ67</f>
        <v>0</v>
      </c>
      <c r="I337" s="86">
        <f>data!CA67</f>
        <v>32211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47582.66</v>
      </c>
      <c r="E338" s="86">
        <f>data!BW68</f>
        <v>779.88000000000011</v>
      </c>
      <c r="F338" s="86">
        <f>data!BX68</f>
        <v>0</v>
      </c>
      <c r="G338" s="86">
        <f>data!BY68</f>
        <v>2457.46</v>
      </c>
      <c r="H338" s="86">
        <f>data!BZ68</f>
        <v>0</v>
      </c>
      <c r="I338" s="86">
        <f>data!CA68</f>
        <v>20725.639999999996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581.76</v>
      </c>
      <c r="E339" s="86">
        <f>data!BW69</f>
        <v>36053.17</v>
      </c>
      <c r="F339" s="86">
        <f>data!BX69</f>
        <v>0</v>
      </c>
      <c r="G339" s="86">
        <f>data!BY69</f>
        <v>39079.640000000007</v>
      </c>
      <c r="H339" s="86">
        <f>data!BZ69</f>
        <v>0</v>
      </c>
      <c r="I339" s="86">
        <f>data!CA69</f>
        <v>15998.7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-66361.289999999994</v>
      </c>
      <c r="E340" s="14">
        <f>-data!BW70</f>
        <v>-1500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2354508.0099999998</v>
      </c>
      <c r="E341" s="14">
        <f>data!BW71</f>
        <v>332842.90999999997</v>
      </c>
      <c r="F341" s="14">
        <f>data!BX71</f>
        <v>0</v>
      </c>
      <c r="G341" s="14">
        <f>data!BY71</f>
        <v>4377263.4499999993</v>
      </c>
      <c r="H341" s="14">
        <f>data!BZ71</f>
        <v>0</v>
      </c>
      <c r="I341" s="14">
        <f>data!CA71</f>
        <v>220699.49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4545.67</v>
      </c>
      <c r="E348" s="85">
        <f>data!BW76</f>
        <v>1021.84</v>
      </c>
      <c r="F348" s="85">
        <f>data!BX76</f>
        <v>0</v>
      </c>
      <c r="G348" s="85">
        <f>data!BY76</f>
        <v>1730.5900000000001</v>
      </c>
      <c r="H348" s="85">
        <f>data!BZ76</f>
        <v>0</v>
      </c>
      <c r="I348" s="85">
        <f>data!CA76</f>
        <v>1046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4545.67</v>
      </c>
      <c r="E350" s="85">
        <f>data!BW78</f>
        <v>1021.84</v>
      </c>
      <c r="F350" s="85">
        <f>data!BX78</f>
        <v>0</v>
      </c>
      <c r="G350" s="85">
        <f>data!BY78</f>
        <v>1730.5900000000001</v>
      </c>
      <c r="H350" s="85">
        <f>data!BZ78</f>
        <v>0</v>
      </c>
      <c r="I350" s="85">
        <f>data!CA78</f>
        <v>1046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Public Hospital District No 1 of Mason County, WA, DBA Mason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14.169508336881867</v>
      </c>
      <c r="E362" s="217"/>
      <c r="F362" s="211"/>
      <c r="G362" s="211"/>
      <c r="H362" s="211"/>
      <c r="I362" s="87">
        <f>data!CE60</f>
        <v>590.53032129658641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1050522.67</v>
      </c>
      <c r="E363" s="218"/>
      <c r="F363" s="219"/>
      <c r="G363" s="219"/>
      <c r="H363" s="219"/>
      <c r="I363" s="86">
        <f>data!CE61</f>
        <v>53021196.609999999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421979</v>
      </c>
      <c r="E364" s="218"/>
      <c r="F364" s="219"/>
      <c r="G364" s="219"/>
      <c r="H364" s="219"/>
      <c r="I364" s="86">
        <f>data!CE62</f>
        <v>18160795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38318.300000000003</v>
      </c>
      <c r="E365" s="218"/>
      <c r="F365" s="219"/>
      <c r="G365" s="219"/>
      <c r="H365" s="219"/>
      <c r="I365" s="86">
        <f>data!CE63</f>
        <v>8144595.4299999997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143286.66</v>
      </c>
      <c r="E366" s="218"/>
      <c r="F366" s="219"/>
      <c r="G366" s="219"/>
      <c r="H366" s="219"/>
      <c r="I366" s="86">
        <f>data!CE64</f>
        <v>14691258.549999997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3941.07</v>
      </c>
      <c r="E367" s="218"/>
      <c r="F367" s="219"/>
      <c r="G367" s="219"/>
      <c r="H367" s="219"/>
      <c r="I367" s="86">
        <f>data!CE65</f>
        <v>1239606.42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1435886.03</v>
      </c>
      <c r="E368" s="218"/>
      <c r="F368" s="219"/>
      <c r="G368" s="219"/>
      <c r="H368" s="219"/>
      <c r="I368" s="86">
        <f>data!CE66</f>
        <v>15654400.800000001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562050</v>
      </c>
      <c r="E369" s="218"/>
      <c r="F369" s="219"/>
      <c r="G369" s="219"/>
      <c r="H369" s="219"/>
      <c r="I369" s="86">
        <f>data!CE67</f>
        <v>7902106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53789.98</v>
      </c>
      <c r="E370" s="218"/>
      <c r="F370" s="219"/>
      <c r="G370" s="219"/>
      <c r="H370" s="219"/>
      <c r="I370" s="86">
        <f>data!CE68</f>
        <v>859385.12999999977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28309.85</v>
      </c>
      <c r="E371" s="86">
        <f>data!CD69</f>
        <v>3521151.4999999995</v>
      </c>
      <c r="F371" s="219"/>
      <c r="G371" s="219"/>
      <c r="H371" s="219"/>
      <c r="I371" s="86">
        <f>data!CE69</f>
        <v>4929233.9699999988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2616090.85</v>
      </c>
      <c r="F372" s="220"/>
      <c r="G372" s="220"/>
      <c r="H372" s="220"/>
      <c r="I372" s="14">
        <f>-data!CE70</f>
        <v>-8278333.6000000015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3738083.56</v>
      </c>
      <c r="E373" s="86">
        <f>data!CD71</f>
        <v>905060.64999999944</v>
      </c>
      <c r="F373" s="219"/>
      <c r="G373" s="219"/>
      <c r="H373" s="219"/>
      <c r="I373" s="14">
        <f>data!CE71</f>
        <v>116324244.30999997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-2332919.7799999998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73483429.809999987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219788810.68000001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293272240.48999995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18251.54</v>
      </c>
      <c r="E380" s="214"/>
      <c r="F380" s="211"/>
      <c r="G380" s="211"/>
      <c r="H380" s="211"/>
      <c r="I380" s="14">
        <f>data!CE76</f>
        <v>241486.90000000002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33137.17733645202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171713.11000000002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264967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132.37950006685438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59" transitionEvaluation="1" transitionEntry="1" codeName="Sheet10">
    <pageSetUpPr autoPageBreaks="0" fitToPage="1"/>
  </sheetPr>
  <dimension ref="A1:CF816"/>
  <sheetViews>
    <sheetView showGridLines="0" topLeftCell="A259" zoomScale="75" workbookViewId="0">
      <selection activeCell="F87" sqref="F87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294" t="s">
        <v>1265</v>
      </c>
      <c r="C16" s="236"/>
    </row>
    <row r="17" spans="1:7" ht="12.75" customHeight="1" x14ac:dyDescent="0.3">
      <c r="A17" s="294" t="s">
        <v>1264</v>
      </c>
      <c r="C17" s="289"/>
      <c r="F17" s="237"/>
    </row>
    <row r="18" spans="1:7" ht="12.75" customHeight="1" x14ac:dyDescent="0.3">
      <c r="A18" s="292"/>
      <c r="C18" s="236"/>
    </row>
    <row r="19" spans="1:7" ht="12.75" customHeight="1" x14ac:dyDescent="0.3">
      <c r="C19" s="236"/>
    </row>
    <row r="20" spans="1:7" ht="12.75" customHeight="1" x14ac:dyDescent="0.3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">
      <c r="A21" s="199"/>
      <c r="C21" s="236"/>
    </row>
    <row r="22" spans="1:7" ht="12.65" customHeight="1" x14ac:dyDescent="0.3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">
      <c r="B23" s="199"/>
      <c r="C23" s="236"/>
    </row>
    <row r="24" spans="1:7" ht="12.65" customHeight="1" x14ac:dyDescent="0.3">
      <c r="A24" s="241" t="s">
        <v>3</v>
      </c>
      <c r="C24" s="236"/>
    </row>
    <row r="25" spans="1:7" ht="12.65" customHeight="1" x14ac:dyDescent="0.3">
      <c r="A25" s="198" t="s">
        <v>1234</v>
      </c>
      <c r="C25" s="236"/>
    </row>
    <row r="26" spans="1:7" ht="12.65" customHeight="1" x14ac:dyDescent="0.3">
      <c r="A26" s="199" t="s">
        <v>4</v>
      </c>
      <c r="C26" s="236"/>
    </row>
    <row r="27" spans="1:7" ht="12.65" customHeight="1" x14ac:dyDescent="0.3">
      <c r="A27" s="198" t="s">
        <v>1235</v>
      </c>
      <c r="C27" s="236"/>
    </row>
    <row r="28" spans="1:7" ht="12.65" customHeight="1" x14ac:dyDescent="0.3">
      <c r="A28" s="199" t="s">
        <v>5</v>
      </c>
      <c r="C28" s="236"/>
    </row>
    <row r="29" spans="1:7" ht="12.65" customHeight="1" x14ac:dyDescent="0.3">
      <c r="A29" s="198"/>
      <c r="C29" s="236"/>
    </row>
    <row r="30" spans="1:7" ht="12.65" customHeight="1" x14ac:dyDescent="0.3">
      <c r="A30" s="180" t="s">
        <v>6</v>
      </c>
      <c r="C30" s="236"/>
    </row>
    <row r="31" spans="1:7" ht="12.65" customHeight="1" x14ac:dyDescent="0.3">
      <c r="A31" s="199" t="s">
        <v>7</v>
      </c>
      <c r="C31" s="236"/>
    </row>
    <row r="32" spans="1:7" ht="12.65" customHeight="1" x14ac:dyDescent="0.3">
      <c r="A32" s="199" t="s">
        <v>8</v>
      </c>
      <c r="C32" s="236"/>
    </row>
    <row r="33" spans="1:84" ht="12.65" customHeight="1" x14ac:dyDescent="0.3">
      <c r="A33" s="198" t="s">
        <v>1236</v>
      </c>
      <c r="C33" s="236"/>
    </row>
    <row r="34" spans="1:84" ht="12.65" customHeight="1" x14ac:dyDescent="0.3">
      <c r="A34" s="199" t="s">
        <v>9</v>
      </c>
      <c r="C34" s="236"/>
    </row>
    <row r="35" spans="1:84" ht="12.65" customHeight="1" x14ac:dyDescent="0.3">
      <c r="A35" s="199"/>
      <c r="C35" s="236"/>
    </row>
    <row r="36" spans="1:84" ht="12.65" customHeight="1" x14ac:dyDescent="0.3">
      <c r="A36" s="198" t="s">
        <v>1237</v>
      </c>
      <c r="C36" s="236"/>
    </row>
    <row r="37" spans="1:84" ht="12.65" customHeight="1" x14ac:dyDescent="0.3">
      <c r="A37" s="199" t="s">
        <v>1229</v>
      </c>
      <c r="C37" s="236"/>
    </row>
    <row r="38" spans="1:84" ht="12" customHeight="1" x14ac:dyDescent="0.3">
      <c r="A38" s="198"/>
      <c r="C38" s="236"/>
    </row>
    <row r="39" spans="1:84" ht="12.65" customHeight="1" x14ac:dyDescent="0.3">
      <c r="A39" s="199"/>
      <c r="C39" s="236"/>
    </row>
    <row r="40" spans="1:84" ht="12" customHeight="1" x14ac:dyDescent="0.3">
      <c r="A40" s="199"/>
      <c r="C40" s="236"/>
    </row>
    <row r="41" spans="1:84" ht="12" customHeight="1" x14ac:dyDescent="0.3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">
      <c r="A43" s="199"/>
      <c r="C43" s="236"/>
      <c r="F43" s="181"/>
    </row>
    <row r="44" spans="1:84" ht="12" customHeight="1" x14ac:dyDescent="0.3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">
      <c r="A47" s="297" t="s">
        <v>204</v>
      </c>
      <c r="B47" s="301">
        <v>16595535.43</v>
      </c>
      <c r="C47" s="302">
        <v>620554.85</v>
      </c>
      <c r="D47" s="302"/>
      <c r="E47" s="302">
        <v>1518679.19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>
        <v>399019.77</v>
      </c>
      <c r="Q47" s="302">
        <v>394616.20999999996</v>
      </c>
      <c r="R47" s="302">
        <v>220226.59</v>
      </c>
      <c r="S47" s="302"/>
      <c r="T47" s="302"/>
      <c r="U47" s="302">
        <v>616729.49000000011</v>
      </c>
      <c r="V47" s="302"/>
      <c r="W47" s="302">
        <v>71374.439999999988</v>
      </c>
      <c r="X47" s="302">
        <v>140585.22999999998</v>
      </c>
      <c r="Y47" s="302">
        <v>609929.49999999988</v>
      </c>
      <c r="Z47" s="302"/>
      <c r="AA47" s="302">
        <v>25144.309999999998</v>
      </c>
      <c r="AB47" s="302">
        <v>489351.62</v>
      </c>
      <c r="AC47" s="302">
        <v>299141.79000000004</v>
      </c>
      <c r="AD47" s="302"/>
      <c r="AE47" s="302">
        <v>507114.95000000007</v>
      </c>
      <c r="AF47" s="302"/>
      <c r="AG47" s="302">
        <v>903770.35000000009</v>
      </c>
      <c r="AH47" s="302"/>
      <c r="AI47" s="302"/>
      <c r="AJ47" s="302"/>
      <c r="AK47" s="302"/>
      <c r="AL47" s="302"/>
      <c r="AM47" s="302"/>
      <c r="AN47" s="302"/>
      <c r="AO47" s="302"/>
      <c r="AP47" s="302">
        <v>4392866.5999999996</v>
      </c>
      <c r="AQ47" s="302"/>
      <c r="AR47" s="302"/>
      <c r="AS47" s="302"/>
      <c r="AT47" s="302"/>
      <c r="AU47" s="302"/>
      <c r="AV47" s="302">
        <v>99060.86</v>
      </c>
      <c r="AW47" s="302"/>
      <c r="AX47" s="302"/>
      <c r="AY47" s="302">
        <v>379477.12</v>
      </c>
      <c r="AZ47" s="302"/>
      <c r="BA47" s="302">
        <v>43206.15</v>
      </c>
      <c r="BB47" s="302"/>
      <c r="BC47" s="302"/>
      <c r="BD47" s="302">
        <v>129825.15000000001</v>
      </c>
      <c r="BE47" s="302">
        <v>297328.33</v>
      </c>
      <c r="BF47" s="302">
        <v>591081.05000000005</v>
      </c>
      <c r="BG47" s="302"/>
      <c r="BH47" s="302">
        <v>6403.53</v>
      </c>
      <c r="BI47" s="302"/>
      <c r="BJ47" s="302">
        <v>173795.04</v>
      </c>
      <c r="BK47" s="302">
        <v>489072.54000000004</v>
      </c>
      <c r="BL47" s="302">
        <v>476349.91000000003</v>
      </c>
      <c r="BM47" s="302"/>
      <c r="BN47" s="302">
        <v>459500.93</v>
      </c>
      <c r="BO47" s="302">
        <v>31654.880000000001</v>
      </c>
      <c r="BP47" s="302"/>
      <c r="BQ47" s="302"/>
      <c r="BR47" s="302">
        <v>123074.04999999999</v>
      </c>
      <c r="BS47" s="302"/>
      <c r="BT47" s="302"/>
      <c r="BU47" s="302"/>
      <c r="BV47" s="302">
        <v>515557.32</v>
      </c>
      <c r="BW47" s="302">
        <v>57072.15</v>
      </c>
      <c r="BX47" s="302"/>
      <c r="BY47" s="302">
        <v>921390.12000000011</v>
      </c>
      <c r="BZ47" s="302"/>
      <c r="CA47" s="302">
        <v>64835.23000000001</v>
      </c>
      <c r="CB47" s="302"/>
      <c r="CC47" s="302">
        <v>527746.17999999993</v>
      </c>
      <c r="CD47" s="297"/>
      <c r="CE47" s="297">
        <f>SUM(C47:CC47)</f>
        <v>16595535.43</v>
      </c>
      <c r="CF47" s="2"/>
    </row>
    <row r="48" spans="1:84" ht="12.65" customHeight="1" x14ac:dyDescent="0.3">
      <c r="A48" s="297" t="s">
        <v>205</v>
      </c>
      <c r="B48" s="301"/>
      <c r="C48" s="303">
        <f>ROUND(((B48/CE61)*C61),0)</f>
        <v>0</v>
      </c>
      <c r="D48" s="303">
        <f>ROUND(((B48/CE61)*D61),0)</f>
        <v>0</v>
      </c>
      <c r="E48" s="297">
        <f>ROUND(((B48/CE61)*E61),0)</f>
        <v>0</v>
      </c>
      <c r="F48" s="297">
        <f>ROUND(((B48/CE61)*F61),0)</f>
        <v>0</v>
      </c>
      <c r="G48" s="297">
        <f>ROUND(((B48/CE61)*G61),0)</f>
        <v>0</v>
      </c>
      <c r="H48" s="297">
        <f>ROUND(((B48/CE61)*H61),0)</f>
        <v>0</v>
      </c>
      <c r="I48" s="297">
        <f>ROUND(((B48/CE61)*I61),0)</f>
        <v>0</v>
      </c>
      <c r="J48" s="297">
        <f>ROUND(((B48/CE61)*J61),0)</f>
        <v>0</v>
      </c>
      <c r="K48" s="297">
        <f>ROUND(((B48/CE61)*K61),0)</f>
        <v>0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0</v>
      </c>
      <c r="P48" s="297">
        <f>ROUND(((B48/CE61)*P61),0)</f>
        <v>0</v>
      </c>
      <c r="Q48" s="297">
        <f>ROUND(((B48/CE61)*Q61),0)</f>
        <v>0</v>
      </c>
      <c r="R48" s="297">
        <f>ROUND(((B48/CE61)*R61),0)</f>
        <v>0</v>
      </c>
      <c r="S48" s="297">
        <f>ROUND(((B48/CE61)*S61),0)</f>
        <v>0</v>
      </c>
      <c r="T48" s="297">
        <f>ROUND(((B48/CE61)*T61),0)</f>
        <v>0</v>
      </c>
      <c r="U48" s="297">
        <f>ROUND(((B48/CE61)*U61),0)</f>
        <v>0</v>
      </c>
      <c r="V48" s="297">
        <f>ROUND(((B48/CE61)*V61),0)</f>
        <v>0</v>
      </c>
      <c r="W48" s="297">
        <f>ROUND(((B48/CE61)*W61),0)</f>
        <v>0</v>
      </c>
      <c r="X48" s="297">
        <f>ROUND(((B48/CE61)*X61),0)</f>
        <v>0</v>
      </c>
      <c r="Y48" s="297">
        <f>ROUND(((B48/CE61)*Y61),0)</f>
        <v>0</v>
      </c>
      <c r="Z48" s="297">
        <f>ROUND(((B48/CE61)*Z61),0)</f>
        <v>0</v>
      </c>
      <c r="AA48" s="297">
        <f>ROUND(((B48/CE61)*AA61),0)</f>
        <v>0</v>
      </c>
      <c r="AB48" s="297">
        <f>ROUND(((B48/CE61)*AB61),0)</f>
        <v>0</v>
      </c>
      <c r="AC48" s="297">
        <f>ROUND(((B48/CE61)*AC61),0)</f>
        <v>0</v>
      </c>
      <c r="AD48" s="297">
        <f>ROUND(((B48/CE61)*AD61),0)</f>
        <v>0</v>
      </c>
      <c r="AE48" s="297">
        <f>ROUND(((B48/CE61)*AE61),0)</f>
        <v>0</v>
      </c>
      <c r="AF48" s="297">
        <f>ROUND(((B48/CE61)*AF61),0)</f>
        <v>0</v>
      </c>
      <c r="AG48" s="297">
        <f>ROUND(((B48/CE61)*AG61),0)</f>
        <v>0</v>
      </c>
      <c r="AH48" s="297">
        <f>ROUND(((B48/CE61)*AH61),0)</f>
        <v>0</v>
      </c>
      <c r="AI48" s="297">
        <f>ROUND(((B48/CE61)*AI61),0)</f>
        <v>0</v>
      </c>
      <c r="AJ48" s="297">
        <f>ROUND(((B48/CE61)*AJ61),0)</f>
        <v>0</v>
      </c>
      <c r="AK48" s="297">
        <f>ROUND(((B48/CE61)*AK61),0)</f>
        <v>0</v>
      </c>
      <c r="AL48" s="297">
        <f>ROUND(((B48/CE61)*AL61),0)</f>
        <v>0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0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0</v>
      </c>
      <c r="AT48" s="297">
        <f>ROUND(((B48/CE61)*AT61),0)</f>
        <v>0</v>
      </c>
      <c r="AU48" s="297">
        <f>ROUND(((B48/CE61)*AU61),0)</f>
        <v>0</v>
      </c>
      <c r="AV48" s="297">
        <f>ROUND(((B48/CE61)*AV61),0)</f>
        <v>0</v>
      </c>
      <c r="AW48" s="297">
        <f>ROUND(((B48/CE61)*AW61),0)</f>
        <v>0</v>
      </c>
      <c r="AX48" s="297">
        <f>ROUND(((B48/CE61)*AX61),0)</f>
        <v>0</v>
      </c>
      <c r="AY48" s="297">
        <f>ROUND(((B48/CE61)*AY61),0)</f>
        <v>0</v>
      </c>
      <c r="AZ48" s="297">
        <f>ROUND(((B48/CE61)*AZ61),0)</f>
        <v>0</v>
      </c>
      <c r="BA48" s="297">
        <f>ROUND(((B48/CE61)*BA61),0)</f>
        <v>0</v>
      </c>
      <c r="BB48" s="297">
        <f>ROUND(((B48/CE61)*BB61),0)</f>
        <v>0</v>
      </c>
      <c r="BC48" s="297">
        <f>ROUND(((B48/CE61)*BC61),0)</f>
        <v>0</v>
      </c>
      <c r="BD48" s="297">
        <f>ROUND(((B48/CE61)*BD61),0)</f>
        <v>0</v>
      </c>
      <c r="BE48" s="297">
        <f>ROUND(((B48/CE61)*BE61),0)</f>
        <v>0</v>
      </c>
      <c r="BF48" s="297">
        <f>ROUND(((B48/CE61)*BF61),0)</f>
        <v>0</v>
      </c>
      <c r="BG48" s="297">
        <f>ROUND(((B48/CE61)*BG61),0)</f>
        <v>0</v>
      </c>
      <c r="BH48" s="297">
        <f>ROUND(((B48/CE61)*BH61),0)</f>
        <v>0</v>
      </c>
      <c r="BI48" s="297">
        <f>ROUND(((B48/CE61)*BI61),0)</f>
        <v>0</v>
      </c>
      <c r="BJ48" s="297">
        <f>ROUND(((B48/CE61)*BJ61),0)</f>
        <v>0</v>
      </c>
      <c r="BK48" s="297">
        <f>ROUND(((B48/CE61)*BK61),0)</f>
        <v>0</v>
      </c>
      <c r="BL48" s="297">
        <f>ROUND(((B48/CE61)*BL61),0)</f>
        <v>0</v>
      </c>
      <c r="BM48" s="297">
        <f>ROUND(((B48/CE61)*BM61),0)</f>
        <v>0</v>
      </c>
      <c r="BN48" s="297">
        <f>ROUND(((B48/CE61)*BN61),0)</f>
        <v>0</v>
      </c>
      <c r="BO48" s="297">
        <f>ROUND(((B48/CE61)*BO61),0)</f>
        <v>0</v>
      </c>
      <c r="BP48" s="297">
        <f>ROUND(((B48/CE61)*BP61),0)</f>
        <v>0</v>
      </c>
      <c r="BQ48" s="297">
        <f>ROUND(((B48/CE61)*BQ61),0)</f>
        <v>0</v>
      </c>
      <c r="BR48" s="297">
        <f>ROUND(((B48/CE61)*BR61),0)</f>
        <v>0</v>
      </c>
      <c r="BS48" s="297">
        <f>ROUND(((B48/CE61)*BS61),0)</f>
        <v>0</v>
      </c>
      <c r="BT48" s="297">
        <f>ROUND(((B48/CE61)*BT61),0)</f>
        <v>0</v>
      </c>
      <c r="BU48" s="297">
        <f>ROUND(((B48/CE61)*BU61),0)</f>
        <v>0</v>
      </c>
      <c r="BV48" s="297">
        <f>ROUND(((B48/CE61)*BV61),0)</f>
        <v>0</v>
      </c>
      <c r="BW48" s="297">
        <f>ROUND(((B48/CE61)*BW61),0)</f>
        <v>0</v>
      </c>
      <c r="BX48" s="297">
        <f>ROUND(((B48/CE61)*BX61),0)</f>
        <v>0</v>
      </c>
      <c r="BY48" s="297">
        <f>ROUND(((B48/CE61)*BY61),0)</f>
        <v>0</v>
      </c>
      <c r="BZ48" s="297">
        <f>ROUND(((B48/CE61)*BZ61),0)</f>
        <v>0</v>
      </c>
      <c r="CA48" s="297">
        <f>ROUND(((B48/CE61)*CA61),0)</f>
        <v>0</v>
      </c>
      <c r="CB48" s="297">
        <f>ROUND(((B48/CE61)*CB61),0)</f>
        <v>0</v>
      </c>
      <c r="CC48" s="297">
        <f>ROUND(((B48/CE61)*CC61),0)</f>
        <v>0</v>
      </c>
      <c r="CD48" s="297"/>
      <c r="CE48" s="297">
        <f>SUM(C48:CD48)</f>
        <v>0</v>
      </c>
      <c r="CF48" s="2"/>
    </row>
    <row r="49" spans="1:84" ht="12.65" customHeight="1" x14ac:dyDescent="0.3">
      <c r="A49" s="297" t="s">
        <v>206</v>
      </c>
      <c r="B49" s="297">
        <f>B47+B48</f>
        <v>16595535.43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">
      <c r="A51" s="304" t="s">
        <v>207</v>
      </c>
      <c r="B51" s="302">
        <v>2628363.34</v>
      </c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>
        <v>2628363.34</v>
      </c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297"/>
      <c r="CE51" s="297">
        <f>SUM(C51:CD51)</f>
        <v>2628363.34</v>
      </c>
      <c r="CF51" s="2"/>
    </row>
    <row r="52" spans="1:84" ht="12.65" customHeight="1" x14ac:dyDescent="0.3">
      <c r="A52" s="304" t="s">
        <v>208</v>
      </c>
      <c r="B52" s="302">
        <v>5022128.6900000004</v>
      </c>
      <c r="C52" s="297">
        <f>ROUND((B52/(CE76+CF76)*C76),0)</f>
        <v>135556</v>
      </c>
      <c r="D52" s="297">
        <f>ROUND((B52/(CE76+CF76)*D76),0)</f>
        <v>0</v>
      </c>
      <c r="E52" s="297">
        <f>ROUND((B52/(CE76+CF76)*E76),0)</f>
        <v>400415</v>
      </c>
      <c r="F52" s="297">
        <f>ROUND((B52/(CE76+CF76)*F76),0)</f>
        <v>0</v>
      </c>
      <c r="G52" s="297">
        <f>ROUND((B52/(CE76+CF76)*G76),0)</f>
        <v>0</v>
      </c>
      <c r="H52" s="297">
        <f>ROUND((B52/(CE76+CF76)*H76),0)</f>
        <v>0</v>
      </c>
      <c r="I52" s="297">
        <f>ROUND((B52/(CE76+CF76)*I76),0)</f>
        <v>0</v>
      </c>
      <c r="J52" s="297">
        <f>ROUND((B52/(CE76+CF76)*J76),0)</f>
        <v>10025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20275</v>
      </c>
      <c r="P52" s="297">
        <f>ROUND((B52/(CE76+CF76)*P76),0)</f>
        <v>136541</v>
      </c>
      <c r="Q52" s="297">
        <f>ROUND((B52/(CE76+CF76)*Q76),0)</f>
        <v>150719</v>
      </c>
      <c r="R52" s="297">
        <f>ROUND((B52/(CE76+CF76)*R76),0)</f>
        <v>6480</v>
      </c>
      <c r="S52" s="297">
        <f>ROUND((B52/(CE76+CF76)*S76),0)</f>
        <v>61774</v>
      </c>
      <c r="T52" s="297">
        <f>ROUND((B52/(CE76+CF76)*T76),0)</f>
        <v>0</v>
      </c>
      <c r="U52" s="297">
        <f>ROUND((B52/(CE76+CF76)*U76),0)</f>
        <v>91359</v>
      </c>
      <c r="V52" s="297">
        <f>ROUND((B52/(CE76+CF76)*V76),0)</f>
        <v>0</v>
      </c>
      <c r="W52" s="297">
        <f>ROUND((B52/(CE76+CF76)*W76),0)</f>
        <v>44452</v>
      </c>
      <c r="X52" s="297">
        <f>ROUND((B52/(CE76+CF76)*X76),0)</f>
        <v>16464</v>
      </c>
      <c r="Y52" s="297">
        <f>ROUND((B52/(CE76+CF76)*Y76),0)</f>
        <v>145414</v>
      </c>
      <c r="Z52" s="297">
        <f>ROUND((B52/(CE76+CF76)*Z76),0)</f>
        <v>0</v>
      </c>
      <c r="AA52" s="297">
        <f>ROUND((B52/(CE76+CF76)*AA76),0)</f>
        <v>14353</v>
      </c>
      <c r="AB52" s="297">
        <f>ROUND((B52/(CE76+CF76)*AB76),0)</f>
        <v>39979</v>
      </c>
      <c r="AC52" s="297">
        <f>ROUND((B52/(CE76+CF76)*AC76),0)</f>
        <v>16752</v>
      </c>
      <c r="AD52" s="297">
        <f>ROUND((B52/(CE76+CF76)*AD76),0)</f>
        <v>0</v>
      </c>
      <c r="AE52" s="297">
        <f>ROUND((B52/(CE76+CF76)*AE76),0)</f>
        <v>80827</v>
      </c>
      <c r="AF52" s="297">
        <f>ROUND((B52/(CE76+CF76)*AF76),0)</f>
        <v>0</v>
      </c>
      <c r="AG52" s="297">
        <f>ROUND((B52/(CE76+CF76)*AG76),0)</f>
        <v>198464</v>
      </c>
      <c r="AH52" s="297">
        <f>ROUND((B52/(CE76+CF76)*AH76),0)</f>
        <v>0</v>
      </c>
      <c r="AI52" s="297">
        <f>ROUND((B52/(CE76+CF76)*AI76),0)</f>
        <v>0</v>
      </c>
      <c r="AJ52" s="297">
        <f>ROUND((B52/(CE76+CF76)*AJ76),0)</f>
        <v>0</v>
      </c>
      <c r="AK52" s="297">
        <f>ROUND((B52/(CE76+CF76)*AK76),0)</f>
        <v>0</v>
      </c>
      <c r="AL52" s="297">
        <f>ROUND((B52/(CE76+CF76)*AL76),0)</f>
        <v>0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1627239</v>
      </c>
      <c r="AQ52" s="297">
        <f>ROUND((B52/(CE76+CF76)*AQ76),0)</f>
        <v>0</v>
      </c>
      <c r="AR52" s="297">
        <f>ROUND((B52/(CE76+CF76)*AR76),0)</f>
        <v>0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5572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104814</v>
      </c>
      <c r="AZ52" s="297">
        <f>ROUND((B52/(CE76+CF76)*AZ76),0)</f>
        <v>0</v>
      </c>
      <c r="BA52" s="297">
        <f>ROUND((B52/(CE76+CF76)*BA76),0)</f>
        <v>30380</v>
      </c>
      <c r="BB52" s="297">
        <f>ROUND((B52/(CE76+CF76)*BB76),0)</f>
        <v>0</v>
      </c>
      <c r="BC52" s="297">
        <f>ROUND((B52/(CE76+CF76)*BC76),0)</f>
        <v>0</v>
      </c>
      <c r="BD52" s="297">
        <f>ROUND((B52/(CE76+CF76)*BD76),0)</f>
        <v>70757</v>
      </c>
      <c r="BE52" s="297">
        <f>ROUND((B52/(CE76+CF76)*BE76),0)</f>
        <v>585728</v>
      </c>
      <c r="BF52" s="297">
        <f>ROUND((B52/(CE76+CF76)*BF76),0)</f>
        <v>47728</v>
      </c>
      <c r="BG52" s="297">
        <f>ROUND((B52/(CE76+CF76)*BG76),0)</f>
        <v>0</v>
      </c>
      <c r="BH52" s="297">
        <f>ROUND((B52/(CE76+CF76)*BH76),0)</f>
        <v>67656</v>
      </c>
      <c r="BI52" s="297">
        <f>ROUND((B52/(CE76+CF76)*BI76),0)</f>
        <v>0</v>
      </c>
      <c r="BJ52" s="297">
        <f>ROUND((B52/(CE76+CF76)*BJ76),0)</f>
        <v>41209</v>
      </c>
      <c r="BK52" s="297">
        <f>ROUND((B52/(CE76+CF76)*BK76),0)</f>
        <v>56869</v>
      </c>
      <c r="BL52" s="297">
        <f>ROUND((B52/(CE76+CF76)*BL76),0)</f>
        <v>39971</v>
      </c>
      <c r="BM52" s="297">
        <f>ROUND((B52/(CE76+CF76)*BM76),0)</f>
        <v>0</v>
      </c>
      <c r="BN52" s="297">
        <f>ROUND((B52/(CE76+CF76)*BN76),0)</f>
        <v>111938</v>
      </c>
      <c r="BO52" s="297">
        <f>ROUND((B52/(CE76+CF76)*BO76),0)</f>
        <v>5808</v>
      </c>
      <c r="BP52" s="297">
        <f>ROUND((B52/(CE76+CF76)*BP76),0)</f>
        <v>59232</v>
      </c>
      <c r="BQ52" s="297">
        <f>ROUND((B52/(CE76+CF76)*BQ76),0)</f>
        <v>0</v>
      </c>
      <c r="BR52" s="297">
        <f>ROUND((B52/(CE76+CF76)*BR76),0)</f>
        <v>44278</v>
      </c>
      <c r="BS52" s="297">
        <f>ROUND((B52/(CE76+CF76)*BS76),0)</f>
        <v>0</v>
      </c>
      <c r="BT52" s="297">
        <f>ROUND((B52/(CE76+CF76)*BT76),0)</f>
        <v>0</v>
      </c>
      <c r="BU52" s="297">
        <f>ROUND((B52/(CE76+CF76)*BU76),0)</f>
        <v>0</v>
      </c>
      <c r="BV52" s="297">
        <f>ROUND((B52/(CE76+CF76)*BV76),0)</f>
        <v>94535</v>
      </c>
      <c r="BW52" s="297">
        <f>ROUND((B52/(CE76+CF76)*BW76),0)</f>
        <v>21251</v>
      </c>
      <c r="BX52" s="297">
        <f>ROUND((B52/(CE76+CF76)*BX76),0)</f>
        <v>0</v>
      </c>
      <c r="BY52" s="297">
        <f>ROUND((B52/(CE76+CF76)*BY76),0)</f>
        <v>35991</v>
      </c>
      <c r="BZ52" s="297">
        <f>ROUND((B52/(CE76+CF76)*BZ76),0)</f>
        <v>0</v>
      </c>
      <c r="CA52" s="297">
        <f>ROUND((B52/(CE76+CF76)*CA76),0)</f>
        <v>21753</v>
      </c>
      <c r="CB52" s="297">
        <f>ROUND((B52/(CE76+CF76)*CB76),0)</f>
        <v>0</v>
      </c>
      <c r="CC52" s="297">
        <f>ROUND((B52/(CE76+CF76)*CC76),0)</f>
        <v>379572</v>
      </c>
      <c r="CD52" s="297"/>
      <c r="CE52" s="297">
        <f>SUM(C52:CD52)</f>
        <v>5022130</v>
      </c>
      <c r="CF52" s="2"/>
    </row>
    <row r="53" spans="1:84" ht="12.65" customHeight="1" x14ac:dyDescent="0.3">
      <c r="A53" s="297" t="s">
        <v>206</v>
      </c>
      <c r="B53" s="297">
        <f>B51+B52</f>
        <v>7650492.0300000003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">
      <c r="A55" s="304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6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7" t="s">
        <v>221</v>
      </c>
      <c r="T58" s="307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7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7" t="s">
        <v>221</v>
      </c>
      <c r="AW58" s="307" t="s">
        <v>221</v>
      </c>
      <c r="AX58" s="307" t="s">
        <v>221</v>
      </c>
      <c r="AY58" s="299" t="s">
        <v>231</v>
      </c>
      <c r="AZ58" s="299" t="s">
        <v>231</v>
      </c>
      <c r="BA58" s="307" t="s">
        <v>221</v>
      </c>
      <c r="BB58" s="307" t="s">
        <v>221</v>
      </c>
      <c r="BC58" s="307" t="s">
        <v>221</v>
      </c>
      <c r="BD58" s="307" t="s">
        <v>221</v>
      </c>
      <c r="BE58" s="299" t="s">
        <v>232</v>
      </c>
      <c r="BF58" s="307" t="s">
        <v>221</v>
      </c>
      <c r="BG58" s="307" t="s">
        <v>221</v>
      </c>
      <c r="BH58" s="307" t="s">
        <v>221</v>
      </c>
      <c r="BI58" s="307" t="s">
        <v>221</v>
      </c>
      <c r="BJ58" s="307" t="s">
        <v>221</v>
      </c>
      <c r="BK58" s="307" t="s">
        <v>221</v>
      </c>
      <c r="BL58" s="307" t="s">
        <v>221</v>
      </c>
      <c r="BM58" s="307" t="s">
        <v>221</v>
      </c>
      <c r="BN58" s="307" t="s">
        <v>221</v>
      </c>
      <c r="BO58" s="307" t="s">
        <v>221</v>
      </c>
      <c r="BP58" s="307" t="s">
        <v>221</v>
      </c>
      <c r="BQ58" s="307" t="s">
        <v>221</v>
      </c>
      <c r="BR58" s="307" t="s">
        <v>221</v>
      </c>
      <c r="BS58" s="307" t="s">
        <v>221</v>
      </c>
      <c r="BT58" s="307" t="s">
        <v>221</v>
      </c>
      <c r="BU58" s="307" t="s">
        <v>221</v>
      </c>
      <c r="BV58" s="307" t="s">
        <v>221</v>
      </c>
      <c r="BW58" s="307" t="s">
        <v>221</v>
      </c>
      <c r="BX58" s="307" t="s">
        <v>221</v>
      </c>
      <c r="BY58" s="307" t="s">
        <v>221</v>
      </c>
      <c r="BZ58" s="307" t="s">
        <v>221</v>
      </c>
      <c r="CA58" s="307" t="s">
        <v>221</v>
      </c>
      <c r="CB58" s="307" t="s">
        <v>221</v>
      </c>
      <c r="CC58" s="307" t="s">
        <v>221</v>
      </c>
      <c r="CD58" s="307" t="s">
        <v>221</v>
      </c>
      <c r="CE58" s="307" t="s">
        <v>221</v>
      </c>
      <c r="CF58" s="2"/>
    </row>
    <row r="59" spans="1:84" ht="12.65" customHeight="1" x14ac:dyDescent="0.3">
      <c r="A59" s="304" t="s">
        <v>233</v>
      </c>
      <c r="B59" s="297"/>
      <c r="C59" s="302">
        <v>954</v>
      </c>
      <c r="D59" s="302"/>
      <c r="E59" s="302">
        <f>2765+726</f>
        <v>3491</v>
      </c>
      <c r="F59" s="302"/>
      <c r="G59" s="302"/>
      <c r="H59" s="302"/>
      <c r="I59" s="302"/>
      <c r="J59" s="302">
        <v>683</v>
      </c>
      <c r="K59" s="302"/>
      <c r="L59" s="302"/>
      <c r="M59" s="302"/>
      <c r="N59" s="302"/>
      <c r="O59" s="302">
        <v>1000</v>
      </c>
      <c r="P59" s="185">
        <v>126122</v>
      </c>
      <c r="Q59" s="185">
        <v>121457</v>
      </c>
      <c r="R59" s="185">
        <v>126122</v>
      </c>
      <c r="S59" s="249"/>
      <c r="T59" s="249"/>
      <c r="U59" s="224">
        <v>236108</v>
      </c>
      <c r="V59" s="185"/>
      <c r="W59" s="185">
        <v>1718</v>
      </c>
      <c r="X59" s="185">
        <v>26535</v>
      </c>
      <c r="Y59" s="185">
        <v>36364</v>
      </c>
      <c r="Z59" s="185"/>
      <c r="AA59" s="185">
        <v>1943</v>
      </c>
      <c r="AB59" s="249"/>
      <c r="AC59" s="185">
        <v>4277</v>
      </c>
      <c r="AD59" s="185"/>
      <c r="AE59" s="185">
        <v>18823</v>
      </c>
      <c r="AF59" s="185"/>
      <c r="AG59" s="185">
        <v>16296</v>
      </c>
      <c r="AH59" s="185"/>
      <c r="AI59" s="185"/>
      <c r="AJ59" s="185"/>
      <c r="AK59" s="185"/>
      <c r="AL59" s="185"/>
      <c r="AM59" s="185"/>
      <c r="AN59" s="185"/>
      <c r="AO59" s="185"/>
      <c r="AP59" s="185">
        <v>76869</v>
      </c>
      <c r="AQ59" s="185"/>
      <c r="AR59" s="185"/>
      <c r="AS59" s="185"/>
      <c r="AT59" s="185"/>
      <c r="AU59" s="185"/>
      <c r="AV59" s="249"/>
      <c r="AW59" s="249"/>
      <c r="AX59" s="249"/>
      <c r="AY59" s="185">
        <v>29601.114391143918</v>
      </c>
      <c r="AZ59" s="185"/>
      <c r="BA59" s="249"/>
      <c r="BB59" s="249"/>
      <c r="BC59" s="249"/>
      <c r="BD59" s="249"/>
      <c r="BE59" s="185">
        <v>241486.90000000002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7"/>
      <c r="CE59" s="297"/>
      <c r="CF59" s="2"/>
    </row>
    <row r="60" spans="1:84" ht="12.65" customHeight="1" x14ac:dyDescent="0.3">
      <c r="A60" s="308" t="s">
        <v>234</v>
      </c>
      <c r="B60" s="297"/>
      <c r="C60" s="186">
        <v>19.198172940613027</v>
      </c>
      <c r="D60" s="187"/>
      <c r="E60" s="187">
        <v>48.592014240900383</v>
      </c>
      <c r="F60" s="223"/>
      <c r="G60" s="187"/>
      <c r="H60" s="187"/>
      <c r="I60" s="187"/>
      <c r="J60" s="223">
        <v>0</v>
      </c>
      <c r="K60" s="187"/>
      <c r="L60" s="187"/>
      <c r="M60" s="187"/>
      <c r="N60" s="187"/>
      <c r="O60" s="187">
        <v>0</v>
      </c>
      <c r="P60" s="221">
        <v>14.311772786159004</v>
      </c>
      <c r="Q60" s="221">
        <v>11.304742341954023</v>
      </c>
      <c r="R60" s="221">
        <v>4.5765842911877392</v>
      </c>
      <c r="S60" s="221"/>
      <c r="T60" s="221"/>
      <c r="U60" s="221">
        <v>26.120780771072798</v>
      </c>
      <c r="V60" s="221"/>
      <c r="W60" s="221">
        <v>2.044797325191571</v>
      </c>
      <c r="X60" s="221">
        <v>4.0163590936302684</v>
      </c>
      <c r="Y60" s="221">
        <v>21.604326986350578</v>
      </c>
      <c r="Z60" s="221"/>
      <c r="AA60" s="221">
        <v>0.93804763769157085</v>
      </c>
      <c r="AB60" s="221">
        <v>12.917532453304599</v>
      </c>
      <c r="AC60" s="221">
        <v>8.7967046623563228</v>
      </c>
      <c r="AD60" s="221"/>
      <c r="AE60" s="221">
        <v>19.481437277107279</v>
      </c>
      <c r="AF60" s="221"/>
      <c r="AG60" s="221">
        <v>31.05704330579502</v>
      </c>
      <c r="AH60" s="221"/>
      <c r="AI60" s="221"/>
      <c r="AJ60" s="221"/>
      <c r="AK60" s="221"/>
      <c r="AL60" s="221"/>
      <c r="AM60" s="221"/>
      <c r="AN60" s="221"/>
      <c r="AO60" s="221"/>
      <c r="AP60" s="221">
        <v>149.04340146886975</v>
      </c>
      <c r="AQ60" s="221"/>
      <c r="AR60" s="221"/>
      <c r="AS60" s="221"/>
      <c r="AT60" s="221"/>
      <c r="AU60" s="221"/>
      <c r="AV60" s="221">
        <v>3.1473735452586205</v>
      </c>
      <c r="AW60" s="221"/>
      <c r="AX60" s="221"/>
      <c r="AY60" s="221">
        <v>16.65860602025862</v>
      </c>
      <c r="AZ60" s="221"/>
      <c r="BA60" s="221">
        <v>1.4410580292145594</v>
      </c>
      <c r="BB60" s="221"/>
      <c r="BC60" s="221"/>
      <c r="BD60" s="221">
        <v>5.6966165337643675</v>
      </c>
      <c r="BE60" s="221">
        <v>10.56583092552682</v>
      </c>
      <c r="BF60" s="221">
        <v>29.089565899185825</v>
      </c>
      <c r="BG60" s="221"/>
      <c r="BH60" s="221">
        <v>8.2974137931034489E-2</v>
      </c>
      <c r="BI60" s="221"/>
      <c r="BJ60" s="221">
        <v>5.8715341115900381</v>
      </c>
      <c r="BK60" s="221">
        <v>19.912800858477009</v>
      </c>
      <c r="BL60" s="221">
        <v>23.103705346024903</v>
      </c>
      <c r="BM60" s="221"/>
      <c r="BN60" s="221">
        <v>10.032268602729884</v>
      </c>
      <c r="BO60" s="221">
        <v>1.4818835390325669</v>
      </c>
      <c r="BP60" s="221"/>
      <c r="BQ60" s="221"/>
      <c r="BR60" s="221">
        <v>4.6422552718869738</v>
      </c>
      <c r="BS60" s="221"/>
      <c r="BT60" s="221"/>
      <c r="BU60" s="221"/>
      <c r="BV60" s="221">
        <v>19.606577211446357</v>
      </c>
      <c r="BW60" s="221">
        <v>2.0012902298850577</v>
      </c>
      <c r="BX60" s="221"/>
      <c r="BY60" s="221">
        <v>30.067525081944446</v>
      </c>
      <c r="BZ60" s="221"/>
      <c r="CA60" s="221">
        <v>2.0023768175287358</v>
      </c>
      <c r="CB60" s="221"/>
      <c r="CC60" s="221">
        <v>19.587970613026819</v>
      </c>
      <c r="CD60" s="307" t="s">
        <v>221</v>
      </c>
      <c r="CE60" s="309">
        <f t="shared" ref="CE60:CE70" si="0">SUM(C60:CD60)</f>
        <v>578.99593035689679</v>
      </c>
      <c r="CF60" s="2"/>
    </row>
    <row r="61" spans="1:84" ht="12.65" customHeight="1" x14ac:dyDescent="0.3">
      <c r="A61" s="304" t="s">
        <v>235</v>
      </c>
      <c r="B61" s="297"/>
      <c r="C61" s="302">
        <v>1921947.76</v>
      </c>
      <c r="D61" s="302"/>
      <c r="E61" s="302">
        <v>4524653.09</v>
      </c>
      <c r="F61" s="185"/>
      <c r="G61" s="302"/>
      <c r="H61" s="302"/>
      <c r="I61" s="185"/>
      <c r="J61" s="185">
        <v>0</v>
      </c>
      <c r="K61" s="185"/>
      <c r="L61" s="185"/>
      <c r="M61" s="302"/>
      <c r="N61" s="302"/>
      <c r="O61" s="302">
        <v>0</v>
      </c>
      <c r="P61" s="185">
        <v>1223911.8200000003</v>
      </c>
      <c r="Q61" s="185">
        <v>1134146.2</v>
      </c>
      <c r="R61" s="185">
        <v>940214.76</v>
      </c>
      <c r="S61" s="185"/>
      <c r="T61" s="185"/>
      <c r="U61" s="185">
        <v>1748454.2600000002</v>
      </c>
      <c r="V61" s="185"/>
      <c r="W61" s="185">
        <v>202432.07</v>
      </c>
      <c r="X61" s="185">
        <v>422212.54</v>
      </c>
      <c r="Y61" s="185">
        <v>1776140.8300000003</v>
      </c>
      <c r="Z61" s="185"/>
      <c r="AA61" s="185">
        <v>96559.08</v>
      </c>
      <c r="AB61" s="185">
        <v>1479437.65</v>
      </c>
      <c r="AC61" s="185">
        <v>775475.01</v>
      </c>
      <c r="AD61" s="185"/>
      <c r="AE61" s="185">
        <v>1560264.8299999998</v>
      </c>
      <c r="AF61" s="185"/>
      <c r="AG61" s="185">
        <v>3534835.82</v>
      </c>
      <c r="AH61" s="185"/>
      <c r="AI61" s="185"/>
      <c r="AJ61" s="185"/>
      <c r="AK61" s="185"/>
      <c r="AL61" s="185"/>
      <c r="AM61" s="185"/>
      <c r="AN61" s="185"/>
      <c r="AO61" s="185"/>
      <c r="AP61" s="185">
        <v>15789392.740000002</v>
      </c>
      <c r="AQ61" s="185"/>
      <c r="AR61" s="185"/>
      <c r="AS61" s="185"/>
      <c r="AT61" s="185"/>
      <c r="AU61" s="185"/>
      <c r="AV61" s="185">
        <v>275255.25</v>
      </c>
      <c r="AW61" s="185"/>
      <c r="AX61" s="185"/>
      <c r="AY61" s="185">
        <v>739721.40999999992</v>
      </c>
      <c r="AZ61" s="185"/>
      <c r="BA61" s="185">
        <v>59083.659999999989</v>
      </c>
      <c r="BB61" s="185"/>
      <c r="BC61" s="185"/>
      <c r="BD61" s="185">
        <v>344376.60000000003</v>
      </c>
      <c r="BE61" s="185">
        <v>751558.95000000007</v>
      </c>
      <c r="BF61" s="185">
        <v>1241384.4000000001</v>
      </c>
      <c r="BG61" s="185"/>
      <c r="BH61" s="185">
        <v>5662.93</v>
      </c>
      <c r="BI61" s="185"/>
      <c r="BJ61" s="185">
        <v>450068.55000000005</v>
      </c>
      <c r="BK61" s="185">
        <v>1144691.56</v>
      </c>
      <c r="BL61" s="185">
        <v>1108156.55</v>
      </c>
      <c r="BM61" s="185"/>
      <c r="BN61" s="185">
        <v>1907261.49</v>
      </c>
      <c r="BO61" s="185">
        <v>118025.26</v>
      </c>
      <c r="BP61" s="185"/>
      <c r="BQ61" s="185"/>
      <c r="BR61" s="185">
        <v>444576.38999999996</v>
      </c>
      <c r="BS61" s="185"/>
      <c r="BT61" s="185"/>
      <c r="BU61" s="185"/>
      <c r="BV61" s="185">
        <v>1125155.3700000001</v>
      </c>
      <c r="BW61" s="185">
        <v>180744.88</v>
      </c>
      <c r="BX61" s="185"/>
      <c r="BY61" s="185">
        <v>2882379.85</v>
      </c>
      <c r="BZ61" s="185"/>
      <c r="CA61" s="185">
        <v>190583.78000000003</v>
      </c>
      <c r="CB61" s="185"/>
      <c r="CC61" s="185">
        <v>1602593.03</v>
      </c>
      <c r="CD61" s="307" t="s">
        <v>221</v>
      </c>
      <c r="CE61" s="297">
        <f t="shared" si="0"/>
        <v>51701358.369999997</v>
      </c>
      <c r="CF61" s="2"/>
    </row>
    <row r="62" spans="1:84" ht="12.65" customHeight="1" x14ac:dyDescent="0.3">
      <c r="A62" s="304" t="s">
        <v>3</v>
      </c>
      <c r="B62" s="297"/>
      <c r="C62" s="297">
        <f t="shared" ref="C62:BN62" si="1">ROUND(C47+C48,0)</f>
        <v>620555</v>
      </c>
      <c r="D62" s="297">
        <f t="shared" si="1"/>
        <v>0</v>
      </c>
      <c r="E62" s="297">
        <f t="shared" si="1"/>
        <v>1518679</v>
      </c>
      <c r="F62" s="297">
        <f t="shared" si="1"/>
        <v>0</v>
      </c>
      <c r="G62" s="297">
        <f t="shared" si="1"/>
        <v>0</v>
      </c>
      <c r="H62" s="297">
        <f t="shared" si="1"/>
        <v>0</v>
      </c>
      <c r="I62" s="297">
        <f t="shared" si="1"/>
        <v>0</v>
      </c>
      <c r="J62" s="297">
        <f>ROUND(J47+J48,0)</f>
        <v>0</v>
      </c>
      <c r="K62" s="297">
        <f t="shared" si="1"/>
        <v>0</v>
      </c>
      <c r="L62" s="297">
        <f t="shared" si="1"/>
        <v>0</v>
      </c>
      <c r="M62" s="297">
        <f t="shared" si="1"/>
        <v>0</v>
      </c>
      <c r="N62" s="297">
        <f t="shared" si="1"/>
        <v>0</v>
      </c>
      <c r="O62" s="297">
        <f t="shared" si="1"/>
        <v>0</v>
      </c>
      <c r="P62" s="297">
        <f t="shared" si="1"/>
        <v>399020</v>
      </c>
      <c r="Q62" s="297">
        <f t="shared" si="1"/>
        <v>394616</v>
      </c>
      <c r="R62" s="297">
        <f t="shared" si="1"/>
        <v>220227</v>
      </c>
      <c r="S62" s="297">
        <f t="shared" si="1"/>
        <v>0</v>
      </c>
      <c r="T62" s="297">
        <f t="shared" si="1"/>
        <v>0</v>
      </c>
      <c r="U62" s="297">
        <f t="shared" si="1"/>
        <v>616729</v>
      </c>
      <c r="V62" s="297">
        <f t="shared" si="1"/>
        <v>0</v>
      </c>
      <c r="W62" s="297">
        <f t="shared" si="1"/>
        <v>71374</v>
      </c>
      <c r="X62" s="297">
        <f t="shared" si="1"/>
        <v>140585</v>
      </c>
      <c r="Y62" s="297">
        <f t="shared" si="1"/>
        <v>609930</v>
      </c>
      <c r="Z62" s="297">
        <f t="shared" si="1"/>
        <v>0</v>
      </c>
      <c r="AA62" s="297">
        <f t="shared" si="1"/>
        <v>25144</v>
      </c>
      <c r="AB62" s="297">
        <f t="shared" si="1"/>
        <v>489352</v>
      </c>
      <c r="AC62" s="297">
        <f t="shared" si="1"/>
        <v>299142</v>
      </c>
      <c r="AD62" s="297">
        <f t="shared" si="1"/>
        <v>0</v>
      </c>
      <c r="AE62" s="297">
        <f t="shared" si="1"/>
        <v>507115</v>
      </c>
      <c r="AF62" s="297">
        <f t="shared" si="1"/>
        <v>0</v>
      </c>
      <c r="AG62" s="297">
        <f t="shared" si="1"/>
        <v>903770</v>
      </c>
      <c r="AH62" s="297">
        <f t="shared" si="1"/>
        <v>0</v>
      </c>
      <c r="AI62" s="297">
        <f t="shared" si="1"/>
        <v>0</v>
      </c>
      <c r="AJ62" s="297">
        <f t="shared" si="1"/>
        <v>0</v>
      </c>
      <c r="AK62" s="297">
        <f t="shared" si="1"/>
        <v>0</v>
      </c>
      <c r="AL62" s="297">
        <f t="shared" si="1"/>
        <v>0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4392867</v>
      </c>
      <c r="AQ62" s="297">
        <f t="shared" si="1"/>
        <v>0</v>
      </c>
      <c r="AR62" s="297">
        <f t="shared" si="1"/>
        <v>0</v>
      </c>
      <c r="AS62" s="297">
        <f t="shared" si="1"/>
        <v>0</v>
      </c>
      <c r="AT62" s="297">
        <f t="shared" si="1"/>
        <v>0</v>
      </c>
      <c r="AU62" s="297">
        <f t="shared" si="1"/>
        <v>0</v>
      </c>
      <c r="AV62" s="297">
        <f t="shared" si="1"/>
        <v>99061</v>
      </c>
      <c r="AW62" s="297">
        <f t="shared" si="1"/>
        <v>0</v>
      </c>
      <c r="AX62" s="297">
        <f t="shared" si="1"/>
        <v>0</v>
      </c>
      <c r="AY62" s="297">
        <f>ROUND(AY47+AY48,0)</f>
        <v>379477</v>
      </c>
      <c r="AZ62" s="297">
        <f>ROUND(AZ47+AZ48,0)</f>
        <v>0</v>
      </c>
      <c r="BA62" s="297">
        <f>ROUND(BA47+BA48,0)</f>
        <v>43206</v>
      </c>
      <c r="BB62" s="297">
        <f t="shared" si="1"/>
        <v>0</v>
      </c>
      <c r="BC62" s="297">
        <f t="shared" si="1"/>
        <v>0</v>
      </c>
      <c r="BD62" s="297">
        <f t="shared" si="1"/>
        <v>129825</v>
      </c>
      <c r="BE62" s="297">
        <f t="shared" si="1"/>
        <v>297328</v>
      </c>
      <c r="BF62" s="297">
        <f t="shared" si="1"/>
        <v>591081</v>
      </c>
      <c r="BG62" s="297">
        <f t="shared" si="1"/>
        <v>0</v>
      </c>
      <c r="BH62" s="297">
        <f t="shared" si="1"/>
        <v>6404</v>
      </c>
      <c r="BI62" s="297">
        <f t="shared" si="1"/>
        <v>0</v>
      </c>
      <c r="BJ62" s="297">
        <f t="shared" si="1"/>
        <v>173795</v>
      </c>
      <c r="BK62" s="297">
        <f t="shared" si="1"/>
        <v>489073</v>
      </c>
      <c r="BL62" s="297">
        <f t="shared" si="1"/>
        <v>476350</v>
      </c>
      <c r="BM62" s="297">
        <f t="shared" si="1"/>
        <v>0</v>
      </c>
      <c r="BN62" s="297">
        <f t="shared" si="1"/>
        <v>459501</v>
      </c>
      <c r="BO62" s="297">
        <f t="shared" ref="BO62:CC62" si="2">ROUND(BO47+BO48,0)</f>
        <v>31655</v>
      </c>
      <c r="BP62" s="297">
        <f t="shared" si="2"/>
        <v>0</v>
      </c>
      <c r="BQ62" s="297">
        <f t="shared" si="2"/>
        <v>0</v>
      </c>
      <c r="BR62" s="297">
        <f t="shared" si="2"/>
        <v>123074</v>
      </c>
      <c r="BS62" s="297">
        <f t="shared" si="2"/>
        <v>0</v>
      </c>
      <c r="BT62" s="297">
        <f t="shared" si="2"/>
        <v>0</v>
      </c>
      <c r="BU62" s="297">
        <f t="shared" si="2"/>
        <v>0</v>
      </c>
      <c r="BV62" s="297">
        <f t="shared" si="2"/>
        <v>515557</v>
      </c>
      <c r="BW62" s="297">
        <f t="shared" si="2"/>
        <v>57072</v>
      </c>
      <c r="BX62" s="297">
        <f t="shared" si="2"/>
        <v>0</v>
      </c>
      <c r="BY62" s="297">
        <f t="shared" si="2"/>
        <v>921390</v>
      </c>
      <c r="BZ62" s="297">
        <f t="shared" si="2"/>
        <v>0</v>
      </c>
      <c r="CA62" s="297">
        <f t="shared" si="2"/>
        <v>64835</v>
      </c>
      <c r="CB62" s="297">
        <f t="shared" si="2"/>
        <v>0</v>
      </c>
      <c r="CC62" s="297">
        <f t="shared" si="2"/>
        <v>527746</v>
      </c>
      <c r="CD62" s="307" t="s">
        <v>221</v>
      </c>
      <c r="CE62" s="297">
        <f t="shared" si="0"/>
        <v>16595535</v>
      </c>
      <c r="CF62" s="2"/>
    </row>
    <row r="63" spans="1:84" ht="12.65" customHeight="1" x14ac:dyDescent="0.3">
      <c r="A63" s="304" t="s">
        <v>236</v>
      </c>
      <c r="B63" s="297"/>
      <c r="C63" s="302">
        <v>10837.5</v>
      </c>
      <c r="D63" s="302"/>
      <c r="E63" s="302">
        <v>290071.95</v>
      </c>
      <c r="F63" s="185"/>
      <c r="G63" s="302"/>
      <c r="H63" s="302"/>
      <c r="I63" s="185"/>
      <c r="J63" s="185">
        <v>0</v>
      </c>
      <c r="K63" s="185"/>
      <c r="L63" s="185"/>
      <c r="M63" s="302"/>
      <c r="N63" s="302"/>
      <c r="O63" s="302">
        <v>0</v>
      </c>
      <c r="P63" s="185">
        <v>353802.04000000004</v>
      </c>
      <c r="Q63" s="185">
        <v>0</v>
      </c>
      <c r="R63" s="185">
        <v>0</v>
      </c>
      <c r="S63" s="185">
        <v>0</v>
      </c>
      <c r="T63" s="185"/>
      <c r="U63" s="185">
        <v>15480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59628.55</v>
      </c>
      <c r="AF63" s="185"/>
      <c r="AG63" s="185">
        <v>2965367.92</v>
      </c>
      <c r="AH63" s="185"/>
      <c r="AI63" s="185"/>
      <c r="AJ63" s="185"/>
      <c r="AK63" s="185"/>
      <c r="AL63" s="185"/>
      <c r="AM63" s="185"/>
      <c r="AN63" s="185"/>
      <c r="AO63" s="185"/>
      <c r="AP63" s="185">
        <v>2120096.11</v>
      </c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0</v>
      </c>
      <c r="BE63" s="185">
        <v>26420.53</v>
      </c>
      <c r="BF63" s="185">
        <v>0</v>
      </c>
      <c r="BG63" s="185"/>
      <c r="BH63" s="185">
        <v>0</v>
      </c>
      <c r="BI63" s="185"/>
      <c r="BJ63" s="185">
        <v>0</v>
      </c>
      <c r="BK63" s="185">
        <v>8177.66</v>
      </c>
      <c r="BL63" s="185">
        <v>0</v>
      </c>
      <c r="BM63" s="185"/>
      <c r="BN63" s="185">
        <v>204658.58000000002</v>
      </c>
      <c r="BO63" s="185">
        <v>0</v>
      </c>
      <c r="BP63" s="185">
        <v>0</v>
      </c>
      <c r="BQ63" s="185"/>
      <c r="BR63" s="185">
        <v>0</v>
      </c>
      <c r="BS63" s="185"/>
      <c r="BT63" s="185"/>
      <c r="BU63" s="185"/>
      <c r="BV63" s="185">
        <v>164259.75</v>
      </c>
      <c r="BW63" s="185">
        <v>21100</v>
      </c>
      <c r="BX63" s="185"/>
      <c r="BY63" s="185">
        <v>0</v>
      </c>
      <c r="BZ63" s="185"/>
      <c r="CA63" s="185">
        <v>0</v>
      </c>
      <c r="CB63" s="185"/>
      <c r="CC63" s="185">
        <v>1945.3</v>
      </c>
      <c r="CD63" s="307" t="s">
        <v>221</v>
      </c>
      <c r="CE63" s="297">
        <f t="shared" si="0"/>
        <v>6241845.8900000006</v>
      </c>
      <c r="CF63" s="2"/>
    </row>
    <row r="64" spans="1:84" ht="12.65" customHeight="1" x14ac:dyDescent="0.3">
      <c r="A64" s="304" t="s">
        <v>237</v>
      </c>
      <c r="B64" s="297"/>
      <c r="C64" s="302">
        <v>109113.86999999998</v>
      </c>
      <c r="D64" s="302"/>
      <c r="E64" s="302">
        <v>176827.32</v>
      </c>
      <c r="F64" s="185"/>
      <c r="G64" s="302"/>
      <c r="H64" s="302"/>
      <c r="I64" s="185"/>
      <c r="J64" s="185">
        <v>24149.609999999997</v>
      </c>
      <c r="K64" s="185"/>
      <c r="L64" s="185"/>
      <c r="M64" s="302"/>
      <c r="N64" s="302"/>
      <c r="O64" s="302">
        <v>99983.849999999991</v>
      </c>
      <c r="P64" s="185">
        <v>789063.76</v>
      </c>
      <c r="Q64" s="185">
        <v>105405.32</v>
      </c>
      <c r="R64" s="185">
        <v>65419.950000000012</v>
      </c>
      <c r="S64" s="185">
        <v>4262635.05</v>
      </c>
      <c r="T64" s="185"/>
      <c r="U64" s="185">
        <v>2059259.47</v>
      </c>
      <c r="V64" s="185"/>
      <c r="W64" s="185">
        <v>20604.34</v>
      </c>
      <c r="X64" s="185">
        <v>97482.49</v>
      </c>
      <c r="Y64" s="185">
        <v>94186.6</v>
      </c>
      <c r="Z64" s="185"/>
      <c r="AA64" s="185">
        <v>38257.870000000003</v>
      </c>
      <c r="AB64" s="185">
        <v>2456947.09</v>
      </c>
      <c r="AC64" s="185">
        <v>75905.829999999987</v>
      </c>
      <c r="AD64" s="185"/>
      <c r="AE64" s="185">
        <v>28433.33</v>
      </c>
      <c r="AF64" s="185"/>
      <c r="AG64" s="185">
        <v>292273.81</v>
      </c>
      <c r="AH64" s="185"/>
      <c r="AI64" s="185"/>
      <c r="AJ64" s="185"/>
      <c r="AK64" s="185"/>
      <c r="AL64" s="185"/>
      <c r="AM64" s="185"/>
      <c r="AN64" s="185"/>
      <c r="AO64" s="185"/>
      <c r="AP64" s="185">
        <v>923891.98</v>
      </c>
      <c r="AQ64" s="185"/>
      <c r="AR64" s="185"/>
      <c r="AS64" s="185"/>
      <c r="AT64" s="185"/>
      <c r="AU64" s="185"/>
      <c r="AV64" s="185">
        <v>8549.3000000000011</v>
      </c>
      <c r="AW64" s="185"/>
      <c r="AX64" s="185"/>
      <c r="AY64" s="185">
        <v>635970.6</v>
      </c>
      <c r="AZ64" s="185"/>
      <c r="BA64" s="185">
        <v>55770.27</v>
      </c>
      <c r="BB64" s="185"/>
      <c r="BC64" s="185"/>
      <c r="BD64" s="185">
        <v>8461.61</v>
      </c>
      <c r="BE64" s="185">
        <v>66364.75</v>
      </c>
      <c r="BF64" s="185">
        <v>182439.30999999997</v>
      </c>
      <c r="BG64" s="185"/>
      <c r="BH64" s="185">
        <v>376671.45</v>
      </c>
      <c r="BI64" s="185"/>
      <c r="BJ64" s="185">
        <v>3862.64</v>
      </c>
      <c r="BK64" s="185">
        <v>9561.08</v>
      </c>
      <c r="BL64" s="185">
        <v>17019.41</v>
      </c>
      <c r="BM64" s="185"/>
      <c r="BN64" s="185">
        <v>62883.51</v>
      </c>
      <c r="BO64" s="185">
        <v>6184.2699999999986</v>
      </c>
      <c r="BP64" s="185">
        <v>14456.73</v>
      </c>
      <c r="BQ64" s="185"/>
      <c r="BR64" s="185">
        <v>1241.7799999999993</v>
      </c>
      <c r="BS64" s="185"/>
      <c r="BT64" s="185"/>
      <c r="BU64" s="185"/>
      <c r="BV64" s="185">
        <v>7647.3499999999985</v>
      </c>
      <c r="BW64" s="185">
        <v>2151.81</v>
      </c>
      <c r="BX64" s="185"/>
      <c r="BY64" s="185">
        <v>5888.32</v>
      </c>
      <c r="BZ64" s="185"/>
      <c r="CA64" s="185">
        <v>3985.12</v>
      </c>
      <c r="CB64" s="185"/>
      <c r="CC64" s="185">
        <f>466148.48+17216.25</f>
        <v>483364.73</v>
      </c>
      <c r="CD64" s="307" t="s">
        <v>221</v>
      </c>
      <c r="CE64" s="297">
        <f t="shared" si="0"/>
        <v>13672315.58</v>
      </c>
      <c r="CF64" s="2"/>
    </row>
    <row r="65" spans="1:84" ht="12.65" customHeight="1" x14ac:dyDescent="0.3">
      <c r="A65" s="304" t="s">
        <v>238</v>
      </c>
      <c r="B65" s="297"/>
      <c r="C65" s="302">
        <v>672.19999999999982</v>
      </c>
      <c r="D65" s="302"/>
      <c r="E65" s="302">
        <v>644.79999999999984</v>
      </c>
      <c r="F65" s="302"/>
      <c r="G65" s="302"/>
      <c r="H65" s="302"/>
      <c r="I65" s="185"/>
      <c r="J65" s="302">
        <v>0</v>
      </c>
      <c r="K65" s="185"/>
      <c r="L65" s="185"/>
      <c r="M65" s="302"/>
      <c r="N65" s="302"/>
      <c r="O65" s="302">
        <v>0</v>
      </c>
      <c r="P65" s="185">
        <v>473.64000000000004</v>
      </c>
      <c r="Q65" s="185">
        <v>0</v>
      </c>
      <c r="R65" s="185">
        <v>0</v>
      </c>
      <c r="S65" s="185">
        <v>0</v>
      </c>
      <c r="T65" s="185"/>
      <c r="U65" s="185">
        <v>515.04999999999995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480.11999999999995</v>
      </c>
      <c r="AH65" s="185"/>
      <c r="AI65" s="185"/>
      <c r="AJ65" s="185"/>
      <c r="AK65" s="185"/>
      <c r="AL65" s="185"/>
      <c r="AM65" s="185"/>
      <c r="AN65" s="185"/>
      <c r="AO65" s="185"/>
      <c r="AP65" s="185">
        <v>57124.33</v>
      </c>
      <c r="AQ65" s="185"/>
      <c r="AR65" s="185"/>
      <c r="AS65" s="185"/>
      <c r="AT65" s="185"/>
      <c r="AU65" s="185"/>
      <c r="AV65" s="185">
        <v>0</v>
      </c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1677.08</v>
      </c>
      <c r="BE65" s="185">
        <v>661788.97</v>
      </c>
      <c r="BF65" s="185">
        <v>142354.76999999999</v>
      </c>
      <c r="BG65" s="185"/>
      <c r="BH65" s="185">
        <v>191856.58</v>
      </c>
      <c r="BI65" s="185"/>
      <c r="BJ65" s="185">
        <v>621.55999999999995</v>
      </c>
      <c r="BK65" s="185">
        <v>0</v>
      </c>
      <c r="BL65" s="185">
        <v>0</v>
      </c>
      <c r="BM65" s="185"/>
      <c r="BN65" s="185">
        <v>1665.39</v>
      </c>
      <c r="BO65" s="185">
        <v>1294.7300000000002</v>
      </c>
      <c r="BP65" s="185">
        <v>0</v>
      </c>
      <c r="BQ65" s="185"/>
      <c r="BR65" s="185">
        <v>806.31999999999982</v>
      </c>
      <c r="BS65" s="185"/>
      <c r="BT65" s="185"/>
      <c r="BU65" s="185"/>
      <c r="BV65" s="185">
        <v>4400</v>
      </c>
      <c r="BW65" s="185">
        <v>0</v>
      </c>
      <c r="BX65" s="185"/>
      <c r="BY65" s="185">
        <v>7108.24</v>
      </c>
      <c r="BZ65" s="185"/>
      <c r="CA65" s="185">
        <v>484.71</v>
      </c>
      <c r="CB65" s="185"/>
      <c r="CC65" s="185">
        <v>6085.4300000000012</v>
      </c>
      <c r="CD65" s="307" t="s">
        <v>221</v>
      </c>
      <c r="CE65" s="297">
        <f t="shared" si="0"/>
        <v>1080053.92</v>
      </c>
      <c r="CF65" s="2"/>
    </row>
    <row r="66" spans="1:84" ht="12.65" customHeight="1" x14ac:dyDescent="0.3">
      <c r="A66" s="304" t="s">
        <v>239</v>
      </c>
      <c r="B66" s="297"/>
      <c r="C66" s="302">
        <v>18294.359999999997</v>
      </c>
      <c r="D66" s="302"/>
      <c r="E66" s="302">
        <v>5411.8999999999987</v>
      </c>
      <c r="F66" s="302"/>
      <c r="G66" s="302"/>
      <c r="H66" s="302"/>
      <c r="I66" s="302"/>
      <c r="J66" s="302">
        <v>3717.07</v>
      </c>
      <c r="K66" s="185"/>
      <c r="L66" s="185"/>
      <c r="M66" s="302"/>
      <c r="N66" s="302"/>
      <c r="O66" s="185">
        <v>10149.39</v>
      </c>
      <c r="P66" s="185">
        <v>240382.81000000003</v>
      </c>
      <c r="Q66" s="185">
        <v>2989.08</v>
      </c>
      <c r="R66" s="185">
        <v>52654.219999999987</v>
      </c>
      <c r="S66" s="302">
        <v>55.11</v>
      </c>
      <c r="T66" s="302"/>
      <c r="U66" s="185">
        <v>890796.67999999993</v>
      </c>
      <c r="V66" s="185"/>
      <c r="W66" s="185">
        <v>19269.27</v>
      </c>
      <c r="X66" s="185">
        <v>149028.39999999997</v>
      </c>
      <c r="Y66" s="185">
        <v>661651.28</v>
      </c>
      <c r="Z66" s="185"/>
      <c r="AA66" s="185">
        <v>44114.740000000005</v>
      </c>
      <c r="AB66" s="185">
        <v>293755.15999999997</v>
      </c>
      <c r="AC66" s="185">
        <v>16669.269999999997</v>
      </c>
      <c r="AD66" s="185"/>
      <c r="AE66" s="185">
        <v>16814.02</v>
      </c>
      <c r="AF66" s="185"/>
      <c r="AG66" s="185">
        <v>419077.52</v>
      </c>
      <c r="AH66" s="185"/>
      <c r="AI66" s="185"/>
      <c r="AJ66" s="185"/>
      <c r="AK66" s="185"/>
      <c r="AL66" s="185"/>
      <c r="AM66" s="185"/>
      <c r="AN66" s="185"/>
      <c r="AO66" s="185"/>
      <c r="AP66" s="185">
        <v>363441.77999999997</v>
      </c>
      <c r="AQ66" s="185"/>
      <c r="AR66" s="185"/>
      <c r="AS66" s="185"/>
      <c r="AT66" s="185"/>
      <c r="AU66" s="185"/>
      <c r="AV66" s="185">
        <v>2949</v>
      </c>
      <c r="AW66" s="185"/>
      <c r="AX66" s="185"/>
      <c r="AY66" s="185">
        <v>9362.56</v>
      </c>
      <c r="AZ66" s="185"/>
      <c r="BA66" s="185">
        <v>150624.10999999999</v>
      </c>
      <c r="BB66" s="185"/>
      <c r="BC66" s="185"/>
      <c r="BD66" s="185">
        <v>8391.42</v>
      </c>
      <c r="BE66" s="185">
        <v>308009.75</v>
      </c>
      <c r="BF66" s="185">
        <v>57055.86</v>
      </c>
      <c r="BG66" s="185"/>
      <c r="BH66" s="185">
        <v>8144117.0499999998</v>
      </c>
      <c r="BI66" s="185"/>
      <c r="BJ66" s="185">
        <v>6434.0300000000007</v>
      </c>
      <c r="BK66" s="185">
        <v>321923.69</v>
      </c>
      <c r="BL66" s="185">
        <v>10707.6</v>
      </c>
      <c r="BM66" s="185"/>
      <c r="BN66" s="185">
        <v>1016394.0099999999</v>
      </c>
      <c r="BO66" s="185">
        <v>42547.83</v>
      </c>
      <c r="BP66" s="185">
        <v>147446.51999999999</v>
      </c>
      <c r="BQ66" s="185"/>
      <c r="BR66" s="185">
        <v>59707.069999999992</v>
      </c>
      <c r="BS66" s="185"/>
      <c r="BT66" s="185"/>
      <c r="BU66" s="185"/>
      <c r="BV66" s="185">
        <v>409666.71</v>
      </c>
      <c r="BW66" s="185">
        <v>10213.31</v>
      </c>
      <c r="BX66" s="185"/>
      <c r="BY66" s="185">
        <v>211625.28000000003</v>
      </c>
      <c r="BZ66" s="185"/>
      <c r="CA66" s="185">
        <v>23191.14</v>
      </c>
      <c r="CB66" s="185"/>
      <c r="CC66" s="185">
        <v>931657.91</v>
      </c>
      <c r="CD66" s="307" t="s">
        <v>221</v>
      </c>
      <c r="CE66" s="297">
        <f t="shared" si="0"/>
        <v>15080296.909999998</v>
      </c>
      <c r="CF66" s="2"/>
    </row>
    <row r="67" spans="1:84" ht="12.65" customHeight="1" x14ac:dyDescent="0.3">
      <c r="A67" s="304" t="s">
        <v>6</v>
      </c>
      <c r="B67" s="297"/>
      <c r="C67" s="297">
        <f>ROUND(C51+C52,0)</f>
        <v>135556</v>
      </c>
      <c r="D67" s="297">
        <f>ROUND(D51+D52,0)</f>
        <v>0</v>
      </c>
      <c r="E67" s="297">
        <f t="shared" ref="E67:BP67" si="3">ROUND(E51+E52,0)</f>
        <v>400415</v>
      </c>
      <c r="F67" s="297">
        <f t="shared" si="3"/>
        <v>0</v>
      </c>
      <c r="G67" s="297">
        <f t="shared" si="3"/>
        <v>0</v>
      </c>
      <c r="H67" s="297">
        <f t="shared" si="3"/>
        <v>0</v>
      </c>
      <c r="I67" s="297">
        <f t="shared" si="3"/>
        <v>0</v>
      </c>
      <c r="J67" s="297">
        <f>ROUND(J51+J52,0)</f>
        <v>10025</v>
      </c>
      <c r="K67" s="297">
        <f t="shared" si="3"/>
        <v>0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20275</v>
      </c>
      <c r="P67" s="297">
        <f t="shared" si="3"/>
        <v>136541</v>
      </c>
      <c r="Q67" s="297">
        <f t="shared" si="3"/>
        <v>150719</v>
      </c>
      <c r="R67" s="297">
        <f t="shared" si="3"/>
        <v>6480</v>
      </c>
      <c r="S67" s="297">
        <f t="shared" si="3"/>
        <v>61774</v>
      </c>
      <c r="T67" s="297">
        <f t="shared" si="3"/>
        <v>0</v>
      </c>
      <c r="U67" s="297">
        <f t="shared" si="3"/>
        <v>91359</v>
      </c>
      <c r="V67" s="297">
        <f t="shared" si="3"/>
        <v>0</v>
      </c>
      <c r="W67" s="297">
        <f t="shared" si="3"/>
        <v>44452</v>
      </c>
      <c r="X67" s="297">
        <f t="shared" si="3"/>
        <v>16464</v>
      </c>
      <c r="Y67" s="297">
        <f t="shared" si="3"/>
        <v>145414</v>
      </c>
      <c r="Z67" s="297">
        <f t="shared" si="3"/>
        <v>0</v>
      </c>
      <c r="AA67" s="297">
        <f t="shared" si="3"/>
        <v>14353</v>
      </c>
      <c r="AB67" s="297">
        <f t="shared" si="3"/>
        <v>39979</v>
      </c>
      <c r="AC67" s="297">
        <f t="shared" si="3"/>
        <v>16752</v>
      </c>
      <c r="AD67" s="297">
        <f t="shared" si="3"/>
        <v>0</v>
      </c>
      <c r="AE67" s="297">
        <f t="shared" si="3"/>
        <v>80827</v>
      </c>
      <c r="AF67" s="297">
        <f t="shared" si="3"/>
        <v>0</v>
      </c>
      <c r="AG67" s="297">
        <f t="shared" si="3"/>
        <v>198464</v>
      </c>
      <c r="AH67" s="297">
        <f t="shared" si="3"/>
        <v>0</v>
      </c>
      <c r="AI67" s="297">
        <f t="shared" si="3"/>
        <v>0</v>
      </c>
      <c r="AJ67" s="297">
        <f t="shared" si="3"/>
        <v>0</v>
      </c>
      <c r="AK67" s="297">
        <f t="shared" si="3"/>
        <v>0</v>
      </c>
      <c r="AL67" s="297">
        <f t="shared" si="3"/>
        <v>0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4255602</v>
      </c>
      <c r="AQ67" s="297">
        <f t="shared" si="3"/>
        <v>0</v>
      </c>
      <c r="AR67" s="297">
        <f t="shared" si="3"/>
        <v>0</v>
      </c>
      <c r="AS67" s="297">
        <f t="shared" si="3"/>
        <v>0</v>
      </c>
      <c r="AT67" s="297">
        <f t="shared" si="3"/>
        <v>0</v>
      </c>
      <c r="AU67" s="297">
        <f t="shared" si="3"/>
        <v>0</v>
      </c>
      <c r="AV67" s="297">
        <f t="shared" si="3"/>
        <v>5572</v>
      </c>
      <c r="AW67" s="297">
        <f t="shared" si="3"/>
        <v>0</v>
      </c>
      <c r="AX67" s="297">
        <f t="shared" si="3"/>
        <v>0</v>
      </c>
      <c r="AY67" s="297">
        <f t="shared" si="3"/>
        <v>104814</v>
      </c>
      <c r="AZ67" s="297">
        <f>ROUND(AZ51+AZ52,0)</f>
        <v>0</v>
      </c>
      <c r="BA67" s="297">
        <f>ROUND(BA51+BA52,0)</f>
        <v>30380</v>
      </c>
      <c r="BB67" s="297">
        <f t="shared" si="3"/>
        <v>0</v>
      </c>
      <c r="BC67" s="297">
        <f t="shared" si="3"/>
        <v>0</v>
      </c>
      <c r="BD67" s="297">
        <f t="shared" si="3"/>
        <v>70757</v>
      </c>
      <c r="BE67" s="297">
        <f t="shared" si="3"/>
        <v>585728</v>
      </c>
      <c r="BF67" s="297">
        <f t="shared" si="3"/>
        <v>47728</v>
      </c>
      <c r="BG67" s="297">
        <f t="shared" si="3"/>
        <v>0</v>
      </c>
      <c r="BH67" s="297">
        <f t="shared" si="3"/>
        <v>67656</v>
      </c>
      <c r="BI67" s="297">
        <f t="shared" si="3"/>
        <v>0</v>
      </c>
      <c r="BJ67" s="297">
        <f t="shared" si="3"/>
        <v>41209</v>
      </c>
      <c r="BK67" s="297">
        <f t="shared" si="3"/>
        <v>56869</v>
      </c>
      <c r="BL67" s="297">
        <f t="shared" si="3"/>
        <v>39971</v>
      </c>
      <c r="BM67" s="297">
        <f t="shared" si="3"/>
        <v>0</v>
      </c>
      <c r="BN67" s="297">
        <f t="shared" si="3"/>
        <v>111938</v>
      </c>
      <c r="BO67" s="297">
        <f t="shared" si="3"/>
        <v>5808</v>
      </c>
      <c r="BP67" s="297">
        <f t="shared" si="3"/>
        <v>59232</v>
      </c>
      <c r="BQ67" s="297">
        <f t="shared" ref="BQ67:CC67" si="4">ROUND(BQ51+BQ52,0)</f>
        <v>0</v>
      </c>
      <c r="BR67" s="297">
        <f t="shared" si="4"/>
        <v>44278</v>
      </c>
      <c r="BS67" s="297">
        <f t="shared" si="4"/>
        <v>0</v>
      </c>
      <c r="BT67" s="297">
        <f t="shared" si="4"/>
        <v>0</v>
      </c>
      <c r="BU67" s="297">
        <f t="shared" si="4"/>
        <v>0</v>
      </c>
      <c r="BV67" s="297">
        <f t="shared" si="4"/>
        <v>94535</v>
      </c>
      <c r="BW67" s="297">
        <f t="shared" si="4"/>
        <v>21251</v>
      </c>
      <c r="BX67" s="297">
        <f t="shared" si="4"/>
        <v>0</v>
      </c>
      <c r="BY67" s="297">
        <f t="shared" si="4"/>
        <v>35991</v>
      </c>
      <c r="BZ67" s="297">
        <f t="shared" si="4"/>
        <v>0</v>
      </c>
      <c r="CA67" s="297">
        <f t="shared" si="4"/>
        <v>21753</v>
      </c>
      <c r="CB67" s="297">
        <f t="shared" si="4"/>
        <v>0</v>
      </c>
      <c r="CC67" s="297">
        <f t="shared" si="4"/>
        <v>379572</v>
      </c>
      <c r="CD67" s="307" t="s">
        <v>221</v>
      </c>
      <c r="CE67" s="297">
        <f t="shared" si="0"/>
        <v>7650493</v>
      </c>
      <c r="CF67" s="2"/>
    </row>
    <row r="68" spans="1:84" ht="12.65" customHeight="1" x14ac:dyDescent="0.3">
      <c r="A68" s="304" t="s">
        <v>240</v>
      </c>
      <c r="B68" s="297"/>
      <c r="C68" s="302">
        <v>2598.66</v>
      </c>
      <c r="D68" s="302"/>
      <c r="E68" s="302">
        <v>7055.8600000000006</v>
      </c>
      <c r="F68" s="302"/>
      <c r="G68" s="302"/>
      <c r="H68" s="302"/>
      <c r="I68" s="302"/>
      <c r="J68" s="302">
        <v>0</v>
      </c>
      <c r="K68" s="185"/>
      <c r="L68" s="185"/>
      <c r="M68" s="302"/>
      <c r="N68" s="302"/>
      <c r="O68" s="302">
        <v>5049.83</v>
      </c>
      <c r="P68" s="185">
        <v>129358.22000000002</v>
      </c>
      <c r="Q68" s="185">
        <v>5162.3399999999992</v>
      </c>
      <c r="R68" s="185">
        <v>1013.55</v>
      </c>
      <c r="S68" s="185">
        <v>4254.3599999999997</v>
      </c>
      <c r="T68" s="185"/>
      <c r="U68" s="185">
        <v>9004.6299999999992</v>
      </c>
      <c r="V68" s="185"/>
      <c r="W68" s="185">
        <v>0</v>
      </c>
      <c r="X68" s="185">
        <v>0</v>
      </c>
      <c r="Y68" s="185">
        <v>10265.89</v>
      </c>
      <c r="Z68" s="185"/>
      <c r="AA68" s="185"/>
      <c r="AB68" s="185">
        <v>1162.53</v>
      </c>
      <c r="AC68" s="185">
        <v>18349.98</v>
      </c>
      <c r="AD68" s="185"/>
      <c r="AE68" s="185">
        <v>6784.87</v>
      </c>
      <c r="AF68" s="185"/>
      <c r="AG68" s="185">
        <v>11299.010000000002</v>
      </c>
      <c r="AH68" s="185"/>
      <c r="AI68" s="185"/>
      <c r="AJ68" s="185"/>
      <c r="AK68" s="185"/>
      <c r="AL68" s="185"/>
      <c r="AM68" s="185"/>
      <c r="AN68" s="185"/>
      <c r="AO68" s="185"/>
      <c r="AP68" s="185">
        <v>78673</v>
      </c>
      <c r="AQ68" s="185"/>
      <c r="AR68" s="185"/>
      <c r="AS68" s="185"/>
      <c r="AT68" s="185"/>
      <c r="AU68" s="185"/>
      <c r="AV68" s="185">
        <v>0</v>
      </c>
      <c r="AW68" s="185"/>
      <c r="AX68" s="185"/>
      <c r="AY68" s="185">
        <v>3758.54</v>
      </c>
      <c r="AZ68" s="185"/>
      <c r="BA68" s="185"/>
      <c r="BB68" s="185"/>
      <c r="BC68" s="185"/>
      <c r="BD68" s="185">
        <v>8158.9700000000012</v>
      </c>
      <c r="BE68" s="185">
        <v>28321.33</v>
      </c>
      <c r="BF68" s="185">
        <v>5490.7</v>
      </c>
      <c r="BG68" s="185"/>
      <c r="BH68" s="185">
        <v>89674.15</v>
      </c>
      <c r="BI68" s="185"/>
      <c r="BJ68" s="185">
        <v>32405.15</v>
      </c>
      <c r="BK68" s="185">
        <v>53953.750000000007</v>
      </c>
      <c r="BL68" s="185">
        <v>7857.28</v>
      </c>
      <c r="BM68" s="185"/>
      <c r="BN68" s="185">
        <v>38707.71</v>
      </c>
      <c r="BO68" s="185">
        <v>2281.1800000000003</v>
      </c>
      <c r="BP68" s="185">
        <v>1526.03</v>
      </c>
      <c r="BQ68" s="185"/>
      <c r="BR68" s="185">
        <v>16968.060000000001</v>
      </c>
      <c r="BS68" s="185"/>
      <c r="BT68" s="185"/>
      <c r="BU68" s="185"/>
      <c r="BV68" s="185">
        <v>55796.01</v>
      </c>
      <c r="BW68" s="185">
        <v>836.07999999999993</v>
      </c>
      <c r="BX68" s="185"/>
      <c r="BY68" s="185">
        <v>5537.9600000000009</v>
      </c>
      <c r="BZ68" s="185"/>
      <c r="CA68" s="185">
        <v>20609.649999999994</v>
      </c>
      <c r="CB68" s="185"/>
      <c r="CC68" s="185">
        <v>163537.85999999999</v>
      </c>
      <c r="CD68" s="307" t="s">
        <v>221</v>
      </c>
      <c r="CE68" s="297">
        <f t="shared" si="0"/>
        <v>825453.14000000013</v>
      </c>
      <c r="CF68" s="2"/>
    </row>
    <row r="69" spans="1:84" ht="12.65" customHeight="1" x14ac:dyDescent="0.3">
      <c r="A69" s="304" t="s">
        <v>241</v>
      </c>
      <c r="B69" s="297"/>
      <c r="C69" s="302">
        <v>78</v>
      </c>
      <c r="D69" s="302"/>
      <c r="E69" s="302">
        <v>0</v>
      </c>
      <c r="F69" s="185"/>
      <c r="G69" s="302"/>
      <c r="H69" s="302"/>
      <c r="I69" s="185"/>
      <c r="J69" s="185">
        <v>2057.04</v>
      </c>
      <c r="K69" s="185"/>
      <c r="L69" s="185"/>
      <c r="M69" s="302"/>
      <c r="N69" s="302"/>
      <c r="O69" s="302">
        <v>1018.46</v>
      </c>
      <c r="P69" s="185">
        <v>9337.86</v>
      </c>
      <c r="Q69" s="185">
        <v>393</v>
      </c>
      <c r="R69" s="224">
        <v>17255.23</v>
      </c>
      <c r="S69" s="185">
        <v>0</v>
      </c>
      <c r="T69" s="302"/>
      <c r="U69" s="185">
        <v>1430.79</v>
      </c>
      <c r="V69" s="185"/>
      <c r="W69" s="302">
        <v>315</v>
      </c>
      <c r="X69" s="185">
        <v>0</v>
      </c>
      <c r="Y69" s="185">
        <v>806.38</v>
      </c>
      <c r="Z69" s="185"/>
      <c r="AA69" s="185"/>
      <c r="AB69" s="185">
        <v>10269.16</v>
      </c>
      <c r="AC69" s="185">
        <v>159</v>
      </c>
      <c r="AD69" s="185"/>
      <c r="AE69" s="185">
        <v>9102.32</v>
      </c>
      <c r="AF69" s="185"/>
      <c r="AG69" s="185">
        <v>44338.3</v>
      </c>
      <c r="AH69" s="185"/>
      <c r="AI69" s="185"/>
      <c r="AJ69" s="185"/>
      <c r="AK69" s="185"/>
      <c r="AL69" s="185"/>
      <c r="AM69" s="185"/>
      <c r="AN69" s="185"/>
      <c r="AO69" s="302"/>
      <c r="AP69" s="185">
        <v>344626.48</v>
      </c>
      <c r="AQ69" s="302"/>
      <c r="AR69" s="302"/>
      <c r="AS69" s="302"/>
      <c r="AT69" s="302"/>
      <c r="AU69" s="185"/>
      <c r="AV69" s="185">
        <v>295</v>
      </c>
      <c r="AW69" s="185"/>
      <c r="AX69" s="185"/>
      <c r="AY69" s="185">
        <v>10382.049999999999</v>
      </c>
      <c r="AZ69" s="185"/>
      <c r="BA69" s="185"/>
      <c r="BB69" s="185"/>
      <c r="BC69" s="185"/>
      <c r="BD69" s="185">
        <v>46524.2</v>
      </c>
      <c r="BE69" s="185">
        <v>15276.789999999997</v>
      </c>
      <c r="BF69" s="185">
        <v>4611.5599999999995</v>
      </c>
      <c r="BG69" s="185"/>
      <c r="BH69" s="224">
        <v>33468.97</v>
      </c>
      <c r="BI69" s="185"/>
      <c r="BJ69" s="185">
        <v>137796.87000000002</v>
      </c>
      <c r="BK69" s="185">
        <v>10733.99</v>
      </c>
      <c r="BL69" s="185">
        <v>205</v>
      </c>
      <c r="BM69" s="185"/>
      <c r="BN69" s="185">
        <v>285859.87</v>
      </c>
      <c r="BO69" s="185">
        <v>77.34</v>
      </c>
      <c r="BP69" s="185">
        <v>52966.9</v>
      </c>
      <c r="BQ69" s="185"/>
      <c r="BR69" s="185">
        <v>173086.41</v>
      </c>
      <c r="BS69" s="185"/>
      <c r="BT69" s="185"/>
      <c r="BU69" s="185"/>
      <c r="BV69" s="185">
        <v>3931.18</v>
      </c>
      <c r="BW69" s="185">
        <v>38588.83</v>
      </c>
      <c r="BX69" s="185"/>
      <c r="BY69" s="185">
        <v>6529.94</v>
      </c>
      <c r="BZ69" s="185"/>
      <c r="CA69" s="185">
        <v>18728.82</v>
      </c>
      <c r="CB69" s="185"/>
      <c r="CC69" s="185">
        <v>33428.089999999997</v>
      </c>
      <c r="CD69" s="185">
        <v>4198148.6399999997</v>
      </c>
      <c r="CE69" s="297">
        <f t="shared" si="0"/>
        <v>5511827.4699999997</v>
      </c>
      <c r="CF69" s="2"/>
    </row>
    <row r="70" spans="1:84" ht="12.65" customHeight="1" x14ac:dyDescent="0.3">
      <c r="A70" s="304" t="s">
        <v>242</v>
      </c>
      <c r="B70" s="297"/>
      <c r="C70" s="302">
        <v>0</v>
      </c>
      <c r="D70" s="302"/>
      <c r="E70" s="302">
        <v>0</v>
      </c>
      <c r="F70" s="185"/>
      <c r="G70" s="302"/>
      <c r="H70" s="302"/>
      <c r="I70" s="302"/>
      <c r="J70" s="185">
        <v>0</v>
      </c>
      <c r="K70" s="185"/>
      <c r="L70" s="185"/>
      <c r="M70" s="302"/>
      <c r="N70" s="302"/>
      <c r="O70" s="302">
        <v>0</v>
      </c>
      <c r="P70" s="302">
        <v>1057.5</v>
      </c>
      <c r="Q70" s="302">
        <v>0</v>
      </c>
      <c r="R70" s="302">
        <v>1748698.3800000001</v>
      </c>
      <c r="S70" s="302">
        <v>0</v>
      </c>
      <c r="T70" s="302"/>
      <c r="U70" s="185">
        <v>0</v>
      </c>
      <c r="V70" s="302"/>
      <c r="W70" s="302">
        <v>0</v>
      </c>
      <c r="X70" s="185">
        <v>0</v>
      </c>
      <c r="Y70" s="185">
        <v>0</v>
      </c>
      <c r="Z70" s="185"/>
      <c r="AA70" s="185"/>
      <c r="AB70" s="185">
        <v>4163255.16</v>
      </c>
      <c r="AC70" s="185">
        <v>0</v>
      </c>
      <c r="AD70" s="185"/>
      <c r="AE70" s="185">
        <v>0</v>
      </c>
      <c r="AF70" s="185"/>
      <c r="AG70" s="185">
        <v>0</v>
      </c>
      <c r="AH70" s="185"/>
      <c r="AI70" s="185"/>
      <c r="AJ70" s="185"/>
      <c r="AK70" s="185"/>
      <c r="AL70" s="185"/>
      <c r="AM70" s="185"/>
      <c r="AN70" s="185"/>
      <c r="AO70" s="185"/>
      <c r="AP70" s="185">
        <v>26388.14</v>
      </c>
      <c r="AQ70" s="185"/>
      <c r="AR70" s="185"/>
      <c r="AS70" s="185"/>
      <c r="AT70" s="185"/>
      <c r="AU70" s="185"/>
      <c r="AV70" s="185">
        <v>400</v>
      </c>
      <c r="AW70" s="185"/>
      <c r="AX70" s="185"/>
      <c r="AY70" s="185">
        <v>340042.89</v>
      </c>
      <c r="AZ70" s="185"/>
      <c r="BA70" s="185"/>
      <c r="BB70" s="185"/>
      <c r="BC70" s="185"/>
      <c r="BD70" s="185">
        <v>0</v>
      </c>
      <c r="BE70" s="185">
        <v>0</v>
      </c>
      <c r="BF70" s="185">
        <v>0</v>
      </c>
      <c r="BG70" s="185"/>
      <c r="BH70" s="185">
        <v>0</v>
      </c>
      <c r="BI70" s="185"/>
      <c r="BJ70" s="185">
        <v>0</v>
      </c>
      <c r="BK70" s="185">
        <v>992.4799999999999</v>
      </c>
      <c r="BL70" s="185">
        <v>0</v>
      </c>
      <c r="BM70" s="185"/>
      <c r="BN70" s="185">
        <v>0</v>
      </c>
      <c r="BO70" s="185"/>
      <c r="BP70" s="185">
        <v>0</v>
      </c>
      <c r="BQ70" s="185"/>
      <c r="BR70" s="185">
        <v>0</v>
      </c>
      <c r="BS70" s="185"/>
      <c r="BT70" s="185"/>
      <c r="BU70" s="185"/>
      <c r="BV70" s="185">
        <v>31035.489999999994</v>
      </c>
      <c r="BW70" s="185">
        <v>3475</v>
      </c>
      <c r="BX70" s="185"/>
      <c r="BY70" s="185">
        <v>0</v>
      </c>
      <c r="BZ70" s="185"/>
      <c r="CA70" s="185">
        <v>12</v>
      </c>
      <c r="CB70" s="185"/>
      <c r="CC70" s="185">
        <v>0</v>
      </c>
      <c r="CD70" s="185">
        <v>7619436.6699999999</v>
      </c>
      <c r="CE70" s="297">
        <f t="shared" si="0"/>
        <v>13934793.710000001</v>
      </c>
      <c r="CF70" s="2"/>
    </row>
    <row r="71" spans="1:84" ht="12.65" customHeight="1" x14ac:dyDescent="0.3">
      <c r="A71" s="304" t="s">
        <v>243</v>
      </c>
      <c r="B71" s="297"/>
      <c r="C71" s="297">
        <f>SUM(C61:C68)+C69-C70</f>
        <v>2819653.35</v>
      </c>
      <c r="D71" s="297">
        <f t="shared" ref="D71:AI71" si="5">SUM(D61:D69)-D70</f>
        <v>0</v>
      </c>
      <c r="E71" s="297">
        <f t="shared" si="5"/>
        <v>6923758.9200000009</v>
      </c>
      <c r="F71" s="297">
        <f t="shared" si="5"/>
        <v>0</v>
      </c>
      <c r="G71" s="297">
        <f t="shared" si="5"/>
        <v>0</v>
      </c>
      <c r="H71" s="297">
        <f t="shared" si="5"/>
        <v>0</v>
      </c>
      <c r="I71" s="297">
        <f t="shared" si="5"/>
        <v>0</v>
      </c>
      <c r="J71" s="297">
        <f t="shared" si="5"/>
        <v>39948.719999999994</v>
      </c>
      <c r="K71" s="297">
        <f t="shared" si="5"/>
        <v>0</v>
      </c>
      <c r="L71" s="297">
        <f t="shared" si="5"/>
        <v>0</v>
      </c>
      <c r="M71" s="297">
        <f t="shared" si="5"/>
        <v>0</v>
      </c>
      <c r="N71" s="297">
        <f t="shared" si="5"/>
        <v>0</v>
      </c>
      <c r="O71" s="297">
        <f t="shared" si="5"/>
        <v>136476.52999999997</v>
      </c>
      <c r="P71" s="297">
        <f t="shared" si="5"/>
        <v>3280833.6500000004</v>
      </c>
      <c r="Q71" s="297">
        <f t="shared" si="5"/>
        <v>1793430.9400000002</v>
      </c>
      <c r="R71" s="297">
        <f t="shared" si="5"/>
        <v>-445433.67000000016</v>
      </c>
      <c r="S71" s="297">
        <f t="shared" si="5"/>
        <v>4328718.5200000005</v>
      </c>
      <c r="T71" s="297">
        <f t="shared" si="5"/>
        <v>0</v>
      </c>
      <c r="U71" s="297">
        <f t="shared" si="5"/>
        <v>5433028.8799999999</v>
      </c>
      <c r="V71" s="297">
        <f t="shared" si="5"/>
        <v>0</v>
      </c>
      <c r="W71" s="297">
        <f t="shared" si="5"/>
        <v>358446.68000000005</v>
      </c>
      <c r="X71" s="297">
        <f t="shared" si="5"/>
        <v>825772.42999999993</v>
      </c>
      <c r="Y71" s="297">
        <f t="shared" si="5"/>
        <v>3298394.98</v>
      </c>
      <c r="Z71" s="297">
        <f t="shared" si="5"/>
        <v>0</v>
      </c>
      <c r="AA71" s="297">
        <f t="shared" si="5"/>
        <v>218428.69</v>
      </c>
      <c r="AB71" s="297">
        <f t="shared" si="5"/>
        <v>607647.43000000063</v>
      </c>
      <c r="AC71" s="297">
        <f t="shared" si="5"/>
        <v>1202453.0900000001</v>
      </c>
      <c r="AD71" s="297">
        <f t="shared" si="5"/>
        <v>0</v>
      </c>
      <c r="AE71" s="297">
        <f t="shared" si="5"/>
        <v>2268969.92</v>
      </c>
      <c r="AF71" s="297">
        <f t="shared" si="5"/>
        <v>0</v>
      </c>
      <c r="AG71" s="297">
        <f t="shared" si="5"/>
        <v>8369906.4999999991</v>
      </c>
      <c r="AH71" s="297">
        <f t="shared" si="5"/>
        <v>0</v>
      </c>
      <c r="AI71" s="297">
        <f t="shared" si="5"/>
        <v>0</v>
      </c>
      <c r="AJ71" s="297">
        <f t="shared" ref="AJ71:BO71" si="6">SUM(AJ61:AJ69)-AJ70</f>
        <v>0</v>
      </c>
      <c r="AK71" s="297">
        <f t="shared" si="6"/>
        <v>0</v>
      </c>
      <c r="AL71" s="297">
        <f t="shared" si="6"/>
        <v>0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28299327.280000001</v>
      </c>
      <c r="AQ71" s="297">
        <f t="shared" si="6"/>
        <v>0</v>
      </c>
      <c r="AR71" s="297">
        <f t="shared" si="6"/>
        <v>0</v>
      </c>
      <c r="AS71" s="297">
        <f t="shared" si="6"/>
        <v>0</v>
      </c>
      <c r="AT71" s="297">
        <f t="shared" si="6"/>
        <v>0</v>
      </c>
      <c r="AU71" s="297">
        <f t="shared" si="6"/>
        <v>0</v>
      </c>
      <c r="AV71" s="297">
        <f t="shared" si="6"/>
        <v>391281.55</v>
      </c>
      <c r="AW71" s="297">
        <f t="shared" si="6"/>
        <v>0</v>
      </c>
      <c r="AX71" s="297">
        <f t="shared" si="6"/>
        <v>0</v>
      </c>
      <c r="AY71" s="297">
        <f t="shared" si="6"/>
        <v>1543443.27</v>
      </c>
      <c r="AZ71" s="297">
        <f t="shared" si="6"/>
        <v>0</v>
      </c>
      <c r="BA71" s="297">
        <f t="shared" si="6"/>
        <v>339064.04</v>
      </c>
      <c r="BB71" s="297">
        <f t="shared" si="6"/>
        <v>0</v>
      </c>
      <c r="BC71" s="297">
        <f t="shared" si="6"/>
        <v>0</v>
      </c>
      <c r="BD71" s="297">
        <f t="shared" si="6"/>
        <v>618171.87999999989</v>
      </c>
      <c r="BE71" s="297">
        <f t="shared" si="6"/>
        <v>2740797.0700000003</v>
      </c>
      <c r="BF71" s="297">
        <f t="shared" si="6"/>
        <v>2272145.6</v>
      </c>
      <c r="BG71" s="297">
        <f t="shared" si="6"/>
        <v>0</v>
      </c>
      <c r="BH71" s="297">
        <f t="shared" si="6"/>
        <v>8915511.1300000008</v>
      </c>
      <c r="BI71" s="297">
        <f t="shared" si="6"/>
        <v>0</v>
      </c>
      <c r="BJ71" s="297">
        <f t="shared" si="6"/>
        <v>846192.80000000016</v>
      </c>
      <c r="BK71" s="297">
        <f t="shared" si="6"/>
        <v>2093991.25</v>
      </c>
      <c r="BL71" s="297">
        <f t="shared" si="6"/>
        <v>1660266.84</v>
      </c>
      <c r="BM71" s="297">
        <f t="shared" si="6"/>
        <v>0</v>
      </c>
      <c r="BN71" s="297">
        <f t="shared" si="6"/>
        <v>4088869.56</v>
      </c>
      <c r="BO71" s="297">
        <f t="shared" si="6"/>
        <v>207873.61000000002</v>
      </c>
      <c r="BP71" s="297">
        <f t="shared" ref="BP71:CC71" si="7">SUM(BP61:BP69)-BP70</f>
        <v>275628.18</v>
      </c>
      <c r="BQ71" s="297">
        <f t="shared" si="7"/>
        <v>0</v>
      </c>
      <c r="BR71" s="297">
        <f t="shared" si="7"/>
        <v>863738.02999999991</v>
      </c>
      <c r="BS71" s="297">
        <f t="shared" si="7"/>
        <v>0</v>
      </c>
      <c r="BT71" s="297">
        <f t="shared" si="7"/>
        <v>0</v>
      </c>
      <c r="BU71" s="297">
        <f t="shared" si="7"/>
        <v>0</v>
      </c>
      <c r="BV71" s="297">
        <f t="shared" si="7"/>
        <v>2349912.88</v>
      </c>
      <c r="BW71" s="297">
        <f t="shared" si="7"/>
        <v>328482.91000000003</v>
      </c>
      <c r="BX71" s="297">
        <f t="shared" si="7"/>
        <v>0</v>
      </c>
      <c r="BY71" s="297">
        <f t="shared" si="7"/>
        <v>4076450.5900000003</v>
      </c>
      <c r="BZ71" s="297">
        <f t="shared" si="7"/>
        <v>0</v>
      </c>
      <c r="CA71" s="297">
        <f t="shared" si="7"/>
        <v>344159.22000000003</v>
      </c>
      <c r="CB71" s="297">
        <f t="shared" si="7"/>
        <v>0</v>
      </c>
      <c r="CC71" s="297">
        <f t="shared" si="7"/>
        <v>4129930.35</v>
      </c>
      <c r="CD71" s="303">
        <f>CD69-CD70</f>
        <v>-3421288.0300000003</v>
      </c>
      <c r="CE71" s="297">
        <f>SUM(CE61:CE69)-CE70</f>
        <v>104424385.56999999</v>
      </c>
      <c r="CF71" s="2"/>
    </row>
    <row r="72" spans="1:84" ht="12.65" customHeight="1" x14ac:dyDescent="0.3">
      <c r="A72" s="304" t="s">
        <v>244</v>
      </c>
      <c r="B72" s="297"/>
      <c r="C72" s="307" t="s">
        <v>221</v>
      </c>
      <c r="D72" s="307" t="s">
        <v>221</v>
      </c>
      <c r="E72" s="307" t="s">
        <v>221</v>
      </c>
      <c r="F72" s="307" t="s">
        <v>221</v>
      </c>
      <c r="G72" s="307" t="s">
        <v>221</v>
      </c>
      <c r="H72" s="307" t="s">
        <v>221</v>
      </c>
      <c r="I72" s="307" t="s">
        <v>221</v>
      </c>
      <c r="J72" s="307" t="s">
        <v>221</v>
      </c>
      <c r="K72" s="254" t="s">
        <v>221</v>
      </c>
      <c r="L72" s="307" t="s">
        <v>221</v>
      </c>
      <c r="M72" s="307" t="s">
        <v>221</v>
      </c>
      <c r="N72" s="307" t="s">
        <v>221</v>
      </c>
      <c r="O72" s="307" t="s">
        <v>221</v>
      </c>
      <c r="P72" s="307" t="s">
        <v>221</v>
      </c>
      <c r="Q72" s="307" t="s">
        <v>221</v>
      </c>
      <c r="R72" s="307" t="s">
        <v>221</v>
      </c>
      <c r="S72" s="307" t="s">
        <v>221</v>
      </c>
      <c r="T72" s="307" t="s">
        <v>221</v>
      </c>
      <c r="U72" s="307" t="s">
        <v>221</v>
      </c>
      <c r="V72" s="307" t="s">
        <v>221</v>
      </c>
      <c r="W72" s="307" t="s">
        <v>221</v>
      </c>
      <c r="X72" s="307" t="s">
        <v>221</v>
      </c>
      <c r="Y72" s="307" t="s">
        <v>221</v>
      </c>
      <c r="Z72" s="307" t="s">
        <v>221</v>
      </c>
      <c r="AA72" s="307" t="s">
        <v>221</v>
      </c>
      <c r="AB72" s="307" t="s">
        <v>221</v>
      </c>
      <c r="AC72" s="307" t="s">
        <v>221</v>
      </c>
      <c r="AD72" s="307" t="s">
        <v>221</v>
      </c>
      <c r="AE72" s="307" t="s">
        <v>221</v>
      </c>
      <c r="AF72" s="307" t="s">
        <v>221</v>
      </c>
      <c r="AG72" s="307" t="s">
        <v>221</v>
      </c>
      <c r="AH72" s="307" t="s">
        <v>221</v>
      </c>
      <c r="AI72" s="307" t="s">
        <v>221</v>
      </c>
      <c r="AJ72" s="307" t="s">
        <v>221</v>
      </c>
      <c r="AK72" s="307" t="s">
        <v>221</v>
      </c>
      <c r="AL72" s="307" t="s">
        <v>221</v>
      </c>
      <c r="AM72" s="307" t="s">
        <v>221</v>
      </c>
      <c r="AN72" s="307" t="s">
        <v>221</v>
      </c>
      <c r="AO72" s="307" t="s">
        <v>221</v>
      </c>
      <c r="AP72" s="307" t="s">
        <v>221</v>
      </c>
      <c r="AQ72" s="307" t="s">
        <v>221</v>
      </c>
      <c r="AR72" s="307" t="s">
        <v>221</v>
      </c>
      <c r="AS72" s="307" t="s">
        <v>221</v>
      </c>
      <c r="AT72" s="307" t="s">
        <v>221</v>
      </c>
      <c r="AU72" s="307" t="s">
        <v>221</v>
      </c>
      <c r="AV72" s="307" t="s">
        <v>221</v>
      </c>
      <c r="AW72" s="307" t="s">
        <v>221</v>
      </c>
      <c r="AX72" s="307" t="s">
        <v>221</v>
      </c>
      <c r="AY72" s="307" t="s">
        <v>221</v>
      </c>
      <c r="AZ72" s="307" t="s">
        <v>221</v>
      </c>
      <c r="BA72" s="307" t="s">
        <v>221</v>
      </c>
      <c r="BB72" s="307" t="s">
        <v>221</v>
      </c>
      <c r="BC72" s="307" t="s">
        <v>221</v>
      </c>
      <c r="BD72" s="307" t="s">
        <v>221</v>
      </c>
      <c r="BE72" s="307" t="s">
        <v>221</v>
      </c>
      <c r="BF72" s="307" t="s">
        <v>221</v>
      </c>
      <c r="BG72" s="307" t="s">
        <v>221</v>
      </c>
      <c r="BH72" s="307" t="s">
        <v>221</v>
      </c>
      <c r="BI72" s="307" t="s">
        <v>221</v>
      </c>
      <c r="BJ72" s="307" t="s">
        <v>221</v>
      </c>
      <c r="BK72" s="307" t="s">
        <v>221</v>
      </c>
      <c r="BL72" s="307" t="s">
        <v>221</v>
      </c>
      <c r="BM72" s="307" t="s">
        <v>221</v>
      </c>
      <c r="BN72" s="307" t="s">
        <v>221</v>
      </c>
      <c r="BO72" s="307" t="s">
        <v>221</v>
      </c>
      <c r="BP72" s="307" t="s">
        <v>221</v>
      </c>
      <c r="BQ72" s="307" t="s">
        <v>221</v>
      </c>
      <c r="BR72" s="307" t="s">
        <v>221</v>
      </c>
      <c r="BS72" s="307" t="s">
        <v>221</v>
      </c>
      <c r="BT72" s="307" t="s">
        <v>221</v>
      </c>
      <c r="BU72" s="307" t="s">
        <v>221</v>
      </c>
      <c r="BV72" s="307" t="s">
        <v>221</v>
      </c>
      <c r="BW72" s="307" t="s">
        <v>221</v>
      </c>
      <c r="BX72" s="307" t="s">
        <v>221</v>
      </c>
      <c r="BY72" s="307" t="s">
        <v>221</v>
      </c>
      <c r="BZ72" s="307" t="s">
        <v>221</v>
      </c>
      <c r="CA72" s="307" t="s">
        <v>221</v>
      </c>
      <c r="CB72" s="307" t="s">
        <v>221</v>
      </c>
      <c r="CC72" s="307" t="s">
        <v>221</v>
      </c>
      <c r="CD72" s="307" t="s">
        <v>221</v>
      </c>
      <c r="CE72" s="310">
        <v>2299605.23</v>
      </c>
      <c r="CF72" s="2"/>
    </row>
    <row r="73" spans="1:84" ht="12.65" customHeight="1" x14ac:dyDescent="0.3">
      <c r="A73" s="304" t="s">
        <v>245</v>
      </c>
      <c r="B73" s="297"/>
      <c r="C73" s="302">
        <v>7907783.3099999987</v>
      </c>
      <c r="D73" s="302"/>
      <c r="E73" s="302">
        <v>17194877.210000001</v>
      </c>
      <c r="F73" s="185"/>
      <c r="G73" s="302"/>
      <c r="H73" s="302"/>
      <c r="I73" s="185"/>
      <c r="J73" s="185">
        <v>1388923.7</v>
      </c>
      <c r="K73" s="185"/>
      <c r="L73" s="185"/>
      <c r="M73" s="302"/>
      <c r="N73" s="302"/>
      <c r="O73" s="302">
        <v>2732444.23</v>
      </c>
      <c r="P73" s="185">
        <v>4882866.87</v>
      </c>
      <c r="Q73" s="185">
        <v>1089381.23</v>
      </c>
      <c r="R73" s="185">
        <v>518904.82</v>
      </c>
      <c r="S73" s="185">
        <v>3743440.08</v>
      </c>
      <c r="T73" s="185"/>
      <c r="U73" s="185">
        <v>4593326.5999999996</v>
      </c>
      <c r="V73" s="185"/>
      <c r="W73" s="185">
        <v>472812.88</v>
      </c>
      <c r="X73" s="185">
        <v>1427021.8699999999</v>
      </c>
      <c r="Y73" s="185">
        <v>1312965.1600000001</v>
      </c>
      <c r="Z73" s="185"/>
      <c r="AA73" s="185">
        <v>87976.8</v>
      </c>
      <c r="AB73" s="185">
        <v>3101087.14</v>
      </c>
      <c r="AC73" s="185">
        <v>3520520.51</v>
      </c>
      <c r="AD73" s="185"/>
      <c r="AE73" s="185">
        <v>489056.16</v>
      </c>
      <c r="AF73" s="185"/>
      <c r="AG73" s="185">
        <v>2378246.4900000002</v>
      </c>
      <c r="AH73" s="185"/>
      <c r="AI73" s="185"/>
      <c r="AJ73" s="185"/>
      <c r="AK73" s="185"/>
      <c r="AL73" s="185"/>
      <c r="AM73" s="185"/>
      <c r="AN73" s="185"/>
      <c r="AO73" s="185"/>
      <c r="AP73" s="185">
        <v>0</v>
      </c>
      <c r="AQ73" s="185"/>
      <c r="AR73" s="185"/>
      <c r="AS73" s="185"/>
      <c r="AT73" s="185"/>
      <c r="AU73" s="185"/>
      <c r="AV73" s="185">
        <v>0</v>
      </c>
      <c r="AW73" s="307" t="s">
        <v>221</v>
      </c>
      <c r="AX73" s="307" t="s">
        <v>221</v>
      </c>
      <c r="AY73" s="307" t="s">
        <v>221</v>
      </c>
      <c r="AZ73" s="307" t="s">
        <v>221</v>
      </c>
      <c r="BA73" s="307" t="s">
        <v>221</v>
      </c>
      <c r="BB73" s="307" t="s">
        <v>221</v>
      </c>
      <c r="BC73" s="307" t="s">
        <v>221</v>
      </c>
      <c r="BD73" s="307" t="s">
        <v>221</v>
      </c>
      <c r="BE73" s="307" t="s">
        <v>221</v>
      </c>
      <c r="BF73" s="307" t="s">
        <v>221</v>
      </c>
      <c r="BG73" s="307" t="s">
        <v>221</v>
      </c>
      <c r="BH73" s="307" t="s">
        <v>221</v>
      </c>
      <c r="BI73" s="307" t="s">
        <v>221</v>
      </c>
      <c r="BJ73" s="307" t="s">
        <v>221</v>
      </c>
      <c r="BK73" s="307" t="s">
        <v>221</v>
      </c>
      <c r="BL73" s="307" t="s">
        <v>221</v>
      </c>
      <c r="BM73" s="307" t="s">
        <v>221</v>
      </c>
      <c r="BN73" s="307" t="s">
        <v>221</v>
      </c>
      <c r="BO73" s="307" t="s">
        <v>221</v>
      </c>
      <c r="BP73" s="307" t="s">
        <v>221</v>
      </c>
      <c r="BQ73" s="307" t="s">
        <v>221</v>
      </c>
      <c r="BR73" s="307" t="s">
        <v>221</v>
      </c>
      <c r="BS73" s="307" t="s">
        <v>221</v>
      </c>
      <c r="BT73" s="307" t="s">
        <v>221</v>
      </c>
      <c r="BU73" s="307" t="s">
        <v>221</v>
      </c>
      <c r="BV73" s="307" t="s">
        <v>221</v>
      </c>
      <c r="BW73" s="307" t="s">
        <v>221</v>
      </c>
      <c r="BX73" s="307" t="s">
        <v>221</v>
      </c>
      <c r="BY73" s="307" t="s">
        <v>221</v>
      </c>
      <c r="BZ73" s="307" t="s">
        <v>221</v>
      </c>
      <c r="CA73" s="307" t="s">
        <v>221</v>
      </c>
      <c r="CB73" s="307" t="s">
        <v>221</v>
      </c>
      <c r="CC73" s="307" t="s">
        <v>221</v>
      </c>
      <c r="CD73" s="307" t="s">
        <v>221</v>
      </c>
      <c r="CE73" s="297">
        <f t="shared" ref="CE73:CE80" si="8">SUM(C73:CD73)</f>
        <v>56841635.059999987</v>
      </c>
      <c r="CF73" s="2"/>
    </row>
    <row r="74" spans="1:84" ht="12.65" customHeight="1" x14ac:dyDescent="0.3">
      <c r="A74" s="304" t="s">
        <v>246</v>
      </c>
      <c r="B74" s="297"/>
      <c r="C74" s="302">
        <v>3106769.69</v>
      </c>
      <c r="D74" s="302"/>
      <c r="E74" s="302">
        <v>5717437.25</v>
      </c>
      <c r="F74" s="185"/>
      <c r="G74" s="302"/>
      <c r="H74" s="302"/>
      <c r="I74" s="302"/>
      <c r="J74" s="185">
        <v>103819.66</v>
      </c>
      <c r="K74" s="185"/>
      <c r="L74" s="185"/>
      <c r="M74" s="302"/>
      <c r="N74" s="302"/>
      <c r="O74" s="302">
        <v>789146.11</v>
      </c>
      <c r="P74" s="185">
        <v>11741021.43</v>
      </c>
      <c r="Q74" s="185">
        <v>5220521.4799999995</v>
      </c>
      <c r="R74" s="185">
        <v>1672097.27</v>
      </c>
      <c r="S74" s="185">
        <v>4218785.59</v>
      </c>
      <c r="T74" s="185"/>
      <c r="U74" s="185">
        <v>29028538.649999999</v>
      </c>
      <c r="V74" s="185"/>
      <c r="W74" s="185">
        <v>6486223.6200000001</v>
      </c>
      <c r="X74" s="185">
        <v>19898880.310000002</v>
      </c>
      <c r="Y74" s="185">
        <v>16250516.43</v>
      </c>
      <c r="Z74" s="185"/>
      <c r="AA74" s="185">
        <v>830671.40999999992</v>
      </c>
      <c r="AB74" s="185">
        <v>6538660.7699999996</v>
      </c>
      <c r="AC74" s="185">
        <v>2290285.12</v>
      </c>
      <c r="AD74" s="185"/>
      <c r="AE74" s="185">
        <v>5422838.0499999998</v>
      </c>
      <c r="AF74" s="185"/>
      <c r="AG74" s="185">
        <v>43881359.129999995</v>
      </c>
      <c r="AH74" s="185"/>
      <c r="AI74" s="185"/>
      <c r="AJ74" s="185"/>
      <c r="AK74" s="185"/>
      <c r="AL74" s="185"/>
      <c r="AM74" s="185"/>
      <c r="AN74" s="185"/>
      <c r="AO74" s="185"/>
      <c r="AP74" s="185">
        <v>30086704.91</v>
      </c>
      <c r="AQ74" s="185"/>
      <c r="AR74" s="185"/>
      <c r="AS74" s="185"/>
      <c r="AT74" s="185"/>
      <c r="AU74" s="185"/>
      <c r="AV74" s="185">
        <v>396950.64</v>
      </c>
      <c r="AW74" s="307" t="s">
        <v>221</v>
      </c>
      <c r="AX74" s="307" t="s">
        <v>221</v>
      </c>
      <c r="AY74" s="307" t="s">
        <v>221</v>
      </c>
      <c r="AZ74" s="307" t="s">
        <v>221</v>
      </c>
      <c r="BA74" s="307" t="s">
        <v>221</v>
      </c>
      <c r="BB74" s="307" t="s">
        <v>221</v>
      </c>
      <c r="BC74" s="307" t="s">
        <v>221</v>
      </c>
      <c r="BD74" s="307" t="s">
        <v>221</v>
      </c>
      <c r="BE74" s="307" t="s">
        <v>221</v>
      </c>
      <c r="BF74" s="307" t="s">
        <v>221</v>
      </c>
      <c r="BG74" s="307" t="s">
        <v>221</v>
      </c>
      <c r="BH74" s="307" t="s">
        <v>221</v>
      </c>
      <c r="BI74" s="307" t="s">
        <v>221</v>
      </c>
      <c r="BJ74" s="307" t="s">
        <v>221</v>
      </c>
      <c r="BK74" s="307" t="s">
        <v>221</v>
      </c>
      <c r="BL74" s="307" t="s">
        <v>221</v>
      </c>
      <c r="BM74" s="307" t="s">
        <v>221</v>
      </c>
      <c r="BN74" s="307" t="s">
        <v>221</v>
      </c>
      <c r="BO74" s="307" t="s">
        <v>221</v>
      </c>
      <c r="BP74" s="307" t="s">
        <v>221</v>
      </c>
      <c r="BQ74" s="307" t="s">
        <v>221</v>
      </c>
      <c r="BR74" s="307" t="s">
        <v>221</v>
      </c>
      <c r="BS74" s="307" t="s">
        <v>221</v>
      </c>
      <c r="BT74" s="307" t="s">
        <v>221</v>
      </c>
      <c r="BU74" s="307" t="s">
        <v>221</v>
      </c>
      <c r="BV74" s="307" t="s">
        <v>221</v>
      </c>
      <c r="BW74" s="307" t="s">
        <v>221</v>
      </c>
      <c r="BX74" s="307" t="s">
        <v>221</v>
      </c>
      <c r="BY74" s="307" t="s">
        <v>221</v>
      </c>
      <c r="BZ74" s="307" t="s">
        <v>221</v>
      </c>
      <c r="CA74" s="307" t="s">
        <v>221</v>
      </c>
      <c r="CB74" s="307" t="s">
        <v>221</v>
      </c>
      <c r="CC74" s="307" t="s">
        <v>221</v>
      </c>
      <c r="CD74" s="307" t="s">
        <v>221</v>
      </c>
      <c r="CE74" s="297">
        <f t="shared" si="8"/>
        <v>193681227.51999998</v>
      </c>
      <c r="CF74" s="2"/>
    </row>
    <row r="75" spans="1:84" ht="12.65" customHeight="1" x14ac:dyDescent="0.3">
      <c r="A75" s="304" t="s">
        <v>247</v>
      </c>
      <c r="B75" s="297"/>
      <c r="C75" s="297">
        <f t="shared" ref="C75:AV75" si="9">SUM(C73:C74)</f>
        <v>11014552.999999998</v>
      </c>
      <c r="D75" s="297">
        <f t="shared" si="9"/>
        <v>0</v>
      </c>
      <c r="E75" s="297">
        <f t="shared" si="9"/>
        <v>22912314.460000001</v>
      </c>
      <c r="F75" s="297">
        <f t="shared" si="9"/>
        <v>0</v>
      </c>
      <c r="G75" s="297">
        <f t="shared" si="9"/>
        <v>0</v>
      </c>
      <c r="H75" s="297">
        <f t="shared" si="9"/>
        <v>0</v>
      </c>
      <c r="I75" s="297">
        <f t="shared" si="9"/>
        <v>0</v>
      </c>
      <c r="J75" s="297">
        <f t="shared" si="9"/>
        <v>1492743.3599999999</v>
      </c>
      <c r="K75" s="297">
        <f t="shared" si="9"/>
        <v>0</v>
      </c>
      <c r="L75" s="297">
        <f t="shared" si="9"/>
        <v>0</v>
      </c>
      <c r="M75" s="297">
        <f t="shared" si="9"/>
        <v>0</v>
      </c>
      <c r="N75" s="297">
        <f t="shared" si="9"/>
        <v>0</v>
      </c>
      <c r="O75" s="297">
        <f t="shared" si="9"/>
        <v>3521590.34</v>
      </c>
      <c r="P75" s="297">
        <f t="shared" si="9"/>
        <v>16623888.300000001</v>
      </c>
      <c r="Q75" s="297">
        <f t="shared" si="9"/>
        <v>6309902.709999999</v>
      </c>
      <c r="R75" s="297">
        <f t="shared" si="9"/>
        <v>2191002.09</v>
      </c>
      <c r="S75" s="297">
        <f t="shared" si="9"/>
        <v>7962225.6699999999</v>
      </c>
      <c r="T75" s="297">
        <f t="shared" si="9"/>
        <v>0</v>
      </c>
      <c r="U75" s="297">
        <f t="shared" si="9"/>
        <v>33621865.25</v>
      </c>
      <c r="V75" s="297">
        <f t="shared" si="9"/>
        <v>0</v>
      </c>
      <c r="W75" s="297">
        <f t="shared" si="9"/>
        <v>6959036.5</v>
      </c>
      <c r="X75" s="297">
        <f t="shared" si="9"/>
        <v>21325902.180000003</v>
      </c>
      <c r="Y75" s="297">
        <f t="shared" si="9"/>
        <v>17563481.59</v>
      </c>
      <c r="Z75" s="297">
        <f t="shared" si="9"/>
        <v>0</v>
      </c>
      <c r="AA75" s="297">
        <f t="shared" si="9"/>
        <v>918648.21</v>
      </c>
      <c r="AB75" s="297">
        <f t="shared" si="9"/>
        <v>9639747.9100000001</v>
      </c>
      <c r="AC75" s="297">
        <f t="shared" si="9"/>
        <v>5810805.6299999999</v>
      </c>
      <c r="AD75" s="297">
        <f t="shared" si="9"/>
        <v>0</v>
      </c>
      <c r="AE75" s="297">
        <f t="shared" si="9"/>
        <v>5911894.21</v>
      </c>
      <c r="AF75" s="297">
        <f t="shared" si="9"/>
        <v>0</v>
      </c>
      <c r="AG75" s="297">
        <f t="shared" si="9"/>
        <v>46259605.619999997</v>
      </c>
      <c r="AH75" s="297">
        <f t="shared" si="9"/>
        <v>0</v>
      </c>
      <c r="AI75" s="297">
        <f t="shared" si="9"/>
        <v>0</v>
      </c>
      <c r="AJ75" s="297">
        <f t="shared" si="9"/>
        <v>0</v>
      </c>
      <c r="AK75" s="297">
        <f t="shared" si="9"/>
        <v>0</v>
      </c>
      <c r="AL75" s="297">
        <f t="shared" si="9"/>
        <v>0</v>
      </c>
      <c r="AM75" s="297">
        <f t="shared" si="9"/>
        <v>0</v>
      </c>
      <c r="AN75" s="297">
        <f t="shared" si="9"/>
        <v>0</v>
      </c>
      <c r="AO75" s="297">
        <f t="shared" si="9"/>
        <v>0</v>
      </c>
      <c r="AP75" s="297">
        <f t="shared" si="9"/>
        <v>30086704.91</v>
      </c>
      <c r="AQ75" s="297">
        <f t="shared" si="9"/>
        <v>0</v>
      </c>
      <c r="AR75" s="297">
        <f t="shared" si="9"/>
        <v>0</v>
      </c>
      <c r="AS75" s="297">
        <f t="shared" si="9"/>
        <v>0</v>
      </c>
      <c r="AT75" s="297">
        <f t="shared" si="9"/>
        <v>0</v>
      </c>
      <c r="AU75" s="297">
        <f t="shared" si="9"/>
        <v>0</v>
      </c>
      <c r="AV75" s="297">
        <f t="shared" si="9"/>
        <v>396950.64</v>
      </c>
      <c r="AW75" s="307" t="s">
        <v>221</v>
      </c>
      <c r="AX75" s="307" t="s">
        <v>221</v>
      </c>
      <c r="AY75" s="307" t="s">
        <v>221</v>
      </c>
      <c r="AZ75" s="307" t="s">
        <v>221</v>
      </c>
      <c r="BA75" s="307" t="s">
        <v>221</v>
      </c>
      <c r="BB75" s="307" t="s">
        <v>221</v>
      </c>
      <c r="BC75" s="307" t="s">
        <v>221</v>
      </c>
      <c r="BD75" s="307" t="s">
        <v>221</v>
      </c>
      <c r="BE75" s="307" t="s">
        <v>221</v>
      </c>
      <c r="BF75" s="307" t="s">
        <v>221</v>
      </c>
      <c r="BG75" s="307" t="s">
        <v>221</v>
      </c>
      <c r="BH75" s="307" t="s">
        <v>221</v>
      </c>
      <c r="BI75" s="307" t="s">
        <v>221</v>
      </c>
      <c r="BJ75" s="307" t="s">
        <v>221</v>
      </c>
      <c r="BK75" s="307" t="s">
        <v>221</v>
      </c>
      <c r="BL75" s="307" t="s">
        <v>221</v>
      </c>
      <c r="BM75" s="307" t="s">
        <v>221</v>
      </c>
      <c r="BN75" s="307" t="s">
        <v>221</v>
      </c>
      <c r="BO75" s="307" t="s">
        <v>221</v>
      </c>
      <c r="BP75" s="307" t="s">
        <v>221</v>
      </c>
      <c r="BQ75" s="307" t="s">
        <v>221</v>
      </c>
      <c r="BR75" s="307" t="s">
        <v>221</v>
      </c>
      <c r="BS75" s="307" t="s">
        <v>221</v>
      </c>
      <c r="BT75" s="307" t="s">
        <v>221</v>
      </c>
      <c r="BU75" s="307" t="s">
        <v>221</v>
      </c>
      <c r="BV75" s="307" t="s">
        <v>221</v>
      </c>
      <c r="BW75" s="307" t="s">
        <v>221</v>
      </c>
      <c r="BX75" s="307" t="s">
        <v>221</v>
      </c>
      <c r="BY75" s="307" t="s">
        <v>221</v>
      </c>
      <c r="BZ75" s="307" t="s">
        <v>221</v>
      </c>
      <c r="CA75" s="307" t="s">
        <v>221</v>
      </c>
      <c r="CB75" s="307" t="s">
        <v>221</v>
      </c>
      <c r="CC75" s="307" t="s">
        <v>221</v>
      </c>
      <c r="CD75" s="307" t="s">
        <v>221</v>
      </c>
      <c r="CE75" s="297">
        <f t="shared" si="8"/>
        <v>250522862.57999998</v>
      </c>
      <c r="CF75" s="2"/>
    </row>
    <row r="76" spans="1:84" ht="12.65" customHeight="1" x14ac:dyDescent="0.3">
      <c r="A76" s="304" t="s">
        <v>248</v>
      </c>
      <c r="B76" s="297"/>
      <c r="C76" s="302">
        <v>6518.13</v>
      </c>
      <c r="D76" s="302"/>
      <c r="E76" s="302">
        <v>19253.77</v>
      </c>
      <c r="F76" s="185"/>
      <c r="G76" s="302"/>
      <c r="H76" s="302"/>
      <c r="I76" s="185"/>
      <c r="J76" s="185">
        <v>482.03</v>
      </c>
      <c r="K76" s="185"/>
      <c r="L76" s="185"/>
      <c r="M76" s="185"/>
      <c r="N76" s="185"/>
      <c r="O76" s="185">
        <v>974.9</v>
      </c>
      <c r="P76" s="185">
        <v>6565.4999999999991</v>
      </c>
      <c r="Q76" s="185">
        <v>7247.26</v>
      </c>
      <c r="R76" s="185">
        <v>311.61</v>
      </c>
      <c r="S76" s="185">
        <v>2970.4</v>
      </c>
      <c r="T76" s="185"/>
      <c r="U76" s="185">
        <v>4392.96</v>
      </c>
      <c r="V76" s="185"/>
      <c r="W76" s="185">
        <v>2137.4699999999998</v>
      </c>
      <c r="X76" s="185">
        <v>791.67</v>
      </c>
      <c r="Y76" s="185">
        <v>6992.17</v>
      </c>
      <c r="Z76" s="185"/>
      <c r="AA76" s="185">
        <v>690.16</v>
      </c>
      <c r="AB76" s="185">
        <v>1922.3700000000001</v>
      </c>
      <c r="AC76" s="185">
        <v>805.5</v>
      </c>
      <c r="AD76" s="185"/>
      <c r="AE76" s="185">
        <v>3886.53</v>
      </c>
      <c r="AF76" s="185"/>
      <c r="AG76" s="185">
        <v>9543.0499999999993</v>
      </c>
      <c r="AH76" s="185"/>
      <c r="AI76" s="185"/>
      <c r="AJ76" s="185"/>
      <c r="AK76" s="185"/>
      <c r="AL76" s="185"/>
      <c r="AM76" s="185"/>
      <c r="AN76" s="185"/>
      <c r="AO76" s="185"/>
      <c r="AP76" s="185">
        <v>78245.09</v>
      </c>
      <c r="AQ76" s="185"/>
      <c r="AR76" s="185"/>
      <c r="AS76" s="185"/>
      <c r="AT76" s="185"/>
      <c r="AU76" s="185"/>
      <c r="AV76" s="185">
        <v>267.94</v>
      </c>
      <c r="AW76" s="185"/>
      <c r="AX76" s="185"/>
      <c r="AY76" s="185">
        <v>5039.92</v>
      </c>
      <c r="AZ76" s="185"/>
      <c r="BA76" s="185">
        <v>1460.81</v>
      </c>
      <c r="BB76" s="185"/>
      <c r="BC76" s="185"/>
      <c r="BD76" s="185">
        <v>3402.32</v>
      </c>
      <c r="BE76" s="185">
        <v>28164.5</v>
      </c>
      <c r="BF76" s="185">
        <v>2295</v>
      </c>
      <c r="BG76" s="185"/>
      <c r="BH76" s="185">
        <v>3253.2200000000003</v>
      </c>
      <c r="BI76" s="185"/>
      <c r="BJ76" s="185">
        <v>1981.5</v>
      </c>
      <c r="BK76" s="185">
        <v>2734.5</v>
      </c>
      <c r="BL76" s="185">
        <v>1921.97</v>
      </c>
      <c r="BM76" s="185"/>
      <c r="BN76" s="185">
        <v>5382.5</v>
      </c>
      <c r="BO76" s="185">
        <v>279.27</v>
      </c>
      <c r="BP76" s="185">
        <v>2848.15</v>
      </c>
      <c r="BQ76" s="185"/>
      <c r="BR76" s="185">
        <v>2129.09</v>
      </c>
      <c r="BS76" s="185"/>
      <c r="BT76" s="185"/>
      <c r="BU76" s="185"/>
      <c r="BV76" s="185">
        <v>4545.67</v>
      </c>
      <c r="BW76" s="185">
        <v>1021.84</v>
      </c>
      <c r="BX76" s="185"/>
      <c r="BY76" s="185">
        <v>1730.5900000000001</v>
      </c>
      <c r="BZ76" s="185"/>
      <c r="CA76" s="185">
        <v>1046</v>
      </c>
      <c r="CB76" s="185"/>
      <c r="CC76" s="185">
        <v>18251.54</v>
      </c>
      <c r="CD76" s="307" t="s">
        <v>221</v>
      </c>
      <c r="CE76" s="297">
        <f t="shared" si="8"/>
        <v>241486.90000000002</v>
      </c>
      <c r="CF76" s="297">
        <f>BE59-CE76</f>
        <v>0</v>
      </c>
    </row>
    <row r="77" spans="1:84" ht="12.65" customHeight="1" x14ac:dyDescent="0.3">
      <c r="A77" s="304" t="s">
        <v>249</v>
      </c>
      <c r="B77" s="297"/>
      <c r="C77" s="302">
        <v>5274.7933081607771</v>
      </c>
      <c r="D77" s="302"/>
      <c r="E77" s="302">
        <v>23275.025472259433</v>
      </c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>
        <v>241.76135995736897</v>
      </c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>
        <v>809.53425076634153</v>
      </c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7" t="s">
        <v>221</v>
      </c>
      <c r="AY77" s="307" t="s">
        <v>221</v>
      </c>
      <c r="AZ77" s="302"/>
      <c r="BA77" s="302"/>
      <c r="BB77" s="302"/>
      <c r="BC77" s="302"/>
      <c r="BD77" s="307" t="s">
        <v>221</v>
      </c>
      <c r="BE77" s="307" t="s">
        <v>221</v>
      </c>
      <c r="BF77" s="302"/>
      <c r="BG77" s="307" t="s">
        <v>221</v>
      </c>
      <c r="BH77" s="302"/>
      <c r="BI77" s="302"/>
      <c r="BJ77" s="307" t="s">
        <v>221</v>
      </c>
      <c r="BK77" s="302"/>
      <c r="BL77" s="302"/>
      <c r="BM77" s="302"/>
      <c r="BN77" s="307" t="s">
        <v>221</v>
      </c>
      <c r="BO77" s="307" t="s">
        <v>221</v>
      </c>
      <c r="BP77" s="307" t="s">
        <v>221</v>
      </c>
      <c r="BQ77" s="307" t="s">
        <v>221</v>
      </c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7" t="s">
        <v>221</v>
      </c>
      <c r="CD77" s="307" t="s">
        <v>221</v>
      </c>
      <c r="CE77" s="297">
        <f>SUM(C77:CD77)</f>
        <v>29601.114391143921</v>
      </c>
      <c r="CF77" s="297">
        <f>AY59-CE77</f>
        <v>0</v>
      </c>
    </row>
    <row r="78" spans="1:84" ht="12.65" customHeight="1" x14ac:dyDescent="0.3">
      <c r="A78" s="304" t="s">
        <v>250</v>
      </c>
      <c r="B78" s="297"/>
      <c r="C78" s="302">
        <v>6518.13</v>
      </c>
      <c r="D78" s="302"/>
      <c r="E78" s="302">
        <v>19253.77</v>
      </c>
      <c r="F78" s="302"/>
      <c r="G78" s="302"/>
      <c r="H78" s="302"/>
      <c r="I78" s="302"/>
      <c r="J78" s="302">
        <v>482.03</v>
      </c>
      <c r="K78" s="302"/>
      <c r="L78" s="302"/>
      <c r="M78" s="302"/>
      <c r="N78" s="302"/>
      <c r="O78" s="302">
        <v>974.9</v>
      </c>
      <c r="P78" s="302">
        <v>6565.4999999999991</v>
      </c>
      <c r="Q78" s="302">
        <v>7247.26</v>
      </c>
      <c r="R78" s="302">
        <v>311.61</v>
      </c>
      <c r="S78" s="302">
        <v>2970.4</v>
      </c>
      <c r="T78" s="302"/>
      <c r="U78" s="302">
        <v>4392.96</v>
      </c>
      <c r="V78" s="302"/>
      <c r="W78" s="302">
        <v>2137.4699999999998</v>
      </c>
      <c r="X78" s="302">
        <v>791.67</v>
      </c>
      <c r="Y78" s="302">
        <v>6992.17</v>
      </c>
      <c r="Z78" s="302"/>
      <c r="AA78" s="302">
        <v>690.16</v>
      </c>
      <c r="AB78" s="302">
        <v>1922.3700000000001</v>
      </c>
      <c r="AC78" s="302">
        <v>805.5</v>
      </c>
      <c r="AD78" s="302"/>
      <c r="AE78" s="302">
        <v>3886.53</v>
      </c>
      <c r="AF78" s="302"/>
      <c r="AG78" s="302">
        <v>9543.0499999999993</v>
      </c>
      <c r="AH78" s="302"/>
      <c r="AI78" s="302"/>
      <c r="AJ78" s="302"/>
      <c r="AK78" s="302"/>
      <c r="AL78" s="302"/>
      <c r="AM78" s="302"/>
      <c r="AN78" s="302"/>
      <c r="AO78" s="302"/>
      <c r="AP78" s="302">
        <v>78245.09</v>
      </c>
      <c r="AQ78" s="302"/>
      <c r="AR78" s="302"/>
      <c r="AS78" s="302"/>
      <c r="AT78" s="302"/>
      <c r="AU78" s="302"/>
      <c r="AV78" s="302">
        <v>267.94</v>
      </c>
      <c r="AW78" s="302"/>
      <c r="AX78" s="307" t="s">
        <v>221</v>
      </c>
      <c r="AY78" s="307" t="s">
        <v>221</v>
      </c>
      <c r="AZ78" s="307" t="s">
        <v>221</v>
      </c>
      <c r="BA78" s="302">
        <v>1460.81</v>
      </c>
      <c r="BB78" s="302"/>
      <c r="BC78" s="302"/>
      <c r="BD78" s="307" t="s">
        <v>221</v>
      </c>
      <c r="BE78" s="307" t="s">
        <v>221</v>
      </c>
      <c r="BF78" s="307" t="s">
        <v>221</v>
      </c>
      <c r="BG78" s="307" t="s">
        <v>221</v>
      </c>
      <c r="BH78" s="302">
        <v>3253.2200000000003</v>
      </c>
      <c r="BI78" s="302"/>
      <c r="BJ78" s="307" t="s">
        <v>221</v>
      </c>
      <c r="BK78" s="302">
        <v>2734.5</v>
      </c>
      <c r="BL78" s="302">
        <v>1921.97</v>
      </c>
      <c r="BM78" s="302"/>
      <c r="BN78" s="307" t="s">
        <v>221</v>
      </c>
      <c r="BO78" s="307" t="s">
        <v>221</v>
      </c>
      <c r="BP78" s="307" t="s">
        <v>221</v>
      </c>
      <c r="BQ78" s="307" t="s">
        <v>221</v>
      </c>
      <c r="BR78" s="307" t="s">
        <v>221</v>
      </c>
      <c r="BS78" s="302"/>
      <c r="BT78" s="302"/>
      <c r="BU78" s="302"/>
      <c r="BV78" s="302">
        <v>4545.67</v>
      </c>
      <c r="BW78" s="302">
        <v>1021.84</v>
      </c>
      <c r="BX78" s="302"/>
      <c r="BY78" s="302">
        <v>1730.5900000000001</v>
      </c>
      <c r="BZ78" s="302"/>
      <c r="CA78" s="302">
        <v>1046</v>
      </c>
      <c r="CB78" s="302"/>
      <c r="CC78" s="307" t="s">
        <v>221</v>
      </c>
      <c r="CD78" s="307" t="s">
        <v>221</v>
      </c>
      <c r="CE78" s="297">
        <f t="shared" si="8"/>
        <v>171713.11000000002</v>
      </c>
      <c r="CF78" s="297"/>
    </row>
    <row r="79" spans="1:84" ht="12.65" customHeight="1" x14ac:dyDescent="0.3">
      <c r="A79" s="304" t="s">
        <v>251</v>
      </c>
      <c r="B79" s="297"/>
      <c r="C79" s="225">
        <v>29381</v>
      </c>
      <c r="D79" s="225"/>
      <c r="E79" s="225">
        <v>55939</v>
      </c>
      <c r="F79" s="302"/>
      <c r="G79" s="302"/>
      <c r="H79" s="302"/>
      <c r="I79" s="302"/>
      <c r="J79" s="302"/>
      <c r="K79" s="302"/>
      <c r="L79" s="302"/>
      <c r="M79" s="302"/>
      <c r="N79" s="302"/>
      <c r="O79" s="302">
        <v>32618</v>
      </c>
      <c r="P79" s="302">
        <v>35095</v>
      </c>
      <c r="Q79" s="302">
        <v>21196</v>
      </c>
      <c r="R79" s="302"/>
      <c r="S79" s="302"/>
      <c r="T79" s="302"/>
      <c r="U79" s="302">
        <v>838</v>
      </c>
      <c r="V79" s="302"/>
      <c r="W79" s="302"/>
      <c r="X79" s="302"/>
      <c r="Y79" s="302">
        <v>24102</v>
      </c>
      <c r="Z79" s="302"/>
      <c r="AA79" s="302"/>
      <c r="AB79" s="302"/>
      <c r="AC79" s="302"/>
      <c r="AD79" s="302"/>
      <c r="AE79" s="302">
        <v>7984</v>
      </c>
      <c r="AF79" s="302"/>
      <c r="AG79" s="302">
        <v>62763</v>
      </c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7" t="s">
        <v>221</v>
      </c>
      <c r="AY79" s="307" t="s">
        <v>221</v>
      </c>
      <c r="AZ79" s="307" t="s">
        <v>221</v>
      </c>
      <c r="BA79" s="307" t="s">
        <v>221</v>
      </c>
      <c r="BB79" s="302"/>
      <c r="BC79" s="302"/>
      <c r="BD79" s="307" t="s">
        <v>221</v>
      </c>
      <c r="BE79" s="307" t="s">
        <v>221</v>
      </c>
      <c r="BF79" s="307" t="s">
        <v>221</v>
      </c>
      <c r="BG79" s="307" t="s">
        <v>221</v>
      </c>
      <c r="BH79" s="302"/>
      <c r="BI79" s="302"/>
      <c r="BJ79" s="307" t="s">
        <v>221</v>
      </c>
      <c r="BK79" s="302"/>
      <c r="BL79" s="302"/>
      <c r="BM79" s="302"/>
      <c r="BN79" s="307" t="s">
        <v>221</v>
      </c>
      <c r="BO79" s="307" t="s">
        <v>221</v>
      </c>
      <c r="BP79" s="307" t="s">
        <v>221</v>
      </c>
      <c r="BQ79" s="307" t="s">
        <v>221</v>
      </c>
      <c r="BR79" s="307" t="s">
        <v>221</v>
      </c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7" t="s">
        <v>221</v>
      </c>
      <c r="CD79" s="307" t="s">
        <v>221</v>
      </c>
      <c r="CE79" s="297">
        <f t="shared" si="8"/>
        <v>269916</v>
      </c>
      <c r="CF79" s="297">
        <f>BA59</f>
        <v>0</v>
      </c>
    </row>
    <row r="80" spans="1:84" ht="12.65" customHeight="1" x14ac:dyDescent="0.3">
      <c r="A80" s="304" t="s">
        <v>252</v>
      </c>
      <c r="B80" s="297"/>
      <c r="C80" s="187">
        <v>19.198172940613027</v>
      </c>
      <c r="D80" s="187"/>
      <c r="E80" s="187">
        <v>48.592014240900383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14.311772786159004</v>
      </c>
      <c r="Q80" s="187">
        <v>11.304742341954023</v>
      </c>
      <c r="R80" s="187">
        <v>4.5765842911877392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31.05704330579502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7" t="s">
        <v>221</v>
      </c>
      <c r="AX80" s="307" t="s">
        <v>221</v>
      </c>
      <c r="AY80" s="307" t="s">
        <v>221</v>
      </c>
      <c r="AZ80" s="307" t="s">
        <v>221</v>
      </c>
      <c r="BA80" s="307" t="s">
        <v>221</v>
      </c>
      <c r="BB80" s="307" t="s">
        <v>221</v>
      </c>
      <c r="BC80" s="307" t="s">
        <v>221</v>
      </c>
      <c r="BD80" s="307" t="s">
        <v>221</v>
      </c>
      <c r="BE80" s="307" t="s">
        <v>221</v>
      </c>
      <c r="BF80" s="307" t="s">
        <v>221</v>
      </c>
      <c r="BG80" s="307" t="s">
        <v>221</v>
      </c>
      <c r="BH80" s="307" t="s">
        <v>221</v>
      </c>
      <c r="BI80" s="307" t="s">
        <v>221</v>
      </c>
      <c r="BJ80" s="307" t="s">
        <v>221</v>
      </c>
      <c r="BK80" s="307" t="s">
        <v>221</v>
      </c>
      <c r="BL80" s="307" t="s">
        <v>221</v>
      </c>
      <c r="BM80" s="307" t="s">
        <v>221</v>
      </c>
      <c r="BN80" s="307" t="s">
        <v>221</v>
      </c>
      <c r="BO80" s="307" t="s">
        <v>221</v>
      </c>
      <c r="BP80" s="307" t="s">
        <v>221</v>
      </c>
      <c r="BQ80" s="307" t="s">
        <v>221</v>
      </c>
      <c r="BR80" s="307" t="s">
        <v>221</v>
      </c>
      <c r="BS80" s="307" t="s">
        <v>221</v>
      </c>
      <c r="BT80" s="307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7" t="s">
        <v>221</v>
      </c>
      <c r="CD80" s="307" t="s">
        <v>221</v>
      </c>
      <c r="CE80" s="312">
        <f t="shared" si="8"/>
        <v>129.0403299066092</v>
      </c>
      <c r="CF80" s="312"/>
    </row>
    <row r="81" spans="1:84" ht="21" customHeight="1" x14ac:dyDescent="0.3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4" t="s">
        <v>254</v>
      </c>
      <c r="B82" s="314"/>
      <c r="C82" s="315" t="s">
        <v>1267</v>
      </c>
      <c r="D82" s="316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7" t="s">
        <v>255</v>
      </c>
      <c r="B83" s="314" t="s">
        <v>256</v>
      </c>
      <c r="C83" s="317" t="s">
        <v>1268</v>
      </c>
      <c r="D83" s="316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7" t="s">
        <v>257</v>
      </c>
      <c r="B84" s="314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7" t="s">
        <v>1250</v>
      </c>
      <c r="B85" s="314"/>
      <c r="C85" s="272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7" t="s">
        <v>1251</v>
      </c>
      <c r="B86" s="314" t="s">
        <v>256</v>
      </c>
      <c r="C86" s="231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7" t="s">
        <v>258</v>
      </c>
      <c r="B87" s="314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7" t="s">
        <v>259</v>
      </c>
      <c r="B88" s="314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7" t="s">
        <v>260</v>
      </c>
      <c r="B89" s="314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7" t="s">
        <v>261</v>
      </c>
      <c r="B90" s="314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7" t="s">
        <v>262</v>
      </c>
      <c r="B91" s="314" t="s">
        <v>256</v>
      </c>
      <c r="C91" s="230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7" t="s">
        <v>263</v>
      </c>
      <c r="B92" s="314" t="s">
        <v>256</v>
      </c>
      <c r="C92" s="226" t="s">
        <v>1277</v>
      </c>
      <c r="D92" s="316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7" t="s">
        <v>264</v>
      </c>
      <c r="B93" s="314" t="s">
        <v>256</v>
      </c>
      <c r="C93" s="318" t="s">
        <v>1278</v>
      </c>
      <c r="D93" s="316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9" t="s">
        <v>266</v>
      </c>
      <c r="B96" s="319"/>
      <c r="C96" s="319"/>
      <c r="D96" s="319"/>
      <c r="E96" s="3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7" t="s">
        <v>267</v>
      </c>
      <c r="B97" s="314" t="s">
        <v>256</v>
      </c>
      <c r="C97" s="189"/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7" t="s">
        <v>259</v>
      </c>
      <c r="B98" s="314" t="s">
        <v>256</v>
      </c>
      <c r="C98" s="189"/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7" t="s">
        <v>268</v>
      </c>
      <c r="B99" s="314" t="s">
        <v>256</v>
      </c>
      <c r="C99" s="189">
        <v>1</v>
      </c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9" t="s">
        <v>269</v>
      </c>
      <c r="B100" s="319"/>
      <c r="C100" s="319"/>
      <c r="D100" s="319"/>
      <c r="E100" s="3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7" t="s">
        <v>270</v>
      </c>
      <c r="B101" s="314" t="s">
        <v>256</v>
      </c>
      <c r="C101" s="189"/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7" t="s">
        <v>132</v>
      </c>
      <c r="B102" s="314" t="s">
        <v>256</v>
      </c>
      <c r="C102" s="222"/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9" t="s">
        <v>271</v>
      </c>
      <c r="B103" s="319"/>
      <c r="C103" s="319"/>
      <c r="D103" s="319"/>
      <c r="E103" s="3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7" t="s">
        <v>272</v>
      </c>
      <c r="B104" s="314" t="s">
        <v>256</v>
      </c>
      <c r="C104" s="189"/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7" t="s">
        <v>273</v>
      </c>
      <c r="B105" s="314" t="s">
        <v>256</v>
      </c>
      <c r="C105" s="189"/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7" t="s">
        <v>274</v>
      </c>
      <c r="B106" s="314" t="s">
        <v>256</v>
      </c>
      <c r="C106" s="189"/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7"/>
      <c r="B107" s="314"/>
      <c r="C107" s="320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1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7"/>
      <c r="B109" s="314"/>
      <c r="C109" s="320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7" t="s">
        <v>278</v>
      </c>
      <c r="B111" s="314" t="s">
        <v>256</v>
      </c>
      <c r="C111" s="189">
        <v>1343</v>
      </c>
      <c r="D111" s="174">
        <v>4445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7" t="s">
        <v>279</v>
      </c>
      <c r="B112" s="314" t="s">
        <v>256</v>
      </c>
      <c r="C112" s="189"/>
      <c r="D112" s="174"/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7" t="s">
        <v>280</v>
      </c>
      <c r="B113" s="314" t="s">
        <v>256</v>
      </c>
      <c r="C113" s="189"/>
      <c r="D113" s="174"/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7" t="s">
        <v>281</v>
      </c>
      <c r="B114" s="314" t="s">
        <v>256</v>
      </c>
      <c r="C114" s="189">
        <v>344</v>
      </c>
      <c r="D114" s="174">
        <v>683</v>
      </c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7" t="s">
        <v>283</v>
      </c>
      <c r="B116" s="314" t="s">
        <v>256</v>
      </c>
      <c r="C116" s="189">
        <v>7</v>
      </c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7" t="s">
        <v>284</v>
      </c>
      <c r="B117" s="314" t="s">
        <v>256</v>
      </c>
      <c r="C117" s="189"/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7" t="s">
        <v>1238</v>
      </c>
      <c r="B118" s="314" t="s">
        <v>256</v>
      </c>
      <c r="C118" s="189">
        <v>16</v>
      </c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7" t="s">
        <v>285</v>
      </c>
      <c r="B119" s="314" t="s">
        <v>256</v>
      </c>
      <c r="C119" s="189"/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7" t="s">
        <v>286</v>
      </c>
      <c r="B120" s="314" t="s">
        <v>256</v>
      </c>
      <c r="C120" s="189">
        <v>2</v>
      </c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7" t="s">
        <v>287</v>
      </c>
      <c r="B121" s="314" t="s">
        <v>256</v>
      </c>
      <c r="C121" s="189"/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7" t="s">
        <v>97</v>
      </c>
      <c r="B122" s="314" t="s">
        <v>256</v>
      </c>
      <c r="C122" s="189"/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7" t="s">
        <v>288</v>
      </c>
      <c r="B123" s="314" t="s">
        <v>256</v>
      </c>
      <c r="C123" s="189"/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7" t="s">
        <v>289</v>
      </c>
      <c r="B124" s="314"/>
      <c r="C124" s="189"/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7" t="s">
        <v>280</v>
      </c>
      <c r="B125" s="314" t="s">
        <v>256</v>
      </c>
      <c r="C125" s="189"/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7" t="s">
        <v>290</v>
      </c>
      <c r="B126" s="314" t="s">
        <v>256</v>
      </c>
      <c r="C126" s="189"/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7" t="s">
        <v>291</v>
      </c>
      <c r="B127" s="297"/>
      <c r="C127" s="305"/>
      <c r="D127" s="297"/>
      <c r="E127" s="297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7" t="s">
        <v>292</v>
      </c>
      <c r="B128" s="314" t="s">
        <v>256</v>
      </c>
      <c r="C128" s="189">
        <v>68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7" t="s">
        <v>293</v>
      </c>
      <c r="B129" s="314" t="s">
        <v>256</v>
      </c>
      <c r="C129" s="189">
        <v>6</v>
      </c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7" t="s">
        <v>294</v>
      </c>
      <c r="B131" s="314" t="s">
        <v>256</v>
      </c>
      <c r="C131" s="189"/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3" t="s">
        <v>1239</v>
      </c>
      <c r="B136" s="321"/>
      <c r="C136" s="321"/>
      <c r="D136" s="321"/>
      <c r="E136" s="32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2" t="s">
        <v>295</v>
      </c>
      <c r="B137" s="323" t="s">
        <v>296</v>
      </c>
      <c r="C137" s="324" t="s">
        <v>297</v>
      </c>
      <c r="D137" s="323" t="s">
        <v>132</v>
      </c>
      <c r="E137" s="323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7" t="s">
        <v>277</v>
      </c>
      <c r="B138" s="174">
        <v>709</v>
      </c>
      <c r="C138" s="189">
        <v>393</v>
      </c>
      <c r="D138" s="174">
        <v>241</v>
      </c>
      <c r="E138" s="297">
        <f>SUM(B138:D138)</f>
        <v>1343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7" t="s">
        <v>215</v>
      </c>
      <c r="B139" s="174">
        <v>2570</v>
      </c>
      <c r="C139" s="189">
        <v>1183</v>
      </c>
      <c r="D139" s="174">
        <v>692</v>
      </c>
      <c r="E139" s="297">
        <f>SUM(B139:D139)</f>
        <v>4445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7" t="s">
        <v>298</v>
      </c>
      <c r="B140" s="174">
        <v>67431</v>
      </c>
      <c r="C140" s="174">
        <v>52558</v>
      </c>
      <c r="D140" s="174">
        <v>55661</v>
      </c>
      <c r="E140" s="297">
        <f>SUM(B140:D140)</f>
        <v>175650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7" t="s">
        <v>245</v>
      </c>
      <c r="B141" s="174">
        <v>27979077.030000001</v>
      </c>
      <c r="C141" s="189">
        <v>16924989.489999998</v>
      </c>
      <c r="D141" s="174">
        <v>11937568.539999999</v>
      </c>
      <c r="E141" s="297">
        <f>SUM(B141:D141)</f>
        <v>56841635.059999995</v>
      </c>
      <c r="F141" s="32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7" t="s">
        <v>246</v>
      </c>
      <c r="B142" s="174">
        <v>80482364.540000707</v>
      </c>
      <c r="C142" s="189">
        <v>57030280.269999199</v>
      </c>
      <c r="D142" s="174">
        <v>56168582.710000098</v>
      </c>
      <c r="E142" s="297">
        <f>SUM(B142:D142)</f>
        <v>193681227.52000001</v>
      </c>
      <c r="F142" s="32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2" t="s">
        <v>299</v>
      </c>
      <c r="B143" s="323" t="s">
        <v>296</v>
      </c>
      <c r="C143" s="324" t="s">
        <v>297</v>
      </c>
      <c r="D143" s="323" t="s">
        <v>132</v>
      </c>
      <c r="E143" s="323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7" t="s">
        <v>277</v>
      </c>
      <c r="B144" s="174"/>
      <c r="C144" s="189"/>
      <c r="D144" s="174"/>
      <c r="E144" s="297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7" t="s">
        <v>215</v>
      </c>
      <c r="B145" s="174"/>
      <c r="C145" s="189"/>
      <c r="D145" s="174"/>
      <c r="E145" s="297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7" t="s">
        <v>298</v>
      </c>
      <c r="B146" s="174"/>
      <c r="C146" s="189"/>
      <c r="D146" s="174"/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7" t="s">
        <v>245</v>
      </c>
      <c r="B147" s="174"/>
      <c r="C147" s="189"/>
      <c r="D147" s="174"/>
      <c r="E147" s="297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7" t="s">
        <v>246</v>
      </c>
      <c r="B148" s="174"/>
      <c r="C148" s="189"/>
      <c r="D148" s="174"/>
      <c r="E148" s="297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2" t="s">
        <v>300</v>
      </c>
      <c r="B149" s="323" t="s">
        <v>296</v>
      </c>
      <c r="C149" s="324" t="s">
        <v>297</v>
      </c>
      <c r="D149" s="323" t="s">
        <v>132</v>
      </c>
      <c r="E149" s="323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7" t="s">
        <v>277</v>
      </c>
      <c r="B150" s="174"/>
      <c r="C150" s="189"/>
      <c r="D150" s="174"/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7" t="s">
        <v>215</v>
      </c>
      <c r="B151" s="174"/>
      <c r="C151" s="189"/>
      <c r="D151" s="174"/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7" t="s">
        <v>298</v>
      </c>
      <c r="B152" s="174"/>
      <c r="C152" s="189"/>
      <c r="D152" s="174"/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7" t="s">
        <v>245</v>
      </c>
      <c r="B153" s="174"/>
      <c r="C153" s="189"/>
      <c r="D153" s="174"/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7" t="s">
        <v>246</v>
      </c>
      <c r="B154" s="174"/>
      <c r="C154" s="189"/>
      <c r="D154" s="174"/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3"/>
      <c r="B155" s="303"/>
      <c r="C155" s="326"/>
      <c r="D155" s="327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2" t="s">
        <v>301</v>
      </c>
      <c r="B156" s="323" t="s">
        <v>302</v>
      </c>
      <c r="C156" s="324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3" t="s">
        <v>304</v>
      </c>
      <c r="B157" s="174">
        <v>6274722</v>
      </c>
      <c r="C157" s="174">
        <v>2831255</v>
      </c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3"/>
      <c r="B158" s="327"/>
      <c r="C158" s="326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3"/>
      <c r="B159" s="303"/>
      <c r="C159" s="326"/>
      <c r="D159" s="327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3"/>
      <c r="B160" s="303"/>
      <c r="C160" s="326"/>
      <c r="D160" s="327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3"/>
      <c r="B161" s="303"/>
      <c r="C161" s="326"/>
      <c r="D161" s="327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3"/>
      <c r="B162" s="303"/>
      <c r="C162" s="326"/>
      <c r="D162" s="327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1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9" t="s">
        <v>306</v>
      </c>
      <c r="B164" s="319"/>
      <c r="C164" s="319"/>
      <c r="D164" s="319"/>
      <c r="E164" s="3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7" t="s">
        <v>307</v>
      </c>
      <c r="B165" s="314" t="s">
        <v>256</v>
      </c>
      <c r="C165" s="189">
        <v>3452100.5300000003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7" t="s">
        <v>308</v>
      </c>
      <c r="B166" s="314" t="s">
        <v>256</v>
      </c>
      <c r="C166" s="189">
        <v>88216.47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3" t="s">
        <v>309</v>
      </c>
      <c r="B167" s="314" t="s">
        <v>256</v>
      </c>
      <c r="C167" s="189">
        <v>159180.4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7" t="s">
        <v>310</v>
      </c>
      <c r="B168" s="314" t="s">
        <v>256</v>
      </c>
      <c r="C168" s="189">
        <v>10030182.629999999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7" t="s">
        <v>311</v>
      </c>
      <c r="B169" s="314" t="s">
        <v>256</v>
      </c>
      <c r="C169" s="189">
        <v>82541.149999999994</v>
      </c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7" t="s">
        <v>312</v>
      </c>
      <c r="B170" s="314" t="s">
        <v>256</v>
      </c>
      <c r="C170" s="189">
        <v>2641830.4200000004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7" t="s">
        <v>313</v>
      </c>
      <c r="B171" s="314" t="s">
        <v>256</v>
      </c>
      <c r="C171" s="189">
        <v>141483.82999999999</v>
      </c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7" t="s">
        <v>313</v>
      </c>
      <c r="B172" s="314" t="s">
        <v>256</v>
      </c>
      <c r="C172" s="189"/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7" t="s">
        <v>203</v>
      </c>
      <c r="B173" s="297"/>
      <c r="C173" s="305"/>
      <c r="D173" s="297">
        <f>SUM(C165:C172)</f>
        <v>16595535.43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9" t="s">
        <v>314</v>
      </c>
      <c r="B174" s="319"/>
      <c r="C174" s="319"/>
      <c r="D174" s="319"/>
      <c r="E174" s="3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7" t="s">
        <v>315</v>
      </c>
      <c r="B175" s="314" t="s">
        <v>256</v>
      </c>
      <c r="C175" s="189">
        <v>179553.81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7" t="s">
        <v>316</v>
      </c>
      <c r="B176" s="314" t="s">
        <v>256</v>
      </c>
      <c r="C176" s="189">
        <v>645899.32999999996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7" t="s">
        <v>203</v>
      </c>
      <c r="B177" s="297"/>
      <c r="C177" s="305"/>
      <c r="D177" s="297">
        <f>SUM(C175:C176)</f>
        <v>825453.1399999999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9" t="s">
        <v>317</v>
      </c>
      <c r="B178" s="319"/>
      <c r="C178" s="319"/>
      <c r="D178" s="319"/>
      <c r="E178" s="3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7" t="s">
        <v>318</v>
      </c>
      <c r="B179" s="314" t="s">
        <v>256</v>
      </c>
      <c r="C179" s="189">
        <v>369754.50999999995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7" t="s">
        <v>319</v>
      </c>
      <c r="B180" s="314" t="s">
        <v>256</v>
      </c>
      <c r="C180" s="189">
        <v>359373.39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7" t="s">
        <v>203</v>
      </c>
      <c r="B181" s="297"/>
      <c r="C181" s="305"/>
      <c r="D181" s="297">
        <f>SUM(C179:C180)</f>
        <v>729127.89999999991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9" t="s">
        <v>320</v>
      </c>
      <c r="B182" s="319"/>
      <c r="C182" s="319"/>
      <c r="D182" s="319"/>
      <c r="E182" s="3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7" t="s">
        <v>321</v>
      </c>
      <c r="B183" s="314" t="s">
        <v>256</v>
      </c>
      <c r="C183" s="189"/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7" t="s">
        <v>322</v>
      </c>
      <c r="B184" s="314" t="s">
        <v>256</v>
      </c>
      <c r="C184" s="189">
        <v>652818.02</v>
      </c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7" t="s">
        <v>132</v>
      </c>
      <c r="B185" s="314" t="s">
        <v>256</v>
      </c>
      <c r="C185" s="189"/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7" t="s">
        <v>203</v>
      </c>
      <c r="B186" s="297"/>
      <c r="C186" s="305"/>
      <c r="D186" s="297">
        <f>SUM(C183:C185)</f>
        <v>652818.02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9" t="s">
        <v>323</v>
      </c>
      <c r="B187" s="319"/>
      <c r="C187" s="319"/>
      <c r="D187" s="319"/>
      <c r="E187" s="3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7" t="s">
        <v>324</v>
      </c>
      <c r="B188" s="314" t="s">
        <v>256</v>
      </c>
      <c r="C188" s="189"/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7" t="s">
        <v>325</v>
      </c>
      <c r="B189" s="314" t="s">
        <v>256</v>
      </c>
      <c r="C189" s="189">
        <v>2988596.94</v>
      </c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7" t="s">
        <v>203</v>
      </c>
      <c r="B190" s="297"/>
      <c r="C190" s="305"/>
      <c r="D190" s="297">
        <f>SUM(C188:C189)</f>
        <v>2988596.94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1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7" t="s">
        <v>332</v>
      </c>
      <c r="B195" s="174">
        <v>2015497.22</v>
      </c>
      <c r="C195" s="189"/>
      <c r="D195" s="174"/>
      <c r="E195" s="297">
        <f t="shared" ref="E195:E203" si="10">SUM(B195:C195)-D195</f>
        <v>2015497.22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7" t="s">
        <v>333</v>
      </c>
      <c r="B196" s="174">
        <v>4737949.37</v>
      </c>
      <c r="C196" s="189">
        <v>6272250.3499999996</v>
      </c>
      <c r="D196" s="174"/>
      <c r="E196" s="297">
        <f t="shared" si="10"/>
        <v>11010199.719999999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7" t="s">
        <v>334</v>
      </c>
      <c r="B197" s="174">
        <v>36062078.149999999</v>
      </c>
      <c r="C197" s="189">
        <v>21272591.949999999</v>
      </c>
      <c r="D197" s="174"/>
      <c r="E197" s="297">
        <f t="shared" si="10"/>
        <v>57334670.099999994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7" t="s">
        <v>335</v>
      </c>
      <c r="B198" s="174">
        <v>21068463.989999998</v>
      </c>
      <c r="C198" s="189">
        <v>11287498.84</v>
      </c>
      <c r="D198" s="174">
        <v>159892.55000000002</v>
      </c>
      <c r="E198" s="297">
        <f t="shared" si="10"/>
        <v>32196070.279999997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7" t="s">
        <v>336</v>
      </c>
      <c r="B199" s="174"/>
      <c r="C199" s="189">
        <v>0</v>
      </c>
      <c r="D199" s="174"/>
      <c r="E199" s="297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7" t="s">
        <v>337</v>
      </c>
      <c r="B200" s="174">
        <v>35437083.920000002</v>
      </c>
      <c r="C200" s="189">
        <v>5142586.2700000005</v>
      </c>
      <c r="D200" s="174">
        <v>1508497.87</v>
      </c>
      <c r="E200" s="297">
        <f t="shared" si="10"/>
        <v>39071172.320000008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7" t="s">
        <v>338</v>
      </c>
      <c r="B201" s="174"/>
      <c r="C201" s="189"/>
      <c r="D201" s="174"/>
      <c r="E201" s="297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7" t="s">
        <v>339</v>
      </c>
      <c r="B202" s="174">
        <v>1163193.04</v>
      </c>
      <c r="C202" s="189"/>
      <c r="D202" s="174"/>
      <c r="E202" s="297">
        <f t="shared" si="10"/>
        <v>1163193.04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7" t="s">
        <v>340</v>
      </c>
      <c r="B203" s="174">
        <v>36681869.18</v>
      </c>
      <c r="C203" s="189">
        <v>7818470.79</v>
      </c>
      <c r="D203" s="174">
        <v>42961404</v>
      </c>
      <c r="E203" s="297">
        <f t="shared" si="10"/>
        <v>1538935.9699999988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7" t="s">
        <v>203</v>
      </c>
      <c r="B204" s="297">
        <f>SUM(B195:B203)</f>
        <v>137166134.87</v>
      </c>
      <c r="C204" s="305">
        <f>SUM(C195:C203)</f>
        <v>51793398.200000003</v>
      </c>
      <c r="D204" s="297">
        <f>SUM(D195:D203)</f>
        <v>44629794.420000002</v>
      </c>
      <c r="E204" s="297">
        <f>SUM(E195:E203)</f>
        <v>144329738.64999998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1" t="s">
        <v>341</v>
      </c>
      <c r="B206" s="321"/>
      <c r="C206" s="321"/>
      <c r="D206" s="321"/>
      <c r="E206" s="32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7" t="s">
        <v>332</v>
      </c>
      <c r="B208" s="327"/>
      <c r="C208" s="326"/>
      <c r="D208" s="327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7" t="s">
        <v>333</v>
      </c>
      <c r="B209" s="174">
        <v>1967167.58</v>
      </c>
      <c r="C209" s="189">
        <v>754374.89</v>
      </c>
      <c r="D209" s="174">
        <v>0</v>
      </c>
      <c r="E209" s="297">
        <f t="shared" ref="E209:E216" si="11">SUM(B209:C209)-D209</f>
        <v>2721542.47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7" t="s">
        <v>334</v>
      </c>
      <c r="B210" s="174">
        <v>18856627.100000001</v>
      </c>
      <c r="C210" s="189">
        <v>2423012.1</v>
      </c>
      <c r="D210" s="174"/>
      <c r="E210" s="297">
        <f t="shared" si="11"/>
        <v>21279639.200000003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7" t="s">
        <v>335</v>
      </c>
      <c r="B211" s="174">
        <v>10723632.109999999</v>
      </c>
      <c r="C211" s="189">
        <v>1740033.21</v>
      </c>
      <c r="D211" s="174">
        <v>159892.54999999999</v>
      </c>
      <c r="E211" s="297">
        <f t="shared" si="11"/>
        <v>12303772.77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7" t="s">
        <v>336</v>
      </c>
      <c r="B212" s="174">
        <v>0</v>
      </c>
      <c r="C212" s="189">
        <v>0</v>
      </c>
      <c r="D212" s="174">
        <v>0</v>
      </c>
      <c r="E212" s="297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7" t="s">
        <v>337</v>
      </c>
      <c r="B213" s="174">
        <v>29111230.609999999</v>
      </c>
      <c r="C213" s="189">
        <v>2559725.09</v>
      </c>
      <c r="D213" s="174">
        <v>1508497.87</v>
      </c>
      <c r="E213" s="297">
        <f t="shared" si="11"/>
        <v>30162457.829999998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7" t="s">
        <v>338</v>
      </c>
      <c r="B214" s="174">
        <v>0</v>
      </c>
      <c r="C214" s="189"/>
      <c r="D214" s="174">
        <v>0</v>
      </c>
      <c r="E214" s="297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7" t="s">
        <v>339</v>
      </c>
      <c r="B215" s="174">
        <v>299754.5</v>
      </c>
      <c r="C215" s="189">
        <v>173346.74</v>
      </c>
      <c r="D215" s="174"/>
      <c r="E215" s="297">
        <f t="shared" si="11"/>
        <v>473101.24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7" t="s">
        <v>340</v>
      </c>
      <c r="B216" s="174"/>
      <c r="C216" s="189"/>
      <c r="D216" s="174"/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7" t="s">
        <v>203</v>
      </c>
      <c r="B217" s="297">
        <f>SUM(B208:B216)</f>
        <v>60958411.899999999</v>
      </c>
      <c r="C217" s="305">
        <f>SUM(C208:C216)</f>
        <v>7650492.0300000003</v>
      </c>
      <c r="D217" s="297">
        <f>SUM(D208:D216)</f>
        <v>1668390.4200000002</v>
      </c>
      <c r="E217" s="297">
        <f>SUM(E208:E216)</f>
        <v>66940513.509999998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3"/>
      <c r="B220" s="348" t="s">
        <v>1254</v>
      </c>
      <c r="C220" s="348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8" t="s">
        <v>1254</v>
      </c>
      <c r="B221" s="313"/>
      <c r="C221" s="189">
        <v>3535410.6199999996</v>
      </c>
      <c r="D221" s="314">
        <f>C221</f>
        <v>3535410.6199999996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9" t="s">
        <v>343</v>
      </c>
      <c r="B222" s="319"/>
      <c r="C222" s="319"/>
      <c r="D222" s="319"/>
      <c r="E222" s="3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7" t="s">
        <v>344</v>
      </c>
      <c r="B223" s="314" t="s">
        <v>256</v>
      </c>
      <c r="C223" s="189">
        <v>63892043.470000006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7" t="s">
        <v>345</v>
      </c>
      <c r="B224" s="314" t="s">
        <v>256</v>
      </c>
      <c r="C224" s="189">
        <v>45061928.259999998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7" t="s">
        <v>346</v>
      </c>
      <c r="B225" s="314" t="s">
        <v>256</v>
      </c>
      <c r="C225" s="189">
        <v>1273970.1499999999</v>
      </c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7" t="s">
        <v>347</v>
      </c>
      <c r="B226" s="314" t="s">
        <v>256</v>
      </c>
      <c r="C226" s="189"/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7" t="s">
        <v>348</v>
      </c>
      <c r="B227" s="314" t="s">
        <v>256</v>
      </c>
      <c r="C227" s="189">
        <v>25898331.359999999</v>
      </c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7" t="s">
        <v>349</v>
      </c>
      <c r="B228" s="314" t="s">
        <v>256</v>
      </c>
      <c r="C228" s="189"/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7" t="s">
        <v>350</v>
      </c>
      <c r="B229" s="297"/>
      <c r="C229" s="305"/>
      <c r="D229" s="297">
        <f>SUM(C223:C228)</f>
        <v>136126273.24000001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9" t="s">
        <v>351</v>
      </c>
      <c r="B230" s="319"/>
      <c r="C230" s="319"/>
      <c r="D230" s="319"/>
      <c r="E230" s="3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4" t="s">
        <v>352</v>
      </c>
      <c r="B231" s="314" t="s">
        <v>256</v>
      </c>
      <c r="C231" s="189">
        <v>2138</v>
      </c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4"/>
      <c r="B232" s="314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4" t="s">
        <v>353</v>
      </c>
      <c r="B233" s="314" t="s">
        <v>256</v>
      </c>
      <c r="C233" s="189">
        <v>475318.6</v>
      </c>
      <c r="D233" s="297"/>
      <c r="E233" s="29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4" t="s">
        <v>354</v>
      </c>
      <c r="B234" s="314" t="s">
        <v>256</v>
      </c>
      <c r="C234" s="189">
        <v>3903193.43</v>
      </c>
      <c r="D234" s="297"/>
      <c r="E234" s="29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4" t="s">
        <v>355</v>
      </c>
      <c r="B236" s="297"/>
      <c r="C236" s="305"/>
      <c r="D236" s="297">
        <f>SUM(C233:C235)</f>
        <v>4378512.03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9" t="s">
        <v>356</v>
      </c>
      <c r="B237" s="319"/>
      <c r="C237" s="319"/>
      <c r="D237" s="319"/>
      <c r="E237" s="3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7" t="s">
        <v>357</v>
      </c>
      <c r="B238" s="314" t="s">
        <v>256</v>
      </c>
      <c r="C238" s="189">
        <v>2894364.22</v>
      </c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7" t="s">
        <v>356</v>
      </c>
      <c r="B239" s="314" t="s">
        <v>256</v>
      </c>
      <c r="C239" s="189"/>
      <c r="D239" s="297"/>
      <c r="E239" s="29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7" t="s">
        <v>358</v>
      </c>
      <c r="B240" s="297"/>
      <c r="C240" s="305"/>
      <c r="D240" s="297">
        <f>SUM(C238:C239)</f>
        <v>2894364.22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7" t="s">
        <v>359</v>
      </c>
      <c r="B242" s="297"/>
      <c r="C242" s="305"/>
      <c r="D242" s="297">
        <f>D221+D229+D236+D240</f>
        <v>146934560.11000001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9" t="s">
        <v>361</v>
      </c>
      <c r="B249" s="319"/>
      <c r="C249" s="319"/>
      <c r="D249" s="319"/>
      <c r="E249" s="3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7" t="s">
        <v>362</v>
      </c>
      <c r="B250" s="314" t="s">
        <v>256</v>
      </c>
      <c r="C250" s="189">
        <v>83548575.960000008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7" t="s">
        <v>363</v>
      </c>
      <c r="B251" s="314" t="s">
        <v>256</v>
      </c>
      <c r="C251" s="189"/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7" t="s">
        <v>364</v>
      </c>
      <c r="B252" s="314" t="s">
        <v>256</v>
      </c>
      <c r="C252" s="189">
        <v>31545218.649999999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7" t="s">
        <v>365</v>
      </c>
      <c r="B253" s="314" t="s">
        <v>256</v>
      </c>
      <c r="C253" s="189">
        <v>19712941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7" t="s">
        <v>1240</v>
      </c>
      <c r="B254" s="314" t="s">
        <v>256</v>
      </c>
      <c r="C254" s="189" t="s">
        <v>1279</v>
      </c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7" t="s">
        <v>366</v>
      </c>
      <c r="B255" s="314" t="s">
        <v>256</v>
      </c>
      <c r="C255" s="189">
        <v>386893.11</v>
      </c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7" t="s">
        <v>367</v>
      </c>
      <c r="B256" s="314" t="s">
        <v>256</v>
      </c>
      <c r="C256" s="189"/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7" t="s">
        <v>368</v>
      </c>
      <c r="B257" s="314" t="s">
        <v>256</v>
      </c>
      <c r="C257" s="189">
        <v>1471704.9400000002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7" t="s">
        <v>369</v>
      </c>
      <c r="B258" s="314" t="s">
        <v>256</v>
      </c>
      <c r="C258" s="189">
        <v>1950426.8799999997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7" t="s">
        <v>370</v>
      </c>
      <c r="B259" s="314" t="s">
        <v>256</v>
      </c>
      <c r="C259" s="189"/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7" t="s">
        <v>371</v>
      </c>
      <c r="B260" s="297"/>
      <c r="C260" s="305"/>
      <c r="D260" s="297">
        <f>SUM(C250:C252)-C253+SUM(C254:C259)</f>
        <v>99189878.540000021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9" t="s">
        <v>372</v>
      </c>
      <c r="B261" s="319"/>
      <c r="C261" s="319"/>
      <c r="D261" s="319"/>
      <c r="E261" s="3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7" t="s">
        <v>362</v>
      </c>
      <c r="B262" s="314" t="s">
        <v>256</v>
      </c>
      <c r="C262" s="189">
        <v>5138890.95</v>
      </c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7" t="s">
        <v>363</v>
      </c>
      <c r="B263" s="314" t="s">
        <v>256</v>
      </c>
      <c r="C263" s="189"/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7" t="s">
        <v>373</v>
      </c>
      <c r="B264" s="314" t="s">
        <v>256</v>
      </c>
      <c r="C264" s="189"/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7" t="s">
        <v>374</v>
      </c>
      <c r="B265" s="297"/>
      <c r="C265" s="305"/>
      <c r="D265" s="297">
        <f>SUM(C262:C264)</f>
        <v>5138890.95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9" t="s">
        <v>375</v>
      </c>
      <c r="B266" s="319"/>
      <c r="C266" s="319"/>
      <c r="D266" s="319"/>
      <c r="E266" s="3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7" t="s">
        <v>332</v>
      </c>
      <c r="B267" s="314" t="s">
        <v>256</v>
      </c>
      <c r="C267" s="189">
        <v>2015497.22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7" t="s">
        <v>333</v>
      </c>
      <c r="B268" s="314" t="s">
        <v>256</v>
      </c>
      <c r="C268" s="189">
        <v>11010199.719999999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7" t="s">
        <v>334</v>
      </c>
      <c r="B269" s="314" t="s">
        <v>256</v>
      </c>
      <c r="C269" s="189">
        <v>57334670.100000001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7" t="s">
        <v>376</v>
      </c>
      <c r="B270" s="314" t="s">
        <v>256</v>
      </c>
      <c r="C270" s="189">
        <v>32196070.280000001</v>
      </c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7" t="s">
        <v>377</v>
      </c>
      <c r="B271" s="314" t="s">
        <v>256</v>
      </c>
      <c r="C271" s="189"/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7" t="s">
        <v>378</v>
      </c>
      <c r="B272" s="314" t="s">
        <v>256</v>
      </c>
      <c r="C272" s="189">
        <v>39071172.309999995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7" t="s">
        <v>339</v>
      </c>
      <c r="B273" s="314" t="s">
        <v>256</v>
      </c>
      <c r="C273" s="189">
        <v>1163193.04</v>
      </c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7" t="s">
        <v>340</v>
      </c>
      <c r="B274" s="314" t="s">
        <v>256</v>
      </c>
      <c r="C274" s="189">
        <v>1538936.8199999961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7" t="s">
        <v>379</v>
      </c>
      <c r="B275" s="297"/>
      <c r="C275" s="305"/>
      <c r="D275" s="297">
        <f>SUM(C267:C274)</f>
        <v>144329739.48999998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7" t="s">
        <v>380</v>
      </c>
      <c r="B276" s="314" t="s">
        <v>256</v>
      </c>
      <c r="C276" s="189">
        <v>66940513.509999998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7" t="s">
        <v>381</v>
      </c>
      <c r="B277" s="297"/>
      <c r="C277" s="305"/>
      <c r="D277" s="297">
        <f>D275-C276</f>
        <v>77389225.979999989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9" t="s">
        <v>382</v>
      </c>
      <c r="B278" s="319"/>
      <c r="C278" s="319"/>
      <c r="D278" s="319"/>
      <c r="E278" s="3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7" t="s">
        <v>383</v>
      </c>
      <c r="B279" s="314" t="s">
        <v>256</v>
      </c>
      <c r="C279" s="189"/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7" t="s">
        <v>384</v>
      </c>
      <c r="B280" s="314" t="s">
        <v>256</v>
      </c>
      <c r="C280" s="189"/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7" t="s">
        <v>385</v>
      </c>
      <c r="B281" s="314" t="s">
        <v>256</v>
      </c>
      <c r="C281" s="189"/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7" t="s">
        <v>373</v>
      </c>
      <c r="B282" s="314" t="s">
        <v>256</v>
      </c>
      <c r="C282" s="189"/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7" t="s">
        <v>386</v>
      </c>
      <c r="B283" s="297"/>
      <c r="C283" s="305"/>
      <c r="D283" s="297">
        <f>C279-C280+C281+C282</f>
        <v>0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9" t="s">
        <v>387</v>
      </c>
      <c r="B285" s="319"/>
      <c r="C285" s="319"/>
      <c r="D285" s="319"/>
      <c r="E285" s="3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7" t="s">
        <v>388</v>
      </c>
      <c r="B286" s="314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7" t="s">
        <v>389</v>
      </c>
      <c r="B287" s="314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7" t="s">
        <v>390</v>
      </c>
      <c r="B288" s="314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7" t="s">
        <v>391</v>
      </c>
      <c r="B289" s="314" t="s">
        <v>256</v>
      </c>
      <c r="C289" s="189"/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7" t="s">
        <v>392</v>
      </c>
      <c r="B290" s="297"/>
      <c r="C290" s="305"/>
      <c r="D290" s="297">
        <f>SUM(C286:C289)</f>
        <v>0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7" t="s">
        <v>393</v>
      </c>
      <c r="B292" s="297"/>
      <c r="C292" s="305"/>
      <c r="D292" s="297">
        <f>D260+D265+D277+D283+D290</f>
        <v>181717995.47000003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9" t="s">
        <v>395</v>
      </c>
      <c r="B303" s="319"/>
      <c r="C303" s="319"/>
      <c r="D303" s="319"/>
      <c r="E303" s="3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7" t="s">
        <v>396</v>
      </c>
      <c r="B304" s="314" t="s">
        <v>256</v>
      </c>
      <c r="C304" s="189"/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7" t="s">
        <v>397</v>
      </c>
      <c r="B305" s="314" t="s">
        <v>256</v>
      </c>
      <c r="C305" s="329">
        <v>2814764.39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7" t="s">
        <v>398</v>
      </c>
      <c r="B306" s="314" t="s">
        <v>256</v>
      </c>
      <c r="C306" s="329">
        <v>8790585.6899999976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7" t="s">
        <v>399</v>
      </c>
      <c r="B307" s="314" t="s">
        <v>256</v>
      </c>
      <c r="C307" s="329">
        <v>94943.1</v>
      </c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7" t="s">
        <v>400</v>
      </c>
      <c r="B308" s="314" t="s">
        <v>256</v>
      </c>
      <c r="C308" s="329"/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7" t="s">
        <v>1241</v>
      </c>
      <c r="B309" s="314" t="s">
        <v>256</v>
      </c>
      <c r="C309" s="329">
        <v>13867296.039999999</v>
      </c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7" t="s">
        <v>401</v>
      </c>
      <c r="B310" s="314" t="s">
        <v>256</v>
      </c>
      <c r="C310" s="329"/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7" t="s">
        <v>402</v>
      </c>
      <c r="B311" s="314" t="s">
        <v>256</v>
      </c>
      <c r="C311" s="329"/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7" t="s">
        <v>403</v>
      </c>
      <c r="B312" s="314" t="s">
        <v>256</v>
      </c>
      <c r="C312" s="329">
        <v>184471.00999999998</v>
      </c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7" t="s">
        <v>404</v>
      </c>
      <c r="B313" s="314" t="s">
        <v>256</v>
      </c>
      <c r="C313" s="329">
        <v>1465000</v>
      </c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7" t="s">
        <v>405</v>
      </c>
      <c r="B314" s="297"/>
      <c r="C314" s="305"/>
      <c r="D314" s="297">
        <f>SUM(C304:C313)</f>
        <v>27217060.23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9" t="s">
        <v>406</v>
      </c>
      <c r="B315" s="319"/>
      <c r="C315" s="319"/>
      <c r="D315" s="319"/>
      <c r="E315" s="31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7" t="s">
        <v>407</v>
      </c>
      <c r="B316" s="314" t="s">
        <v>256</v>
      </c>
      <c r="C316" s="189"/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7" t="s">
        <v>408</v>
      </c>
      <c r="B317" s="314" t="s">
        <v>256</v>
      </c>
      <c r="C317" s="189">
        <v>1968556.26</v>
      </c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7" t="s">
        <v>409</v>
      </c>
      <c r="B318" s="314" t="s">
        <v>256</v>
      </c>
      <c r="C318" s="189"/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7" t="s">
        <v>410</v>
      </c>
      <c r="B319" s="297"/>
      <c r="C319" s="305"/>
      <c r="D319" s="297">
        <f>SUM(C316:C318)</f>
        <v>1968556.26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9" t="s">
        <v>411</v>
      </c>
      <c r="B320" s="319"/>
      <c r="C320" s="319"/>
      <c r="D320" s="319"/>
      <c r="E320" s="3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7" t="s">
        <v>412</v>
      </c>
      <c r="B321" s="314" t="s">
        <v>256</v>
      </c>
      <c r="C321" s="189"/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7" t="s">
        <v>413</v>
      </c>
      <c r="B322" s="314" t="s">
        <v>256</v>
      </c>
      <c r="C322" s="189"/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7" t="s">
        <v>414</v>
      </c>
      <c r="B323" s="314" t="s">
        <v>256</v>
      </c>
      <c r="C323" s="189"/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4" t="s">
        <v>415</v>
      </c>
      <c r="B324" s="314" t="s">
        <v>256</v>
      </c>
      <c r="C324" s="189"/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7" t="s">
        <v>416</v>
      </c>
      <c r="B325" s="314" t="s">
        <v>256</v>
      </c>
      <c r="C325" s="189">
        <v>61964445.43</v>
      </c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4" t="s">
        <v>417</v>
      </c>
      <c r="B326" s="314" t="s">
        <v>256</v>
      </c>
      <c r="C326" s="189"/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7" t="s">
        <v>418</v>
      </c>
      <c r="B327" s="314" t="s">
        <v>256</v>
      </c>
      <c r="C327" s="189"/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7" t="s">
        <v>203</v>
      </c>
      <c r="B328" s="297"/>
      <c r="C328" s="305"/>
      <c r="D328" s="297">
        <f>SUM(C321:C327)</f>
        <v>61964445.43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7" t="s">
        <v>419</v>
      </c>
      <c r="B329" s="297"/>
      <c r="C329" s="305"/>
      <c r="D329" s="297">
        <f>C313</f>
        <v>1465000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7" t="s">
        <v>420</v>
      </c>
      <c r="B330" s="297"/>
      <c r="C330" s="305"/>
      <c r="D330" s="297">
        <f>D328-D329</f>
        <v>60499445.43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7" t="s">
        <v>421</v>
      </c>
      <c r="B332" s="314" t="s">
        <v>256</v>
      </c>
      <c r="C332" s="222">
        <v>92032933.549999997</v>
      </c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7"/>
      <c r="B333" s="314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7" t="s">
        <v>1142</v>
      </c>
      <c r="B334" s="314" t="s">
        <v>256</v>
      </c>
      <c r="C334" s="222"/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7" t="s">
        <v>1143</v>
      </c>
      <c r="B335" s="314" t="s">
        <v>256</v>
      </c>
      <c r="C335" s="222"/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7" t="s">
        <v>423</v>
      </c>
      <c r="B336" s="314" t="s">
        <v>256</v>
      </c>
      <c r="C336" s="222"/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7" t="s">
        <v>422</v>
      </c>
      <c r="B337" s="314" t="s">
        <v>256</v>
      </c>
      <c r="C337" s="189"/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7" t="s">
        <v>1252</v>
      </c>
      <c r="B338" s="314" t="s">
        <v>256</v>
      </c>
      <c r="C338" s="189"/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7" t="s">
        <v>424</v>
      </c>
      <c r="B339" s="297"/>
      <c r="C339" s="305"/>
      <c r="D339" s="297">
        <f>D314+D319+D330+C332+C336+C337</f>
        <v>181717995.47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7" t="s">
        <v>425</v>
      </c>
      <c r="B341" s="297"/>
      <c r="C341" s="305"/>
      <c r="D341" s="297">
        <f>D292</f>
        <v>181717995.47000003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9" t="s">
        <v>427</v>
      </c>
      <c r="B358" s="319"/>
      <c r="C358" s="319"/>
      <c r="D358" s="319"/>
      <c r="E358" s="31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7" t="s">
        <v>428</v>
      </c>
      <c r="B359" s="314" t="s">
        <v>256</v>
      </c>
      <c r="C359" s="189">
        <v>56841635.060000002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7" t="s">
        <v>429</v>
      </c>
      <c r="B360" s="314" t="s">
        <v>256</v>
      </c>
      <c r="C360" s="189">
        <v>193681227.51999998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7" t="s">
        <v>430</v>
      </c>
      <c r="B361" s="297"/>
      <c r="C361" s="305"/>
      <c r="D361" s="297">
        <f>SUM(C359:C360)</f>
        <v>250522862.57999998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9" t="s">
        <v>431</v>
      </c>
      <c r="B362" s="319"/>
      <c r="C362" s="319"/>
      <c r="D362" s="319"/>
      <c r="E362" s="3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7" t="s">
        <v>1254</v>
      </c>
      <c r="B363" s="319"/>
      <c r="C363" s="189">
        <v>3535410.6199999996</v>
      </c>
      <c r="D363" s="297"/>
      <c r="E363" s="3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7" t="s">
        <v>432</v>
      </c>
      <c r="B364" s="314" t="s">
        <v>256</v>
      </c>
      <c r="C364" s="189">
        <v>136126273.24000001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7" t="s">
        <v>433</v>
      </c>
      <c r="B365" s="314" t="s">
        <v>256</v>
      </c>
      <c r="C365" s="189">
        <v>4378512.03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7" t="s">
        <v>434</v>
      </c>
      <c r="B366" s="314" t="s">
        <v>256</v>
      </c>
      <c r="C366" s="189">
        <v>2894364.22</v>
      </c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7" t="s">
        <v>359</v>
      </c>
      <c r="B367" s="297"/>
      <c r="C367" s="305"/>
      <c r="D367" s="297">
        <f>SUM(C363:C366)</f>
        <v>146934560.11000001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7" t="s">
        <v>435</v>
      </c>
      <c r="B368" s="297"/>
      <c r="C368" s="305"/>
      <c r="D368" s="297">
        <f>D361-D367</f>
        <v>103588302.46999997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9" t="s">
        <v>436</v>
      </c>
      <c r="B369" s="319"/>
      <c r="C369" s="319"/>
      <c r="D369" s="319"/>
      <c r="E369" s="3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7" t="s">
        <v>437</v>
      </c>
      <c r="B370" s="314" t="s">
        <v>256</v>
      </c>
      <c r="C370" s="189">
        <v>12314108.43</v>
      </c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7" t="s">
        <v>438</v>
      </c>
      <c r="B371" s="314" t="s">
        <v>256</v>
      </c>
      <c r="C371" s="330">
        <v>2299605.23</v>
      </c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7" t="s">
        <v>439</v>
      </c>
      <c r="B372" s="297"/>
      <c r="C372" s="305"/>
      <c r="D372" s="297">
        <f>SUM(C370:C371)</f>
        <v>14613713.66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7" t="s">
        <v>440</v>
      </c>
      <c r="B373" s="297"/>
      <c r="C373" s="305"/>
      <c r="D373" s="297">
        <f>D368+D372</f>
        <v>118202016.12999997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9" t="s">
        <v>441</v>
      </c>
      <c r="B377" s="319"/>
      <c r="C377" s="319"/>
      <c r="D377" s="319"/>
      <c r="E377" s="3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7" t="s">
        <v>442</v>
      </c>
      <c r="B378" s="314" t="s">
        <v>256</v>
      </c>
      <c r="C378" s="189">
        <v>51701358.370000005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7" t="s">
        <v>3</v>
      </c>
      <c r="B379" s="314" t="s">
        <v>256</v>
      </c>
      <c r="C379" s="189">
        <v>16595535.43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7" t="s">
        <v>236</v>
      </c>
      <c r="B380" s="314" t="s">
        <v>256</v>
      </c>
      <c r="C380" s="189">
        <v>6241845.8899999997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7" t="s">
        <v>443</v>
      </c>
      <c r="B381" s="314" t="s">
        <v>256</v>
      </c>
      <c r="C381" s="189">
        <v>13672315.58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7" t="s">
        <v>444</v>
      </c>
      <c r="B382" s="314" t="s">
        <v>256</v>
      </c>
      <c r="C382" s="189">
        <v>1080053.92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7" t="s">
        <v>445</v>
      </c>
      <c r="B383" s="314" t="s">
        <v>256</v>
      </c>
      <c r="C383" s="189">
        <v>15080296.91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7" t="s">
        <v>6</v>
      </c>
      <c r="B384" s="314" t="s">
        <v>256</v>
      </c>
      <c r="C384" s="189">
        <v>7650492.0300000003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7" t="s">
        <v>446</v>
      </c>
      <c r="B385" s="314" t="s">
        <v>256</v>
      </c>
      <c r="C385" s="189">
        <v>825453.14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7" t="s">
        <v>447</v>
      </c>
      <c r="B386" s="314" t="s">
        <v>256</v>
      </c>
      <c r="C386" s="189">
        <v>729127.9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7" t="s">
        <v>448</v>
      </c>
      <c r="B387" s="314" t="s">
        <v>256</v>
      </c>
      <c r="C387" s="189">
        <v>652818.02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7" t="s">
        <v>449</v>
      </c>
      <c r="B388" s="314" t="s">
        <v>256</v>
      </c>
      <c r="C388" s="189">
        <v>2988596.94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7" t="s">
        <v>451</v>
      </c>
      <c r="B389" s="314" t="s">
        <v>256</v>
      </c>
      <c r="C389" s="189">
        <v>1141284.6099999999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7" t="s">
        <v>452</v>
      </c>
      <c r="B390" s="297"/>
      <c r="C390" s="305"/>
      <c r="D390" s="297">
        <f>SUM(C378:C389)</f>
        <v>118359178.74000001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7" t="s">
        <v>453</v>
      </c>
      <c r="B391" s="297"/>
      <c r="C391" s="305"/>
      <c r="D391" s="297">
        <f>D373-D390</f>
        <v>-157162.61000004411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7" t="s">
        <v>454</v>
      </c>
      <c r="B392" s="314" t="s">
        <v>256</v>
      </c>
      <c r="C392" s="331">
        <v>1620685.2799999998</v>
      </c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7" t="s">
        <v>455</v>
      </c>
      <c r="B393" s="297"/>
      <c r="C393" s="305"/>
      <c r="D393" s="297">
        <f>D391+C392</f>
        <v>1463522.6699999557</v>
      </c>
      <c r="E393" s="297"/>
      <c r="F393" s="3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7" t="s">
        <v>456</v>
      </c>
      <c r="B394" s="314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7" t="s">
        <v>457</v>
      </c>
      <c r="B395" s="314" t="s">
        <v>256</v>
      </c>
      <c r="C395" s="189"/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7" t="s">
        <v>458</v>
      </c>
      <c r="B396" s="297"/>
      <c r="C396" s="305"/>
      <c r="D396" s="297">
        <f>D393+C394-C395</f>
        <v>1463522.6699999557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3" t="s">
        <v>459</v>
      </c>
      <c r="D411" s="2"/>
      <c r="E411" s="3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Public Hospital District No 1 of Mason County, WA, DBA Mason Health   H-0     FYE 12/31/2020</v>
      </c>
      <c r="B412" s="2"/>
      <c r="C412" s="2"/>
      <c r="D412" s="2"/>
      <c r="E412" s="3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3" t="s">
        <v>461</v>
      </c>
      <c r="C413" s="333" t="s">
        <v>1242</v>
      </c>
      <c r="D413" s="33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1343</v>
      </c>
      <c r="C414" s="2">
        <f>E138</f>
        <v>1343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4445</v>
      </c>
      <c r="C415" s="2">
        <f>E139</f>
        <v>4445</v>
      </c>
      <c r="D415" s="2">
        <f>SUM(C59:H59)+N59</f>
        <v>4445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5"/>
      <c r="B422" s="335"/>
      <c r="C422" s="33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344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683</v>
      </c>
      <c r="C424" s="2"/>
      <c r="D424" s="2">
        <f>J59</f>
        <v>683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5"/>
      <c r="B425" s="335"/>
      <c r="C425" s="335"/>
      <c r="D425" s="335"/>
      <c r="E425" s="2"/>
      <c r="F425" s="335"/>
      <c r="G425" s="33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3" t="s">
        <v>471</v>
      </c>
      <c r="C426" s="333" t="s">
        <v>462</v>
      </c>
      <c r="D426" s="33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51701358.370000005</v>
      </c>
      <c r="C427" s="2">
        <f t="shared" ref="C427:C434" si="13">CE61</f>
        <v>51701358.369999997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16595535.43</v>
      </c>
      <c r="C428" s="2">
        <f t="shared" si="13"/>
        <v>16595535</v>
      </c>
      <c r="D428" s="2">
        <f>D173</f>
        <v>16595535.43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6241845.8899999997</v>
      </c>
      <c r="C429" s="2">
        <f t="shared" si="13"/>
        <v>6241845.8900000006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13672315.58</v>
      </c>
      <c r="C430" s="2">
        <f t="shared" si="13"/>
        <v>13672315.58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1080053.92</v>
      </c>
      <c r="C431" s="2">
        <f t="shared" si="13"/>
        <v>1080053.92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15080296.91</v>
      </c>
      <c r="C432" s="2">
        <f t="shared" si="13"/>
        <v>15080296.909999998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7650492.0300000003</v>
      </c>
      <c r="C433" s="2">
        <f t="shared" si="13"/>
        <v>7650493</v>
      </c>
      <c r="D433" s="2">
        <f>C217</f>
        <v>7650492.0300000003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825453.14</v>
      </c>
      <c r="C434" s="2">
        <f t="shared" si="13"/>
        <v>825453.14000000013</v>
      </c>
      <c r="D434" s="2">
        <f>D177</f>
        <v>825453.1399999999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729127.9</v>
      </c>
      <c r="C435" s="2"/>
      <c r="D435" s="2">
        <f>D181</f>
        <v>729127.89999999991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652818.02</v>
      </c>
      <c r="C436" s="2"/>
      <c r="D436" s="2">
        <f>D186</f>
        <v>652818.02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2988596.94</v>
      </c>
      <c r="C437" s="2"/>
      <c r="D437" s="2">
        <f>D190</f>
        <v>2988596.94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4370542.8599999994</v>
      </c>
      <c r="C438" s="2">
        <f>CD69</f>
        <v>4198148.6399999997</v>
      </c>
      <c r="D438" s="2">
        <f>D181+D186+D190</f>
        <v>4370542.8599999994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1141284.6099999999</v>
      </c>
      <c r="C439" s="2">
        <f>SUM(C69:CC69)</f>
        <v>1313678.83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5511827.4699999988</v>
      </c>
      <c r="C440" s="2">
        <f>CE69</f>
        <v>5511827.4699999997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118359178.74000001</v>
      </c>
      <c r="C441" s="2">
        <f>SUM(C427:C437)+C440</f>
        <v>118359179.28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5"/>
      <c r="B442" s="335"/>
      <c r="C442" s="335"/>
      <c r="D442" s="335"/>
      <c r="E442" s="2"/>
      <c r="F442" s="335"/>
      <c r="G442" s="33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3" t="s">
        <v>480</v>
      </c>
      <c r="C443" s="33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3535410.6199999996</v>
      </c>
      <c r="C444" s="2">
        <f>C363</f>
        <v>3535410.6199999996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136126273.24000001</v>
      </c>
      <c r="C445" s="2">
        <f>C364</f>
        <v>136126273.24000001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4378512.03</v>
      </c>
      <c r="C446" s="2">
        <f>C365</f>
        <v>4378512.03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2894364.22</v>
      </c>
      <c r="C447" s="2">
        <f>C366</f>
        <v>2894364.22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146934560.11000001</v>
      </c>
      <c r="C448" s="2">
        <f>D367</f>
        <v>146934560.11000001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5"/>
      <c r="B449" s="335"/>
      <c r="C449" s="335"/>
      <c r="D449" s="335"/>
      <c r="E449" s="2"/>
      <c r="F449" s="335"/>
      <c r="G449" s="33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3" t="s">
        <v>482</v>
      </c>
      <c r="C450" s="335"/>
      <c r="D450" s="335"/>
      <c r="E450" s="2"/>
      <c r="F450" s="335"/>
      <c r="G450" s="33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5" t="s">
        <v>484</v>
      </c>
      <c r="B453" s="2">
        <f>C231</f>
        <v>2138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475318.6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3903193.43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5"/>
      <c r="B456" s="335"/>
      <c r="C456" s="335"/>
      <c r="D456" s="335"/>
      <c r="E456" s="2"/>
      <c r="F456" s="335"/>
      <c r="G456" s="33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3" t="s">
        <v>471</v>
      </c>
      <c r="C457" s="33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12314108.43</v>
      </c>
      <c r="C458" s="2">
        <f>CE70</f>
        <v>13934793.710000001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2299605.23</v>
      </c>
      <c r="C459" s="2">
        <f>CE72</f>
        <v>2299605.23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5"/>
      <c r="B460" s="335"/>
      <c r="C460" s="335"/>
      <c r="D460" s="335"/>
      <c r="E460" s="2"/>
      <c r="F460" s="335"/>
      <c r="G460" s="33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3"/>
      <c r="C461" s="333"/>
      <c r="D461" s="333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3" t="s">
        <v>471</v>
      </c>
      <c r="C462" s="333" t="s">
        <v>486</v>
      </c>
      <c r="D462" s="33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56841635.060000002</v>
      </c>
      <c r="C463" s="2">
        <f>CE73</f>
        <v>56841635.059999987</v>
      </c>
      <c r="D463" s="2">
        <f>E141+E147+E153</f>
        <v>56841635.059999995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193681227.51999998</v>
      </c>
      <c r="C464" s="2">
        <f>CE74</f>
        <v>193681227.51999998</v>
      </c>
      <c r="D464" s="2">
        <f>E142+E148+E154</f>
        <v>193681227.52000001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250522862.57999998</v>
      </c>
      <c r="C465" s="2">
        <f>CE75</f>
        <v>250522862.57999998</v>
      </c>
      <c r="D465" s="2">
        <f>D463+D464</f>
        <v>250522862.58000001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5"/>
      <c r="B466" s="335"/>
      <c r="C466" s="335"/>
      <c r="D466" s="335"/>
      <c r="E466" s="2"/>
      <c r="F466" s="335"/>
      <c r="G466" s="33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3" t="s">
        <v>492</v>
      </c>
      <c r="C467" s="33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2015497.22</v>
      </c>
      <c r="C468" s="2">
        <f>E195</f>
        <v>2015497.22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11010199.719999999</v>
      </c>
      <c r="C469" s="2">
        <f>E196</f>
        <v>11010199.719999999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57334670.100000001</v>
      </c>
      <c r="C470" s="2">
        <f>E197</f>
        <v>57334670.099999994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32196070.280000001</v>
      </c>
      <c r="C471" s="2">
        <f>E198</f>
        <v>32196070.279999997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39071172.309999995</v>
      </c>
      <c r="C473" s="2">
        <f>SUM(E200:E201)</f>
        <v>39071172.320000008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1163193.04</v>
      </c>
      <c r="C474" s="2">
        <f>E202</f>
        <v>1163193.04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1538936.8199999961</v>
      </c>
      <c r="C475" s="2">
        <f>E203</f>
        <v>1538935.9699999988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144329739.48999998</v>
      </c>
      <c r="C476" s="2">
        <f>E204</f>
        <v>144329738.64999998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66940513.509999998</v>
      </c>
      <c r="C478" s="2">
        <f>E217</f>
        <v>66940513.509999998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181717995.47000003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181717995.47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5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5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5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5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152</v>
      </c>
      <c r="B493" s="337" t="str">
        <f>RIGHT('[1]Prior Year'!C83,4)</f>
        <v>2019</v>
      </c>
      <c r="C493" s="337" t="str">
        <f>RIGHT(C82,4)</f>
        <v>2020</v>
      </c>
      <c r="D493" s="337" t="str">
        <f>RIGHT('[1]Prior Year'!C83,4)</f>
        <v>2019</v>
      </c>
      <c r="E493" s="337" t="str">
        <f>RIGHT(C82,4)</f>
        <v>2020</v>
      </c>
      <c r="F493" s="337" t="str">
        <f>RIGHT('[1]Prior Year'!C83,4)</f>
        <v>2019</v>
      </c>
      <c r="G493" s="337" t="str">
        <f>RIGHT(C82,4)</f>
        <v>2020</v>
      </c>
      <c r="H493" s="337"/>
      <c r="I493" s="2"/>
      <c r="J493" s="2"/>
      <c r="K493" s="337"/>
      <c r="L493" s="33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6"/>
      <c r="B494" s="333" t="s">
        <v>505</v>
      </c>
      <c r="C494" s="333" t="s">
        <v>505</v>
      </c>
      <c r="D494" s="338" t="s">
        <v>506</v>
      </c>
      <c r="E494" s="338" t="s">
        <v>506</v>
      </c>
      <c r="F494" s="337" t="s">
        <v>507</v>
      </c>
      <c r="G494" s="337" t="s">
        <v>507</v>
      </c>
      <c r="H494" s="337" t="s">
        <v>508</v>
      </c>
      <c r="I494" s="2"/>
      <c r="J494" s="2"/>
      <c r="K494" s="337"/>
      <c r="L494" s="33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3" t="s">
        <v>303</v>
      </c>
      <c r="C495" s="333" t="s">
        <v>303</v>
      </c>
      <c r="D495" s="333" t="s">
        <v>509</v>
      </c>
      <c r="E495" s="333" t="s">
        <v>509</v>
      </c>
      <c r="F495" s="337" t="s">
        <v>510</v>
      </c>
      <c r="G495" s="337" t="s">
        <v>510</v>
      </c>
      <c r="H495" s="337" t="s">
        <v>511</v>
      </c>
      <c r="I495" s="2"/>
      <c r="J495" s="2"/>
      <c r="K495" s="337"/>
      <c r="L495" s="33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9">
        <f>'[1]Prior Year'!C72</f>
        <v>3062079.01</v>
      </c>
      <c r="C496" s="339">
        <f>C71</f>
        <v>2819653.35</v>
      </c>
      <c r="D496" s="339">
        <f>'[1]Prior Year'!C59</f>
        <v>1155</v>
      </c>
      <c r="E496" s="2">
        <f>C59</f>
        <v>954</v>
      </c>
      <c r="F496" s="340">
        <f t="shared" ref="F496:G511" si="15">IF(B496=0,"",IF(D496=0,"",B496/D496))</f>
        <v>2651.150658008658</v>
      </c>
      <c r="G496" s="340">
        <f t="shared" si="15"/>
        <v>2955.6114779874215</v>
      </c>
      <c r="H496" s="341" t="str">
        <f>IF(B496=0,"",IF(C496=0,"",IF(D496=0,"",IF(E496=0,"",IF(G496/F496-1&lt;-0.25,G496/F496-1,IF(G496/F496-1&gt;0.25,G496/F496-1,""))))))</f>
        <v/>
      </c>
      <c r="I496" s="268"/>
      <c r="J496" s="2"/>
      <c r="K496" s="337"/>
      <c r="L496" s="33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9">
        <f>'[1]Prior Year'!D72</f>
        <v>0</v>
      </c>
      <c r="C497" s="339">
        <f>D71</f>
        <v>0</v>
      </c>
      <c r="D497" s="339">
        <f>'[1]Prior Year'!D59</f>
        <v>0</v>
      </c>
      <c r="E497" s="2">
        <f>D59</f>
        <v>0</v>
      </c>
      <c r="F497" s="340" t="str">
        <f t="shared" si="15"/>
        <v/>
      </c>
      <c r="G497" s="340" t="str">
        <f t="shared" si="15"/>
        <v/>
      </c>
      <c r="H497" s="341" t="str">
        <f t="shared" ref="H497:H550" si="16">IF(B497=0,"",IF(C497=0,"",IF(D497=0,"",IF(E497=0,"",IF(G497/F497-1&lt;-0.25,G497/F497-1,IF(G497/F497-1&gt;0.25,G497/F497-1,""))))))</f>
        <v/>
      </c>
      <c r="I497" s="268"/>
      <c r="J497" s="2"/>
      <c r="K497" s="337"/>
      <c r="L497" s="33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9">
        <f>'[1]Prior Year'!E72</f>
        <v>6376586.4400000004</v>
      </c>
      <c r="C498" s="339">
        <f>E71</f>
        <v>6923758.9200000009</v>
      </c>
      <c r="D498" s="339">
        <f>'[1]Prior Year'!E59</f>
        <v>3375</v>
      </c>
      <c r="E498" s="2">
        <f>E59</f>
        <v>3491</v>
      </c>
      <c r="F498" s="340">
        <f t="shared" si="15"/>
        <v>1889.3589451851853</v>
      </c>
      <c r="G498" s="340">
        <f t="shared" si="15"/>
        <v>1983.3167917502151</v>
      </c>
      <c r="H498" s="341" t="str">
        <f t="shared" si="16"/>
        <v/>
      </c>
      <c r="I498" s="268"/>
      <c r="J498" s="2"/>
      <c r="K498" s="337"/>
      <c r="L498" s="33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9">
        <f>'[1]Prior Year'!F72</f>
        <v>0</v>
      </c>
      <c r="C499" s="339">
        <f>F71</f>
        <v>0</v>
      </c>
      <c r="D499" s="339">
        <f>'[1]Prior Year'!F59</f>
        <v>0</v>
      </c>
      <c r="E499" s="2">
        <f>F59</f>
        <v>0</v>
      </c>
      <c r="F499" s="340" t="str">
        <f t="shared" si="15"/>
        <v/>
      </c>
      <c r="G499" s="340" t="str">
        <f t="shared" si="15"/>
        <v/>
      </c>
      <c r="H499" s="341" t="str">
        <f t="shared" si="16"/>
        <v/>
      </c>
      <c r="I499" s="268"/>
      <c r="J499" s="2"/>
      <c r="K499" s="337"/>
      <c r="L499" s="33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9">
        <f>'[1]Prior Year'!G72</f>
        <v>0</v>
      </c>
      <c r="C500" s="339">
        <f>G71</f>
        <v>0</v>
      </c>
      <c r="D500" s="339">
        <f>'[1]Prior Year'!G59</f>
        <v>0</v>
      </c>
      <c r="E500" s="2">
        <f>G59</f>
        <v>0</v>
      </c>
      <c r="F500" s="340" t="str">
        <f t="shared" si="15"/>
        <v/>
      </c>
      <c r="G500" s="340" t="str">
        <f t="shared" si="15"/>
        <v/>
      </c>
      <c r="H500" s="341" t="str">
        <f t="shared" si="16"/>
        <v/>
      </c>
      <c r="I500" s="268"/>
      <c r="J500" s="2"/>
      <c r="K500" s="337"/>
      <c r="L500" s="33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9">
        <f>'[1]Prior Year'!H72</f>
        <v>0</v>
      </c>
      <c r="C501" s="339">
        <f>H71</f>
        <v>0</v>
      </c>
      <c r="D501" s="339">
        <f>'[1]Prior Year'!H59</f>
        <v>0</v>
      </c>
      <c r="E501" s="2">
        <f>H59</f>
        <v>0</v>
      </c>
      <c r="F501" s="340" t="str">
        <f t="shared" si="15"/>
        <v/>
      </c>
      <c r="G501" s="340" t="str">
        <f t="shared" si="15"/>
        <v/>
      </c>
      <c r="H501" s="341" t="str">
        <f t="shared" si="16"/>
        <v/>
      </c>
      <c r="I501" s="268"/>
      <c r="J501" s="2"/>
      <c r="K501" s="337"/>
      <c r="L501" s="33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9">
        <f>'[1]Prior Year'!I72</f>
        <v>0</v>
      </c>
      <c r="C502" s="339">
        <f>I71</f>
        <v>0</v>
      </c>
      <c r="D502" s="339">
        <f>'[1]Prior Year'!I59</f>
        <v>0</v>
      </c>
      <c r="E502" s="2">
        <f>I59</f>
        <v>0</v>
      </c>
      <c r="F502" s="340" t="str">
        <f t="shared" si="15"/>
        <v/>
      </c>
      <c r="G502" s="340" t="str">
        <f t="shared" si="15"/>
        <v/>
      </c>
      <c r="H502" s="341" t="str">
        <f t="shared" si="16"/>
        <v/>
      </c>
      <c r="I502" s="268"/>
      <c r="J502" s="2"/>
      <c r="K502" s="337"/>
      <c r="L502" s="33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9">
        <f>'[1]Prior Year'!J72</f>
        <v>47182.8</v>
      </c>
      <c r="C503" s="339">
        <f>J71</f>
        <v>39948.719999999994</v>
      </c>
      <c r="D503" s="339">
        <f>'[1]Prior Year'!J59</f>
        <v>648</v>
      </c>
      <c r="E503" s="2">
        <f>J59</f>
        <v>683</v>
      </c>
      <c r="F503" s="340">
        <f t="shared" si="15"/>
        <v>72.81296296296297</v>
      </c>
      <c r="G503" s="340">
        <f t="shared" si="15"/>
        <v>58.490073206442155</v>
      </c>
      <c r="H503" s="341" t="str">
        <f t="shared" si="16"/>
        <v/>
      </c>
      <c r="I503" s="268"/>
      <c r="J503" s="2"/>
      <c r="K503" s="337"/>
      <c r="L503" s="33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9">
        <f>'[1]Prior Year'!K72</f>
        <v>0</v>
      </c>
      <c r="C504" s="339">
        <f>K71</f>
        <v>0</v>
      </c>
      <c r="D504" s="339">
        <f>'[1]Prior Year'!K59</f>
        <v>0</v>
      </c>
      <c r="E504" s="2">
        <f>K59</f>
        <v>0</v>
      </c>
      <c r="F504" s="340" t="str">
        <f t="shared" si="15"/>
        <v/>
      </c>
      <c r="G504" s="340" t="str">
        <f t="shared" si="15"/>
        <v/>
      </c>
      <c r="H504" s="341" t="str">
        <f t="shared" si="16"/>
        <v/>
      </c>
      <c r="I504" s="268"/>
      <c r="J504" s="2"/>
      <c r="K504" s="337"/>
      <c r="L504" s="33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9">
        <f>'[1]Prior Year'!L72</f>
        <v>0</v>
      </c>
      <c r="C505" s="339">
        <f>L71</f>
        <v>0</v>
      </c>
      <c r="D505" s="339">
        <f>'[1]Prior Year'!L59</f>
        <v>0</v>
      </c>
      <c r="E505" s="2">
        <f>L59</f>
        <v>0</v>
      </c>
      <c r="F505" s="340" t="str">
        <f t="shared" si="15"/>
        <v/>
      </c>
      <c r="G505" s="340" t="str">
        <f t="shared" si="15"/>
        <v/>
      </c>
      <c r="H505" s="341" t="str">
        <f t="shared" si="16"/>
        <v/>
      </c>
      <c r="I505" s="268"/>
      <c r="J505" s="2"/>
      <c r="K505" s="337"/>
      <c r="L505" s="33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9">
        <f>'[1]Prior Year'!M72</f>
        <v>0</v>
      </c>
      <c r="C506" s="339">
        <f>M71</f>
        <v>0</v>
      </c>
      <c r="D506" s="339">
        <f>'[1]Prior Year'!M59</f>
        <v>0</v>
      </c>
      <c r="E506" s="2">
        <f>M59</f>
        <v>0</v>
      </c>
      <c r="F506" s="340" t="str">
        <f t="shared" si="15"/>
        <v/>
      </c>
      <c r="G506" s="340" t="str">
        <f t="shared" si="15"/>
        <v/>
      </c>
      <c r="H506" s="341" t="str">
        <f t="shared" si="16"/>
        <v/>
      </c>
      <c r="I506" s="268"/>
      <c r="J506" s="2"/>
      <c r="K506" s="337"/>
      <c r="L506" s="33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9">
        <f>'[1]Prior Year'!N72</f>
        <v>0</v>
      </c>
      <c r="C507" s="339">
        <f>N71</f>
        <v>0</v>
      </c>
      <c r="D507" s="339">
        <f>'[1]Prior Year'!N59</f>
        <v>0</v>
      </c>
      <c r="E507" s="2">
        <f>N59</f>
        <v>0</v>
      </c>
      <c r="F507" s="340" t="str">
        <f t="shared" si="15"/>
        <v/>
      </c>
      <c r="G507" s="340" t="str">
        <f t="shared" si="15"/>
        <v/>
      </c>
      <c r="H507" s="341" t="str">
        <f t="shared" si="16"/>
        <v/>
      </c>
      <c r="I507" s="268"/>
      <c r="J507" s="2"/>
      <c r="K507" s="337"/>
      <c r="L507" s="33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9">
        <f>'[1]Prior Year'!O72</f>
        <v>153033.59000000003</v>
      </c>
      <c r="C508" s="339">
        <f>O71</f>
        <v>136476.52999999997</v>
      </c>
      <c r="D508" s="339">
        <f>'[1]Prior Year'!O59</f>
        <v>951</v>
      </c>
      <c r="E508" s="2">
        <f>O59</f>
        <v>1000</v>
      </c>
      <c r="F508" s="340">
        <f t="shared" si="15"/>
        <v>160.91860147213461</v>
      </c>
      <c r="G508" s="340">
        <f t="shared" si="15"/>
        <v>136.47652999999997</v>
      </c>
      <c r="H508" s="341" t="str">
        <f t="shared" si="16"/>
        <v/>
      </c>
      <c r="I508" s="268"/>
      <c r="J508" s="2"/>
      <c r="K508" s="337"/>
      <c r="L508" s="33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9">
        <f>'[1]Prior Year'!P72</f>
        <v>3502583.61</v>
      </c>
      <c r="C509" s="339">
        <f>P71</f>
        <v>3280833.6500000004</v>
      </c>
      <c r="D509" s="339">
        <f>'[1]Prior Year'!P59</f>
        <v>117668</v>
      </c>
      <c r="E509" s="2">
        <f>P59</f>
        <v>126122</v>
      </c>
      <c r="F509" s="340">
        <f t="shared" si="15"/>
        <v>29.766662219124996</v>
      </c>
      <c r="G509" s="340">
        <f t="shared" si="15"/>
        <v>26.013174941723097</v>
      </c>
      <c r="H509" s="341" t="str">
        <f t="shared" si="16"/>
        <v/>
      </c>
      <c r="I509" s="268"/>
      <c r="J509" s="2"/>
      <c r="K509" s="337"/>
      <c r="L509" s="33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9">
        <f>'[1]Prior Year'!Q72</f>
        <v>1833941.7699999996</v>
      </c>
      <c r="C510" s="339">
        <f>Q71</f>
        <v>1793430.9400000002</v>
      </c>
      <c r="D510" s="339">
        <f>'[1]Prior Year'!Q59</f>
        <v>129253</v>
      </c>
      <c r="E510" s="2">
        <f>Q59</f>
        <v>121457</v>
      </c>
      <c r="F510" s="340">
        <f t="shared" si="15"/>
        <v>14.188775270206492</v>
      </c>
      <c r="G510" s="340">
        <f t="shared" si="15"/>
        <v>14.765974295429659</v>
      </c>
      <c r="H510" s="341" t="str">
        <f t="shared" si="16"/>
        <v/>
      </c>
      <c r="I510" s="268"/>
      <c r="J510" s="2"/>
      <c r="K510" s="337"/>
      <c r="L510" s="33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9">
        <f>'[1]Prior Year'!R72</f>
        <v>-232096.60000000009</v>
      </c>
      <c r="C511" s="339">
        <f>R71</f>
        <v>-445433.67000000016</v>
      </c>
      <c r="D511" s="339">
        <f>'[1]Prior Year'!R59</f>
        <v>117668</v>
      </c>
      <c r="E511" s="2">
        <f>R59</f>
        <v>126122</v>
      </c>
      <c r="F511" s="340">
        <f t="shared" si="15"/>
        <v>-1.9724700003399402</v>
      </c>
      <c r="G511" s="340">
        <f t="shared" si="15"/>
        <v>-3.5317682085599671</v>
      </c>
      <c r="H511" s="341">
        <f t="shared" si="16"/>
        <v>0.79053075988547028</v>
      </c>
      <c r="I511" s="268"/>
      <c r="J511" s="2"/>
      <c r="K511" s="337"/>
      <c r="L511" s="33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9">
        <f>'[1]Prior Year'!S72</f>
        <v>4119215.05</v>
      </c>
      <c r="C512" s="339">
        <f>S71</f>
        <v>4328718.5200000005</v>
      </c>
      <c r="D512" s="333" t="s">
        <v>529</v>
      </c>
      <c r="E512" s="333" t="s">
        <v>529</v>
      </c>
      <c r="F512" s="340" t="str">
        <f t="shared" ref="F512:G527" si="17">IF(B512=0,"",IF(D512=0,"",B512/D512))</f>
        <v/>
      </c>
      <c r="G512" s="340" t="str">
        <f t="shared" si="17"/>
        <v/>
      </c>
      <c r="H512" s="341" t="str">
        <f t="shared" si="16"/>
        <v/>
      </c>
      <c r="I512" s="268"/>
      <c r="J512" s="2"/>
      <c r="K512" s="337"/>
      <c r="L512" s="33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9">
        <f>'[1]Prior Year'!T72</f>
        <v>0</v>
      </c>
      <c r="C513" s="339">
        <f>T71</f>
        <v>0</v>
      </c>
      <c r="D513" s="333" t="s">
        <v>529</v>
      </c>
      <c r="E513" s="333" t="s">
        <v>529</v>
      </c>
      <c r="F513" s="340" t="str">
        <f t="shared" si="17"/>
        <v/>
      </c>
      <c r="G513" s="340" t="str">
        <f t="shared" si="17"/>
        <v/>
      </c>
      <c r="H513" s="341" t="str">
        <f t="shared" si="16"/>
        <v/>
      </c>
      <c r="I513" s="268"/>
      <c r="J513" s="2"/>
      <c r="K513" s="337"/>
      <c r="L513" s="33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9">
        <f>'[1]Prior Year'!U72</f>
        <v>5562145.589999998</v>
      </c>
      <c r="C514" s="339">
        <f>U71</f>
        <v>5433028.8799999999</v>
      </c>
      <c r="D514" s="339">
        <f>'[1]Prior Year'!U59</f>
        <v>238993</v>
      </c>
      <c r="E514" s="2">
        <f>U59</f>
        <v>236108</v>
      </c>
      <c r="F514" s="340">
        <f t="shared" si="17"/>
        <v>23.273257333896801</v>
      </c>
      <c r="G514" s="340">
        <f t="shared" si="17"/>
        <v>23.010778457316142</v>
      </c>
      <c r="H514" s="341" t="str">
        <f t="shared" si="16"/>
        <v/>
      </c>
      <c r="I514" s="268"/>
      <c r="J514" s="2"/>
      <c r="K514" s="337"/>
      <c r="L514" s="33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9">
        <f>'[1]Prior Year'!V72</f>
        <v>0</v>
      </c>
      <c r="C515" s="339">
        <f>V71</f>
        <v>0</v>
      </c>
      <c r="D515" s="339">
        <f>'[1]Prior Year'!V59</f>
        <v>0</v>
      </c>
      <c r="E515" s="2">
        <f>V59</f>
        <v>0</v>
      </c>
      <c r="F515" s="340" t="str">
        <f t="shared" si="17"/>
        <v/>
      </c>
      <c r="G515" s="340" t="str">
        <f t="shared" si="17"/>
        <v/>
      </c>
      <c r="H515" s="341" t="str">
        <f t="shared" si="16"/>
        <v/>
      </c>
      <c r="I515" s="268"/>
      <c r="J515" s="2"/>
      <c r="K515" s="337"/>
      <c r="L515" s="33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9">
        <f>'[1]Prior Year'!W72</f>
        <v>421344.82000000007</v>
      </c>
      <c r="C516" s="339">
        <f>W71</f>
        <v>358446.68000000005</v>
      </c>
      <c r="D516" s="339">
        <f>'[1]Prior Year'!W59</f>
        <v>1983</v>
      </c>
      <c r="E516" s="2">
        <f>W59</f>
        <v>1718</v>
      </c>
      <c r="F516" s="340">
        <f t="shared" si="17"/>
        <v>212.47847705496724</v>
      </c>
      <c r="G516" s="340">
        <f t="shared" si="17"/>
        <v>208.6418393480792</v>
      </c>
      <c r="H516" s="341" t="str">
        <f t="shared" si="16"/>
        <v/>
      </c>
      <c r="I516" s="268"/>
      <c r="J516" s="2"/>
      <c r="K516" s="337"/>
      <c r="L516" s="33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9">
        <f>'[1]Prior Year'!X72</f>
        <v>1247793.3500000001</v>
      </c>
      <c r="C517" s="339">
        <f>X71</f>
        <v>825772.42999999993</v>
      </c>
      <c r="D517" s="339">
        <f>'[1]Prior Year'!X59</f>
        <v>28963</v>
      </c>
      <c r="E517" s="2">
        <f>X59</f>
        <v>26535</v>
      </c>
      <c r="F517" s="340">
        <f t="shared" si="17"/>
        <v>43.082323999585682</v>
      </c>
      <c r="G517" s="340">
        <f t="shared" si="17"/>
        <v>31.120121726022234</v>
      </c>
      <c r="H517" s="341">
        <f t="shared" si="16"/>
        <v>-0.27765916884331698</v>
      </c>
      <c r="I517" s="268"/>
      <c r="J517" s="2"/>
      <c r="K517" s="337"/>
      <c r="L517" s="33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9">
        <f>'[1]Prior Year'!Y72</f>
        <v>3288957.45</v>
      </c>
      <c r="C518" s="339">
        <f>Y71</f>
        <v>3298394.98</v>
      </c>
      <c r="D518" s="339">
        <f>'[1]Prior Year'!Y59</f>
        <v>42814</v>
      </c>
      <c r="E518" s="2">
        <f>Y59</f>
        <v>36364</v>
      </c>
      <c r="F518" s="340">
        <f t="shared" si="17"/>
        <v>76.819672303452151</v>
      </c>
      <c r="G518" s="340">
        <f t="shared" si="17"/>
        <v>90.704954900451</v>
      </c>
      <c r="H518" s="341" t="str">
        <f t="shared" si="16"/>
        <v/>
      </c>
      <c r="I518" s="268"/>
      <c r="J518" s="2"/>
      <c r="K518" s="337"/>
      <c r="L518" s="33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9">
        <f>'[1]Prior Year'!Z72</f>
        <v>0</v>
      </c>
      <c r="C519" s="339">
        <f>Z71</f>
        <v>0</v>
      </c>
      <c r="D519" s="339">
        <f>'[1]Prior Year'!Z59</f>
        <v>0</v>
      </c>
      <c r="E519" s="2">
        <f>Z59</f>
        <v>0</v>
      </c>
      <c r="F519" s="340" t="str">
        <f t="shared" si="17"/>
        <v/>
      </c>
      <c r="G519" s="340" t="str">
        <f t="shared" si="17"/>
        <v/>
      </c>
      <c r="H519" s="341" t="str">
        <f t="shared" si="16"/>
        <v/>
      </c>
      <c r="I519" s="268"/>
      <c r="J519" s="2"/>
      <c r="K519" s="337"/>
      <c r="L519" s="33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9">
        <f>'[1]Prior Year'!AA72</f>
        <v>191330.52000000002</v>
      </c>
      <c r="C520" s="339">
        <f>AA71</f>
        <v>218428.69</v>
      </c>
      <c r="D520" s="339">
        <f>'[1]Prior Year'!AA59</f>
        <v>1325</v>
      </c>
      <c r="E520" s="2">
        <f>AA59</f>
        <v>1943</v>
      </c>
      <c r="F520" s="340">
        <f t="shared" si="17"/>
        <v>144.4003924528302</v>
      </c>
      <c r="G520" s="340">
        <f t="shared" si="17"/>
        <v>112.41826556870818</v>
      </c>
      <c r="H520" s="341" t="str">
        <f t="shared" si="16"/>
        <v/>
      </c>
      <c r="I520" s="268"/>
      <c r="J520" s="2"/>
      <c r="K520" s="337"/>
      <c r="L520" s="33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9">
        <f>'[1]Prior Year'!AB72</f>
        <v>1157822.9200000009</v>
      </c>
      <c r="C521" s="339">
        <f>AB71</f>
        <v>607647.43000000063</v>
      </c>
      <c r="D521" s="333" t="s">
        <v>529</v>
      </c>
      <c r="E521" s="333" t="s">
        <v>529</v>
      </c>
      <c r="F521" s="340" t="str">
        <f t="shared" si="17"/>
        <v/>
      </c>
      <c r="G521" s="340" t="str">
        <f t="shared" si="17"/>
        <v/>
      </c>
      <c r="H521" s="341" t="str">
        <f t="shared" si="16"/>
        <v/>
      </c>
      <c r="I521" s="268"/>
      <c r="J521" s="2"/>
      <c r="K521" s="337"/>
      <c r="L521" s="33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9">
        <f>'[1]Prior Year'!AC72</f>
        <v>1325828.19</v>
      </c>
      <c r="C522" s="339">
        <f>AC71</f>
        <v>1202453.0900000001</v>
      </c>
      <c r="D522" s="339">
        <f>'[1]Prior Year'!AC59</f>
        <v>6616</v>
      </c>
      <c r="E522" s="2">
        <f>AC59</f>
        <v>4277</v>
      </c>
      <c r="F522" s="340">
        <f t="shared" si="17"/>
        <v>200.39724758162032</v>
      </c>
      <c r="G522" s="340">
        <f t="shared" si="17"/>
        <v>281.14404722936638</v>
      </c>
      <c r="H522" s="341">
        <f t="shared" si="16"/>
        <v>0.40293367609681607</v>
      </c>
      <c r="I522" s="268"/>
      <c r="J522" s="2"/>
      <c r="K522" s="337"/>
      <c r="L522" s="33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9">
        <f>'[1]Prior Year'!AD72</f>
        <v>0</v>
      </c>
      <c r="C523" s="339">
        <f>AD71</f>
        <v>0</v>
      </c>
      <c r="D523" s="339">
        <f>'[1]Prior Year'!AD59</f>
        <v>0</v>
      </c>
      <c r="E523" s="2">
        <f>AD59</f>
        <v>0</v>
      </c>
      <c r="F523" s="340" t="str">
        <f t="shared" si="17"/>
        <v/>
      </c>
      <c r="G523" s="340" t="str">
        <f t="shared" si="17"/>
        <v/>
      </c>
      <c r="H523" s="341" t="str">
        <f t="shared" si="16"/>
        <v/>
      </c>
      <c r="I523" s="268"/>
      <c r="J523" s="2"/>
      <c r="K523" s="337"/>
      <c r="L523" s="33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9">
        <f>'[1]Prior Year'!AE72</f>
        <v>2307921.6400000006</v>
      </c>
      <c r="C524" s="339">
        <f>AE71</f>
        <v>2268969.92</v>
      </c>
      <c r="D524" s="339">
        <f>'[1]Prior Year'!AE59</f>
        <v>22468</v>
      </c>
      <c r="E524" s="2">
        <f>AE59</f>
        <v>18823</v>
      </c>
      <c r="F524" s="340">
        <f t="shared" si="17"/>
        <v>102.72038632722096</v>
      </c>
      <c r="G524" s="340">
        <f t="shared" si="17"/>
        <v>120.5424172554853</v>
      </c>
      <c r="H524" s="341" t="str">
        <f t="shared" si="16"/>
        <v/>
      </c>
      <c r="I524" s="268"/>
      <c r="J524" s="2"/>
      <c r="K524" s="337"/>
      <c r="L524" s="33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9">
        <f>'[1]Prior Year'!AF72</f>
        <v>0</v>
      </c>
      <c r="C525" s="339">
        <f>AF71</f>
        <v>0</v>
      </c>
      <c r="D525" s="339">
        <f>'[1]Prior Year'!AF59</f>
        <v>0</v>
      </c>
      <c r="E525" s="2">
        <f>AF59</f>
        <v>0</v>
      </c>
      <c r="F525" s="340" t="str">
        <f t="shared" si="17"/>
        <v/>
      </c>
      <c r="G525" s="340" t="str">
        <f t="shared" si="17"/>
        <v/>
      </c>
      <c r="H525" s="341" t="str">
        <f t="shared" si="16"/>
        <v/>
      </c>
      <c r="I525" s="268"/>
      <c r="J525" s="2"/>
      <c r="K525" s="337"/>
      <c r="L525" s="33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9">
        <f>'[1]Prior Year'!AG72</f>
        <v>8966174.4000000004</v>
      </c>
      <c r="C526" s="339">
        <f>AG71</f>
        <v>8369906.4999999991</v>
      </c>
      <c r="D526" s="339">
        <f>'[1]Prior Year'!AG59</f>
        <v>20224</v>
      </c>
      <c r="E526" s="2">
        <f>AG59</f>
        <v>16296</v>
      </c>
      <c r="F526" s="340">
        <f t="shared" si="17"/>
        <v>443.34327531645573</v>
      </c>
      <c r="G526" s="340">
        <f t="shared" si="17"/>
        <v>513.61723735886096</v>
      </c>
      <c r="H526" s="341" t="str">
        <f t="shared" si="16"/>
        <v/>
      </c>
      <c r="I526" s="268"/>
      <c r="J526" s="2"/>
      <c r="K526" s="337"/>
      <c r="L526" s="33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9">
        <f>'[1]Prior Year'!AH72</f>
        <v>0</v>
      </c>
      <c r="C527" s="339">
        <f>AH71</f>
        <v>0</v>
      </c>
      <c r="D527" s="339">
        <f>'[1]Prior Year'!AH59</f>
        <v>0</v>
      </c>
      <c r="E527" s="2">
        <f>AH59</f>
        <v>0</v>
      </c>
      <c r="F527" s="340" t="str">
        <f t="shared" si="17"/>
        <v/>
      </c>
      <c r="G527" s="340" t="str">
        <f t="shared" si="17"/>
        <v/>
      </c>
      <c r="H527" s="341" t="str">
        <f t="shared" si="16"/>
        <v/>
      </c>
      <c r="I527" s="268"/>
      <c r="J527" s="2"/>
      <c r="K527" s="337"/>
      <c r="L527" s="33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9">
        <f>'[1]Prior Year'!AI72</f>
        <v>0</v>
      </c>
      <c r="C528" s="339">
        <f>AI71</f>
        <v>0</v>
      </c>
      <c r="D528" s="339">
        <f>'[1]Prior Year'!AI59</f>
        <v>0</v>
      </c>
      <c r="E528" s="2">
        <f>AI59</f>
        <v>0</v>
      </c>
      <c r="F528" s="340" t="str">
        <f t="shared" ref="F528:G540" si="18">IF(B528=0,"",IF(D528=0,"",B528/D528))</f>
        <v/>
      </c>
      <c r="G528" s="340" t="str">
        <f t="shared" si="18"/>
        <v/>
      </c>
      <c r="H528" s="341" t="str">
        <f t="shared" si="16"/>
        <v/>
      </c>
      <c r="I528" s="268"/>
      <c r="J528" s="2"/>
      <c r="K528" s="337"/>
      <c r="L528" s="33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9">
        <f>'[1]Prior Year'!AJ72</f>
        <v>0</v>
      </c>
      <c r="C529" s="339">
        <f>AJ71</f>
        <v>0</v>
      </c>
      <c r="D529" s="339">
        <f>'[1]Prior Year'!AJ59</f>
        <v>0</v>
      </c>
      <c r="E529" s="2">
        <f>AJ59</f>
        <v>0</v>
      </c>
      <c r="F529" s="340" t="str">
        <f t="shared" si="18"/>
        <v/>
      </c>
      <c r="G529" s="340" t="str">
        <f t="shared" si="18"/>
        <v/>
      </c>
      <c r="H529" s="341" t="str">
        <f t="shared" si="16"/>
        <v/>
      </c>
      <c r="I529" s="268"/>
      <c r="J529" s="2"/>
      <c r="K529" s="337"/>
      <c r="L529" s="33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9">
        <f>'[1]Prior Year'!AK72</f>
        <v>0</v>
      </c>
      <c r="C530" s="339">
        <f>AK71</f>
        <v>0</v>
      </c>
      <c r="D530" s="339">
        <f>'[1]Prior Year'!AK59</f>
        <v>0</v>
      </c>
      <c r="E530" s="2">
        <f>AK59</f>
        <v>0</v>
      </c>
      <c r="F530" s="340" t="str">
        <f t="shared" si="18"/>
        <v/>
      </c>
      <c r="G530" s="340" t="str">
        <f t="shared" si="18"/>
        <v/>
      </c>
      <c r="H530" s="341" t="str">
        <f t="shared" si="16"/>
        <v/>
      </c>
      <c r="I530" s="268"/>
      <c r="J530" s="2"/>
      <c r="K530" s="337"/>
      <c r="L530" s="33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9">
        <f>'[1]Prior Year'!AL72</f>
        <v>0</v>
      </c>
      <c r="C531" s="339">
        <f>AL71</f>
        <v>0</v>
      </c>
      <c r="D531" s="339">
        <f>'[1]Prior Year'!AL59</f>
        <v>0</v>
      </c>
      <c r="E531" s="2">
        <f>AL59</f>
        <v>0</v>
      </c>
      <c r="F531" s="340" t="str">
        <f t="shared" si="18"/>
        <v/>
      </c>
      <c r="G531" s="340" t="str">
        <f t="shared" si="18"/>
        <v/>
      </c>
      <c r="H531" s="341" t="str">
        <f t="shared" si="16"/>
        <v/>
      </c>
      <c r="I531" s="268"/>
      <c r="J531" s="2"/>
      <c r="K531" s="337"/>
      <c r="L531" s="33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9">
        <f>'[1]Prior Year'!AM72</f>
        <v>0</v>
      </c>
      <c r="C532" s="339">
        <f>AM71</f>
        <v>0</v>
      </c>
      <c r="D532" s="339">
        <f>'[1]Prior Year'!AM59</f>
        <v>0</v>
      </c>
      <c r="E532" s="2">
        <f>AM59</f>
        <v>0</v>
      </c>
      <c r="F532" s="340" t="str">
        <f t="shared" si="18"/>
        <v/>
      </c>
      <c r="G532" s="340" t="str">
        <f t="shared" si="18"/>
        <v/>
      </c>
      <c r="H532" s="341" t="str">
        <f t="shared" si="16"/>
        <v/>
      </c>
      <c r="I532" s="268"/>
      <c r="J532" s="2"/>
      <c r="K532" s="337"/>
      <c r="L532" s="33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9">
        <f>'[1]Prior Year'!AN72</f>
        <v>0</v>
      </c>
      <c r="C533" s="339">
        <f>AN71</f>
        <v>0</v>
      </c>
      <c r="D533" s="339">
        <f>'[1]Prior Year'!AN59</f>
        <v>0</v>
      </c>
      <c r="E533" s="2">
        <f>AN59</f>
        <v>0</v>
      </c>
      <c r="F533" s="340" t="str">
        <f t="shared" si="18"/>
        <v/>
      </c>
      <c r="G533" s="340" t="str">
        <f t="shared" si="18"/>
        <v/>
      </c>
      <c r="H533" s="341" t="str">
        <f t="shared" si="16"/>
        <v/>
      </c>
      <c r="I533" s="268"/>
      <c r="J533" s="2"/>
      <c r="K533" s="337"/>
      <c r="L533" s="33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9">
        <f>'[1]Prior Year'!AO72</f>
        <v>0</v>
      </c>
      <c r="C534" s="339">
        <f>AO71</f>
        <v>0</v>
      </c>
      <c r="D534" s="339">
        <f>'[1]Prior Year'!AO59</f>
        <v>0</v>
      </c>
      <c r="E534" s="2">
        <f>AO59</f>
        <v>0</v>
      </c>
      <c r="F534" s="340" t="str">
        <f t="shared" si="18"/>
        <v/>
      </c>
      <c r="G534" s="340" t="str">
        <f t="shared" si="18"/>
        <v/>
      </c>
      <c r="H534" s="341" t="str">
        <f t="shared" si="16"/>
        <v/>
      </c>
      <c r="I534" s="268"/>
      <c r="J534" s="2"/>
      <c r="K534" s="337"/>
      <c r="L534" s="33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9">
        <f>'[1]Prior Year'!AP72</f>
        <v>23290777.740000002</v>
      </c>
      <c r="C535" s="339">
        <f>AP71</f>
        <v>28299327.280000001</v>
      </c>
      <c r="D535" s="339">
        <f>'[1]Prior Year'!AP59</f>
        <v>86676</v>
      </c>
      <c r="E535" s="2">
        <f>AP59</f>
        <v>76869</v>
      </c>
      <c r="F535" s="340">
        <f t="shared" si="18"/>
        <v>268.71080506714662</v>
      </c>
      <c r="G535" s="340">
        <f t="shared" si="18"/>
        <v>368.15006413508701</v>
      </c>
      <c r="H535" s="341">
        <f t="shared" si="16"/>
        <v>0.37006051559070019</v>
      </c>
      <c r="I535" s="268"/>
      <c r="J535" s="2"/>
      <c r="K535" s="337"/>
      <c r="L535" s="33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9">
        <f>'[1]Prior Year'!AQ72</f>
        <v>0</v>
      </c>
      <c r="C536" s="339">
        <f>AQ71</f>
        <v>0</v>
      </c>
      <c r="D536" s="339">
        <f>'[1]Prior Year'!AQ59</f>
        <v>0</v>
      </c>
      <c r="E536" s="2">
        <f>AQ59</f>
        <v>0</v>
      </c>
      <c r="F536" s="340" t="str">
        <f t="shared" si="18"/>
        <v/>
      </c>
      <c r="G536" s="340" t="str">
        <f t="shared" si="18"/>
        <v/>
      </c>
      <c r="H536" s="341" t="str">
        <f t="shared" si="16"/>
        <v/>
      </c>
      <c r="I536" s="268"/>
      <c r="J536" s="2"/>
      <c r="K536" s="337"/>
      <c r="L536" s="33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9">
        <f>'[1]Prior Year'!AR72</f>
        <v>0</v>
      </c>
      <c r="C537" s="339">
        <f>AR71</f>
        <v>0</v>
      </c>
      <c r="D537" s="339">
        <f>'[1]Prior Year'!AR59</f>
        <v>0</v>
      </c>
      <c r="E537" s="2">
        <f>AR59</f>
        <v>0</v>
      </c>
      <c r="F537" s="340" t="str">
        <f t="shared" si="18"/>
        <v/>
      </c>
      <c r="G537" s="340" t="str">
        <f t="shared" si="18"/>
        <v/>
      </c>
      <c r="H537" s="341" t="str">
        <f t="shared" si="16"/>
        <v/>
      </c>
      <c r="I537" s="268"/>
      <c r="J537" s="2"/>
      <c r="K537" s="337"/>
      <c r="L537" s="33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9">
        <f>'[1]Prior Year'!AS72</f>
        <v>0</v>
      </c>
      <c r="C538" s="339">
        <f>AS71</f>
        <v>0</v>
      </c>
      <c r="D538" s="339">
        <f>'[1]Prior Year'!AS59</f>
        <v>0</v>
      </c>
      <c r="E538" s="2">
        <f>AS59</f>
        <v>0</v>
      </c>
      <c r="F538" s="340" t="str">
        <f t="shared" si="18"/>
        <v/>
      </c>
      <c r="G538" s="340" t="str">
        <f t="shared" si="18"/>
        <v/>
      </c>
      <c r="H538" s="341" t="str">
        <f t="shared" si="16"/>
        <v/>
      </c>
      <c r="I538" s="268"/>
      <c r="J538" s="2"/>
      <c r="K538" s="337"/>
      <c r="L538" s="33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9">
        <f>'[1]Prior Year'!AT72</f>
        <v>0</v>
      </c>
      <c r="C539" s="339">
        <f>AT71</f>
        <v>0</v>
      </c>
      <c r="D539" s="339">
        <f>'[1]Prior Year'!AT59</f>
        <v>0</v>
      </c>
      <c r="E539" s="2">
        <f>AT59</f>
        <v>0</v>
      </c>
      <c r="F539" s="340" t="str">
        <f t="shared" si="18"/>
        <v/>
      </c>
      <c r="G539" s="340" t="str">
        <f t="shared" si="18"/>
        <v/>
      </c>
      <c r="H539" s="341" t="str">
        <f t="shared" si="16"/>
        <v/>
      </c>
      <c r="I539" s="268"/>
      <c r="J539" s="2"/>
      <c r="K539" s="337"/>
      <c r="L539" s="33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9">
        <f>'[1]Prior Year'!AU72</f>
        <v>0</v>
      </c>
      <c r="C540" s="339">
        <f>AU71</f>
        <v>0</v>
      </c>
      <c r="D540" s="339">
        <f>'[1]Prior Year'!AU59</f>
        <v>0</v>
      </c>
      <c r="E540" s="2">
        <f>AU59</f>
        <v>0</v>
      </c>
      <c r="F540" s="340" t="str">
        <f t="shared" si="18"/>
        <v/>
      </c>
      <c r="G540" s="340" t="str">
        <f t="shared" si="18"/>
        <v/>
      </c>
      <c r="H540" s="341" t="str">
        <f t="shared" si="16"/>
        <v/>
      </c>
      <c r="I540" s="268"/>
      <c r="J540" s="2"/>
      <c r="K540" s="337"/>
      <c r="L540" s="33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9">
        <f>'[1]Prior Year'!AV72</f>
        <v>363442.75</v>
      </c>
      <c r="C541" s="339">
        <f>AV71</f>
        <v>391281.55</v>
      </c>
      <c r="D541" s="333" t="s">
        <v>529</v>
      </c>
      <c r="E541" s="333" t="s">
        <v>529</v>
      </c>
      <c r="F541" s="340"/>
      <c r="G541" s="340"/>
      <c r="H541" s="341"/>
      <c r="I541" s="268"/>
      <c r="J541" s="2"/>
      <c r="K541" s="337"/>
      <c r="L541" s="33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9">
        <f>'[1]Prior Year'!AW72</f>
        <v>0</v>
      </c>
      <c r="C542" s="339">
        <f>AW71</f>
        <v>0</v>
      </c>
      <c r="D542" s="333" t="s">
        <v>529</v>
      </c>
      <c r="E542" s="333" t="s">
        <v>529</v>
      </c>
      <c r="F542" s="340"/>
      <c r="G542" s="340"/>
      <c r="H542" s="341"/>
      <c r="I542" s="268"/>
      <c r="J542" s="2"/>
      <c r="K542" s="337"/>
      <c r="L542" s="33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9">
        <f>'[1]Prior Year'!AX72</f>
        <v>0</v>
      </c>
      <c r="C543" s="339">
        <f>AX71</f>
        <v>0</v>
      </c>
      <c r="D543" s="333" t="s">
        <v>529</v>
      </c>
      <c r="E543" s="333" t="s">
        <v>529</v>
      </c>
      <c r="F543" s="340"/>
      <c r="G543" s="340"/>
      <c r="H543" s="341"/>
      <c r="I543" s="268"/>
      <c r="J543" s="2"/>
      <c r="K543" s="337"/>
      <c r="L543" s="33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9">
        <f>'[1]Prior Year'!AY72</f>
        <v>1377360.5799999996</v>
      </c>
      <c r="C544" s="339">
        <f>AY71</f>
        <v>1543443.27</v>
      </c>
      <c r="D544" s="339">
        <f>'[1]Prior Year'!AY59</f>
        <v>27338.623616236167</v>
      </c>
      <c r="E544" s="2">
        <f>AY59</f>
        <v>29601.114391143918</v>
      </c>
      <c r="F544" s="340">
        <f t="shared" ref="F544:G550" si="19">IF(B544=0,"",IF(D544=0,"",B544/D544))</f>
        <v>50.381489548800744</v>
      </c>
      <c r="G544" s="340">
        <f t="shared" si="19"/>
        <v>52.141390678918782</v>
      </c>
      <c r="H544" s="341" t="str">
        <f t="shared" si="16"/>
        <v/>
      </c>
      <c r="I544" s="268"/>
      <c r="J544" s="2"/>
      <c r="K544" s="337"/>
      <c r="L544" s="33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9">
        <f>'[1]Prior Year'!AZ72</f>
        <v>0</v>
      </c>
      <c r="C545" s="339">
        <f>AZ71</f>
        <v>0</v>
      </c>
      <c r="D545" s="339">
        <f>'[1]Prior Year'!AZ59</f>
        <v>0</v>
      </c>
      <c r="E545" s="2">
        <f>AZ59</f>
        <v>0</v>
      </c>
      <c r="F545" s="340" t="str">
        <f t="shared" si="19"/>
        <v/>
      </c>
      <c r="G545" s="340" t="str">
        <f t="shared" si="19"/>
        <v/>
      </c>
      <c r="H545" s="341" t="str">
        <f t="shared" si="16"/>
        <v/>
      </c>
      <c r="I545" s="268"/>
      <c r="J545" s="2"/>
      <c r="K545" s="337"/>
      <c r="L545" s="33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9">
        <f>'[1]Prior Year'!BA72</f>
        <v>323070.11</v>
      </c>
      <c r="C546" s="339">
        <f>BA71</f>
        <v>339064.04</v>
      </c>
      <c r="D546" s="339">
        <f>'[1]Prior Year'!BA59</f>
        <v>0</v>
      </c>
      <c r="E546" s="2">
        <f>BA59</f>
        <v>0</v>
      </c>
      <c r="F546" s="340" t="str">
        <f t="shared" si="19"/>
        <v/>
      </c>
      <c r="G546" s="340" t="str">
        <f t="shared" si="19"/>
        <v/>
      </c>
      <c r="H546" s="341" t="str">
        <f t="shared" si="16"/>
        <v/>
      </c>
      <c r="I546" s="268"/>
      <c r="J546" s="2"/>
      <c r="K546" s="337"/>
      <c r="L546" s="33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9">
        <f>'[1]Prior Year'!BB72</f>
        <v>0</v>
      </c>
      <c r="C547" s="339">
        <f>BB71</f>
        <v>0</v>
      </c>
      <c r="D547" s="333" t="s">
        <v>529</v>
      </c>
      <c r="E547" s="333" t="s">
        <v>529</v>
      </c>
      <c r="F547" s="340"/>
      <c r="G547" s="340"/>
      <c r="H547" s="341"/>
      <c r="I547" s="268"/>
      <c r="J547" s="2"/>
      <c r="K547" s="337"/>
      <c r="L547" s="33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9">
        <f>'[1]Prior Year'!BC72</f>
        <v>0</v>
      </c>
      <c r="C548" s="339">
        <f>BC71</f>
        <v>0</v>
      </c>
      <c r="D548" s="333" t="s">
        <v>529</v>
      </c>
      <c r="E548" s="333" t="s">
        <v>529</v>
      </c>
      <c r="F548" s="340"/>
      <c r="G548" s="340"/>
      <c r="H548" s="341"/>
      <c r="I548" s="268"/>
      <c r="J548" s="2"/>
      <c r="K548" s="337"/>
      <c r="L548" s="33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9">
        <f>'[1]Prior Year'!BD72</f>
        <v>495636.64999999997</v>
      </c>
      <c r="C549" s="339">
        <f>BD71</f>
        <v>618171.87999999989</v>
      </c>
      <c r="D549" s="333" t="s">
        <v>529</v>
      </c>
      <c r="E549" s="333" t="s">
        <v>529</v>
      </c>
      <c r="F549" s="340"/>
      <c r="G549" s="340"/>
      <c r="H549" s="341"/>
      <c r="I549" s="268"/>
      <c r="J549" s="2"/>
      <c r="K549" s="337"/>
      <c r="L549" s="33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9">
        <f>'[1]Prior Year'!BE72</f>
        <v>2393334.3699999996</v>
      </c>
      <c r="C550" s="339">
        <f>BE71</f>
        <v>2740797.0700000003</v>
      </c>
      <c r="D550" s="339">
        <f>'[1]Prior Year'!BE59</f>
        <v>185453.38000000003</v>
      </c>
      <c r="E550" s="2">
        <f>BE59</f>
        <v>241486.90000000002</v>
      </c>
      <c r="F550" s="340">
        <f t="shared" si="19"/>
        <v>12.905315449090219</v>
      </c>
      <c r="G550" s="340">
        <f t="shared" si="19"/>
        <v>11.349671845553527</v>
      </c>
      <c r="H550" s="341" t="str">
        <f t="shared" si="16"/>
        <v/>
      </c>
      <c r="I550" s="268"/>
      <c r="J550" s="2"/>
      <c r="K550" s="337"/>
      <c r="L550" s="33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9">
        <f>'[1]Prior Year'!BF72</f>
        <v>1969688.8900000004</v>
      </c>
      <c r="C551" s="339">
        <f>BF71</f>
        <v>2272145.6</v>
      </c>
      <c r="D551" s="333" t="s">
        <v>529</v>
      </c>
      <c r="E551" s="333" t="s">
        <v>529</v>
      </c>
      <c r="F551" s="340"/>
      <c r="G551" s="340"/>
      <c r="H551" s="341"/>
      <c r="I551" s="268"/>
      <c r="J551" s="325"/>
      <c r="K551" s="2"/>
      <c r="L551" s="2"/>
      <c r="M551" s="34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9">
        <f>'[1]Prior Year'!BG72</f>
        <v>0</v>
      </c>
      <c r="C552" s="339">
        <f>BG71</f>
        <v>0</v>
      </c>
      <c r="D552" s="333" t="s">
        <v>529</v>
      </c>
      <c r="E552" s="333" t="s">
        <v>529</v>
      </c>
      <c r="F552" s="340"/>
      <c r="G552" s="340"/>
      <c r="H552" s="341"/>
      <c r="I552" s="2"/>
      <c r="J552" s="325"/>
      <c r="K552" s="2"/>
      <c r="L552" s="2"/>
      <c r="M552" s="34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9">
        <f>'[1]Prior Year'!BH72</f>
        <v>5587099.209999999</v>
      </c>
      <c r="C553" s="339">
        <f>BH71</f>
        <v>8915511.1300000008</v>
      </c>
      <c r="D553" s="333" t="s">
        <v>529</v>
      </c>
      <c r="E553" s="333" t="s">
        <v>529</v>
      </c>
      <c r="F553" s="340"/>
      <c r="G553" s="340"/>
      <c r="H553" s="341"/>
      <c r="I553" s="2"/>
      <c r="J553" s="325"/>
      <c r="K553" s="2"/>
      <c r="L553" s="2"/>
      <c r="M553" s="34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9">
        <f>'[1]Prior Year'!BI72</f>
        <v>0</v>
      </c>
      <c r="C554" s="339">
        <f>BI71</f>
        <v>0</v>
      </c>
      <c r="D554" s="333" t="s">
        <v>529</v>
      </c>
      <c r="E554" s="333" t="s">
        <v>529</v>
      </c>
      <c r="F554" s="340"/>
      <c r="G554" s="340"/>
      <c r="H554" s="341"/>
      <c r="I554" s="2"/>
      <c r="J554" s="325"/>
      <c r="K554" s="2"/>
      <c r="L554" s="2"/>
      <c r="M554" s="34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9">
        <f>'[1]Prior Year'!BJ72</f>
        <v>875756.53</v>
      </c>
      <c r="C555" s="339">
        <f>BJ71</f>
        <v>846192.80000000016</v>
      </c>
      <c r="D555" s="333" t="s">
        <v>529</v>
      </c>
      <c r="E555" s="333" t="s">
        <v>529</v>
      </c>
      <c r="F555" s="340"/>
      <c r="G555" s="340"/>
      <c r="H555" s="341"/>
      <c r="I555" s="2"/>
      <c r="J555" s="325"/>
      <c r="K555" s="2"/>
      <c r="L555" s="2"/>
      <c r="M555" s="34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9">
        <f>'[1]Prior Year'!BK72</f>
        <v>2021383.5599999998</v>
      </c>
      <c r="C556" s="339">
        <f>BK71</f>
        <v>2093991.25</v>
      </c>
      <c r="D556" s="333" t="s">
        <v>529</v>
      </c>
      <c r="E556" s="333" t="s">
        <v>529</v>
      </c>
      <c r="F556" s="340"/>
      <c r="G556" s="340"/>
      <c r="H556" s="341"/>
      <c r="I556" s="2"/>
      <c r="J556" s="325"/>
      <c r="K556" s="2"/>
      <c r="L556" s="2"/>
      <c r="M556" s="34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9">
        <f>'[1]Prior Year'!BL72</f>
        <v>1624689.7300000002</v>
      </c>
      <c r="C557" s="339">
        <f>BL71</f>
        <v>1660266.84</v>
      </c>
      <c r="D557" s="333" t="s">
        <v>529</v>
      </c>
      <c r="E557" s="333" t="s">
        <v>529</v>
      </c>
      <c r="F557" s="340"/>
      <c r="G557" s="340"/>
      <c r="H557" s="341"/>
      <c r="I557" s="2"/>
      <c r="J557" s="325"/>
      <c r="K557" s="2"/>
      <c r="L557" s="2"/>
      <c r="M557" s="34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9">
        <f>'[1]Prior Year'!BM72</f>
        <v>0</v>
      </c>
      <c r="C558" s="339">
        <f>BM71</f>
        <v>0</v>
      </c>
      <c r="D558" s="333" t="s">
        <v>529</v>
      </c>
      <c r="E558" s="333" t="s">
        <v>529</v>
      </c>
      <c r="F558" s="340"/>
      <c r="G558" s="340"/>
      <c r="H558" s="341"/>
      <c r="I558" s="2"/>
      <c r="J558" s="325"/>
      <c r="K558" s="2"/>
      <c r="L558" s="2"/>
      <c r="M558" s="34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9">
        <f>'[1]Prior Year'!BN72</f>
        <v>4355792.4999999991</v>
      </c>
      <c r="C559" s="339">
        <f>BN71</f>
        <v>4088869.56</v>
      </c>
      <c r="D559" s="333" t="s">
        <v>529</v>
      </c>
      <c r="E559" s="333" t="s">
        <v>529</v>
      </c>
      <c r="F559" s="340"/>
      <c r="G559" s="340"/>
      <c r="H559" s="341"/>
      <c r="I559" s="2"/>
      <c r="J559" s="325"/>
      <c r="K559" s="2"/>
      <c r="L559" s="2"/>
      <c r="M559" s="34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9">
        <f>'[1]Prior Year'!BO72</f>
        <v>242456.45</v>
      </c>
      <c r="C560" s="339">
        <f>BO71</f>
        <v>207873.61000000002</v>
      </c>
      <c r="D560" s="333" t="s">
        <v>529</v>
      </c>
      <c r="E560" s="333" t="s">
        <v>529</v>
      </c>
      <c r="F560" s="340"/>
      <c r="G560" s="340"/>
      <c r="H560" s="341"/>
      <c r="I560" s="2"/>
      <c r="J560" s="325"/>
      <c r="K560" s="2"/>
      <c r="L560" s="2"/>
      <c r="M560" s="34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9">
        <f>'[1]Prior Year'!BP72</f>
        <v>236391.72999999998</v>
      </c>
      <c r="C561" s="339">
        <f>BP71</f>
        <v>275628.18</v>
      </c>
      <c r="D561" s="333" t="s">
        <v>529</v>
      </c>
      <c r="E561" s="333" t="s">
        <v>529</v>
      </c>
      <c r="F561" s="340"/>
      <c r="G561" s="340"/>
      <c r="H561" s="341"/>
      <c r="I561" s="2"/>
      <c r="J561" s="325"/>
      <c r="K561" s="2"/>
      <c r="L561" s="2"/>
      <c r="M561" s="34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9">
        <f>'[1]Prior Year'!BQ72</f>
        <v>0</v>
      </c>
      <c r="C562" s="339">
        <f>BQ71</f>
        <v>0</v>
      </c>
      <c r="D562" s="333" t="s">
        <v>529</v>
      </c>
      <c r="E562" s="333" t="s">
        <v>529</v>
      </c>
      <c r="F562" s="340"/>
      <c r="G562" s="340"/>
      <c r="H562" s="341"/>
      <c r="I562" s="2"/>
      <c r="J562" s="325"/>
      <c r="K562" s="2"/>
      <c r="L562" s="2"/>
      <c r="M562" s="34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9">
        <f>'[1]Prior Year'!BR72</f>
        <v>1200613.9700000002</v>
      </c>
      <c r="C563" s="339">
        <f>BR71</f>
        <v>863738.02999999991</v>
      </c>
      <c r="D563" s="333" t="s">
        <v>529</v>
      </c>
      <c r="E563" s="333" t="s">
        <v>529</v>
      </c>
      <c r="F563" s="340"/>
      <c r="G563" s="340"/>
      <c r="H563" s="341"/>
      <c r="I563" s="2"/>
      <c r="J563" s="325"/>
      <c r="K563" s="2"/>
      <c r="L563" s="2"/>
      <c r="M563" s="34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9">
        <f>'[1]Prior Year'!BS72</f>
        <v>0</v>
      </c>
      <c r="C564" s="339">
        <f>BS71</f>
        <v>0</v>
      </c>
      <c r="D564" s="333" t="s">
        <v>529</v>
      </c>
      <c r="E564" s="333" t="s">
        <v>529</v>
      </c>
      <c r="F564" s="340"/>
      <c r="G564" s="340"/>
      <c r="H564" s="341"/>
      <c r="I564" s="2"/>
      <c r="J564" s="325"/>
      <c r="K564" s="2"/>
      <c r="L564" s="2"/>
      <c r="M564" s="34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9">
        <f>'[1]Prior Year'!BT72</f>
        <v>0</v>
      </c>
      <c r="C565" s="339">
        <f>BT71</f>
        <v>0</v>
      </c>
      <c r="D565" s="333" t="s">
        <v>529</v>
      </c>
      <c r="E565" s="333" t="s">
        <v>529</v>
      </c>
      <c r="F565" s="340"/>
      <c r="G565" s="340"/>
      <c r="H565" s="341"/>
      <c r="I565" s="2"/>
      <c r="J565" s="325"/>
      <c r="K565" s="2"/>
      <c r="L565" s="2"/>
      <c r="M565" s="34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9">
        <f>'[1]Prior Year'!BU72</f>
        <v>0</v>
      </c>
      <c r="C566" s="339">
        <f>BU71</f>
        <v>0</v>
      </c>
      <c r="D566" s="333" t="s">
        <v>529</v>
      </c>
      <c r="E566" s="333" t="s">
        <v>529</v>
      </c>
      <c r="F566" s="340"/>
      <c r="G566" s="340"/>
      <c r="H566" s="341"/>
      <c r="I566" s="2"/>
      <c r="J566" s="325"/>
      <c r="K566" s="2"/>
      <c r="L566" s="2"/>
      <c r="M566" s="34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9">
        <f>'[1]Prior Year'!BV72</f>
        <v>2007378.3499999999</v>
      </c>
      <c r="C567" s="339">
        <f>BV71</f>
        <v>2349912.88</v>
      </c>
      <c r="D567" s="333" t="s">
        <v>529</v>
      </c>
      <c r="E567" s="333" t="s">
        <v>529</v>
      </c>
      <c r="F567" s="340"/>
      <c r="G567" s="340"/>
      <c r="H567" s="341"/>
      <c r="I567" s="2"/>
      <c r="J567" s="325"/>
      <c r="K567" s="2"/>
      <c r="L567" s="2"/>
      <c r="M567" s="34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9">
        <f>'[1]Prior Year'!BW72</f>
        <v>291643.48000000004</v>
      </c>
      <c r="C568" s="339">
        <f>BW71</f>
        <v>328482.91000000003</v>
      </c>
      <c r="D568" s="333" t="s">
        <v>529</v>
      </c>
      <c r="E568" s="333" t="s">
        <v>529</v>
      </c>
      <c r="F568" s="340"/>
      <c r="G568" s="340"/>
      <c r="H568" s="341"/>
      <c r="I568" s="2"/>
      <c r="J568" s="325"/>
      <c r="K568" s="2"/>
      <c r="L568" s="2"/>
      <c r="M568" s="34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9">
        <f>'[1]Prior Year'!BX72</f>
        <v>0</v>
      </c>
      <c r="C569" s="339">
        <f>BX71</f>
        <v>0</v>
      </c>
      <c r="D569" s="333" t="s">
        <v>529</v>
      </c>
      <c r="E569" s="333" t="s">
        <v>529</v>
      </c>
      <c r="F569" s="340"/>
      <c r="G569" s="340"/>
      <c r="H569" s="341"/>
      <c r="I569" s="2"/>
      <c r="J569" s="325"/>
      <c r="K569" s="2"/>
      <c r="L569" s="2"/>
      <c r="M569" s="34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9">
        <f>'[1]Prior Year'!BY72</f>
        <v>3823570.53</v>
      </c>
      <c r="C570" s="339">
        <f>BY71</f>
        <v>4076450.5900000003</v>
      </c>
      <c r="D570" s="333" t="s">
        <v>529</v>
      </c>
      <c r="E570" s="333" t="s">
        <v>529</v>
      </c>
      <c r="F570" s="340"/>
      <c r="G570" s="340"/>
      <c r="H570" s="341"/>
      <c r="I570" s="2"/>
      <c r="J570" s="325"/>
      <c r="K570" s="2"/>
      <c r="L570" s="2"/>
      <c r="M570" s="34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9">
        <f>'[1]Prior Year'!BZ72</f>
        <v>0</v>
      </c>
      <c r="C571" s="339">
        <f>BZ71</f>
        <v>0</v>
      </c>
      <c r="D571" s="333" t="s">
        <v>529</v>
      </c>
      <c r="E571" s="333" t="s">
        <v>529</v>
      </c>
      <c r="F571" s="340"/>
      <c r="G571" s="340"/>
      <c r="H571" s="341"/>
      <c r="I571" s="2"/>
      <c r="J571" s="325"/>
      <c r="K571" s="2"/>
      <c r="L571" s="2"/>
      <c r="M571" s="34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9">
        <f>'[1]Prior Year'!CA72</f>
        <v>320479.15999999997</v>
      </c>
      <c r="C572" s="339">
        <f>CA71</f>
        <v>344159.22000000003</v>
      </c>
      <c r="D572" s="333" t="s">
        <v>529</v>
      </c>
      <c r="E572" s="333" t="s">
        <v>529</v>
      </c>
      <c r="F572" s="340"/>
      <c r="G572" s="340"/>
      <c r="H572" s="341"/>
      <c r="I572" s="2"/>
      <c r="J572" s="325"/>
      <c r="K572" s="2"/>
      <c r="L572" s="2"/>
      <c r="M572" s="34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9">
        <f>'[1]Prior Year'!CB72</f>
        <v>0</v>
      </c>
      <c r="C573" s="339">
        <f>CB71</f>
        <v>0</v>
      </c>
      <c r="D573" s="333" t="s">
        <v>529</v>
      </c>
      <c r="E573" s="333" t="s">
        <v>529</v>
      </c>
      <c r="F573" s="340"/>
      <c r="G573" s="340"/>
      <c r="H573" s="341"/>
      <c r="I573" s="2"/>
      <c r="J573" s="325"/>
      <c r="K573" s="2"/>
      <c r="L573" s="2"/>
      <c r="M573" s="34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9">
        <f>'[1]Prior Year'!CC72</f>
        <v>1401789.9200000002</v>
      </c>
      <c r="C574" s="339">
        <f>CC71</f>
        <v>4129930.35</v>
      </c>
      <c r="D574" s="333" t="s">
        <v>529</v>
      </c>
      <c r="E574" s="333" t="s">
        <v>529</v>
      </c>
      <c r="F574" s="340"/>
      <c r="G574" s="340"/>
      <c r="H574" s="341"/>
      <c r="I574" s="2"/>
      <c r="J574" s="325"/>
      <c r="K574" s="2"/>
      <c r="L574" s="2"/>
      <c r="M574" s="34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9">
        <f>'[1]Prior Year'!CD72</f>
        <v>313579.89999999991</v>
      </c>
      <c r="C575" s="339">
        <f>CD71</f>
        <v>-3421288.0300000003</v>
      </c>
      <c r="D575" s="333" t="s">
        <v>529</v>
      </c>
      <c r="E575" s="333" t="s">
        <v>529</v>
      </c>
      <c r="F575" s="340"/>
      <c r="G575" s="340"/>
      <c r="H575" s="34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2"/>
      <c r="B612" s="2"/>
      <c r="C612" s="333" t="s">
        <v>589</v>
      </c>
      <c r="D612" s="2">
        <f>CE76-(BE76+CD76)</f>
        <v>213322.40000000002</v>
      </c>
      <c r="E612" s="2">
        <f>SUM(C624:D647)+SUM(C668:D713)</f>
        <v>95174562.850905836</v>
      </c>
      <c r="F612" s="2">
        <f>CE64-(AX64+BD64+BE64+BG64+BJ64+BN64+BP64+BQ64+CB64+CC64+CD64)</f>
        <v>13032921.609999999</v>
      </c>
      <c r="G612" s="2">
        <f>CE77-(AX77+AY77+BD77+BE77+BG77+BJ77+BN77+BP77+BQ77+CB77+CC77+CD77)</f>
        <v>29601.114391143921</v>
      </c>
      <c r="H612" s="332">
        <f>CE60-(AX60+AY60+AZ60+BD60+BE60+BG60+BJ60+BN60+BO60+BP60+BQ60+BR60+CB60+CC60+CD60)</f>
        <v>504.45896473908067</v>
      </c>
      <c r="I612" s="2">
        <f>CE78-(AX78+AY78+AZ78+BD78+BE78+BF78+BG78+BJ78+BN78+BO78+BP78+BQ78+BR78+CB78+CC78+CD78)</f>
        <v>171713.11000000002</v>
      </c>
      <c r="J612" s="2">
        <f>CE79-(AX79+AY79+AZ79+BA79+BD79+BE79+BF79+BG79+BJ79+BN79+BO79+BP79+BQ79+BR79+CB79+CC79+CD79)</f>
        <v>269916</v>
      </c>
      <c r="K612" s="2">
        <f>CE75-(AW75+AX75+AY75+AZ75+BA75+BB75+BC75+BD75+BE75+BF75+BG75+BH75+BI75+BJ75+BK75+BL75+BM75+BN75+BO75+BP75+BQ75+BR75+BS75+BT75+BU75+BV75+BW75+BX75+CB75+CC75+CD75)</f>
        <v>250522862.57999998</v>
      </c>
      <c r="L612" s="332">
        <f>CE80-(AW80+AX80+AY80+AZ80+BA80+BB80+BC80+BD80+BE80+BF80+BG80+BH80+BI80+BJ80+BK80+BL80+BM80+BN80+BO80+BP80+BQ80+BR80+BS80+BT80+BU80+BV80+BW80+BX80+BY80+BZ80+CA80+CB80+CC80+CD80)</f>
        <v>129.0403299066092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2"/>
      <c r="B613" s="2"/>
      <c r="C613" s="333" t="s">
        <v>590</v>
      </c>
      <c r="D613" s="333" t="s">
        <v>591</v>
      </c>
      <c r="E613" s="336" t="s">
        <v>592</v>
      </c>
      <c r="F613" s="333" t="s">
        <v>593</v>
      </c>
      <c r="G613" s="333" t="s">
        <v>594</v>
      </c>
      <c r="H613" s="333" t="s">
        <v>595</v>
      </c>
      <c r="I613" s="333" t="s">
        <v>596</v>
      </c>
      <c r="J613" s="333" t="s">
        <v>597</v>
      </c>
      <c r="K613" s="333" t="s">
        <v>598</v>
      </c>
      <c r="L613" s="33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2">
        <v>8430</v>
      </c>
      <c r="B614" s="336" t="s">
        <v>140</v>
      </c>
      <c r="C614" s="2">
        <f>BE71</f>
        <v>2740797.0700000003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5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2"/>
      <c r="B615" s="336" t="s">
        <v>601</v>
      </c>
      <c r="C615" s="343">
        <f>CD69-CD70</f>
        <v>-3421288.0300000003</v>
      </c>
      <c r="D615" s="344">
        <f>SUM(C614:C615)</f>
        <v>-680490.96</v>
      </c>
      <c r="E615" s="2"/>
      <c r="F615" s="2"/>
      <c r="G615" s="2"/>
      <c r="H615" s="2"/>
      <c r="I615" s="2"/>
      <c r="J615" s="2"/>
      <c r="K615" s="2"/>
      <c r="L615" s="2"/>
      <c r="M615" s="2"/>
      <c r="N615" s="325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2">
        <v>8310</v>
      </c>
      <c r="B616" s="34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5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2">
        <v>8510</v>
      </c>
      <c r="B617" s="345" t="s">
        <v>145</v>
      </c>
      <c r="C617" s="2">
        <f>BJ71</f>
        <v>846192.80000000016</v>
      </c>
      <c r="D617" s="2">
        <f>(D615/D612)*BJ76</f>
        <v>-6320.9153714752874</v>
      </c>
      <c r="E617" s="2"/>
      <c r="F617" s="2"/>
      <c r="G617" s="2"/>
      <c r="H617" s="2"/>
      <c r="I617" s="2"/>
      <c r="J617" s="2"/>
      <c r="K617" s="2"/>
      <c r="L617" s="2"/>
      <c r="M617" s="2"/>
      <c r="N617" s="325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2">
        <v>8470</v>
      </c>
      <c r="B618" s="345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5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2">
        <v>8610</v>
      </c>
      <c r="B619" s="345" t="s">
        <v>608</v>
      </c>
      <c r="C619" s="2">
        <f>BN71</f>
        <v>4088869.56</v>
      </c>
      <c r="D619" s="2">
        <f>(D615/D612)*BN76</f>
        <v>-17169.985862712962</v>
      </c>
      <c r="E619" s="2"/>
      <c r="F619" s="2"/>
      <c r="G619" s="2"/>
      <c r="H619" s="2"/>
      <c r="I619" s="2"/>
      <c r="J619" s="2"/>
      <c r="K619" s="2"/>
      <c r="L619" s="2"/>
      <c r="M619" s="2"/>
      <c r="N619" s="325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2">
        <v>8790</v>
      </c>
      <c r="B620" s="345" t="s">
        <v>610</v>
      </c>
      <c r="C620" s="2">
        <f>CC71</f>
        <v>4129930.35</v>
      </c>
      <c r="D620" s="2">
        <f>(D615/D612)*CC76</f>
        <v>-58221.771253644249</v>
      </c>
      <c r="E620" s="2"/>
      <c r="F620" s="2"/>
      <c r="G620" s="2"/>
      <c r="H620" s="2"/>
      <c r="I620" s="2"/>
      <c r="J620" s="2"/>
      <c r="K620" s="2"/>
      <c r="L620" s="2"/>
      <c r="M620" s="2"/>
      <c r="N620" s="325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2">
        <v>8630</v>
      </c>
      <c r="B621" s="345" t="s">
        <v>612</v>
      </c>
      <c r="C621" s="2">
        <f>BP71</f>
        <v>275628.18</v>
      </c>
      <c r="D621" s="2">
        <f>(D615/D612)*BP76</f>
        <v>-9085.498418000172</v>
      </c>
      <c r="E621" s="2"/>
      <c r="F621" s="2"/>
      <c r="G621" s="2"/>
      <c r="H621" s="2"/>
      <c r="I621" s="2"/>
      <c r="J621" s="2"/>
      <c r="K621" s="2"/>
      <c r="L621" s="2"/>
      <c r="M621" s="2"/>
      <c r="N621" s="325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2">
        <v>8770</v>
      </c>
      <c r="B622" s="33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5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2">
        <v>8640</v>
      </c>
      <c r="B623" s="345" t="s">
        <v>616</v>
      </c>
      <c r="C623" s="2">
        <f>BQ71</f>
        <v>0</v>
      </c>
      <c r="D623" s="2">
        <f>(D615/D612)*BQ76</f>
        <v>0</v>
      </c>
      <c r="E623" s="2">
        <f>SUM(C616:D623)</f>
        <v>9249822.7190941684</v>
      </c>
      <c r="F623" s="2"/>
      <c r="G623" s="2"/>
      <c r="H623" s="2"/>
      <c r="I623" s="2"/>
      <c r="J623" s="2"/>
      <c r="K623" s="2"/>
      <c r="L623" s="2"/>
      <c r="M623" s="2"/>
      <c r="N623" s="325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2">
        <v>8420</v>
      </c>
      <c r="B624" s="345" t="s">
        <v>139</v>
      </c>
      <c r="C624" s="2">
        <f>BD71</f>
        <v>618171.87999999989</v>
      </c>
      <c r="D624" s="2">
        <f>(D615/D612)*BD76</f>
        <v>-10853.281244853799</v>
      </c>
      <c r="E624" s="2">
        <f>(E623/E612)*SUM(C624:D624)</f>
        <v>59024.062777088133</v>
      </c>
      <c r="F624" s="2">
        <f>SUM(C624:E624)</f>
        <v>666342.66153223428</v>
      </c>
      <c r="G624" s="2"/>
      <c r="H624" s="2"/>
      <c r="I624" s="2"/>
      <c r="J624" s="2"/>
      <c r="K624" s="2"/>
      <c r="L624" s="2"/>
      <c r="M624" s="2"/>
      <c r="N624" s="325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2">
        <v>8320</v>
      </c>
      <c r="B625" s="345" t="s">
        <v>135</v>
      </c>
      <c r="C625" s="2">
        <f>AY71</f>
        <v>1543443.27</v>
      </c>
      <c r="D625" s="2">
        <f>(D615/D612)*AY76</f>
        <v>-16077.167700734661</v>
      </c>
      <c r="E625" s="2">
        <f>(E623/E612)*SUM(C625:D625)</f>
        <v>148441.61349660024</v>
      </c>
      <c r="F625" s="2">
        <f>(F624/F612)*AY64</f>
        <v>32515.682587632164</v>
      </c>
      <c r="G625" s="2">
        <f>SUM(C625:F625)</f>
        <v>1708323.3983834977</v>
      </c>
      <c r="H625" s="2"/>
      <c r="I625" s="2"/>
      <c r="J625" s="2"/>
      <c r="K625" s="2"/>
      <c r="L625" s="2"/>
      <c r="M625" s="2"/>
      <c r="N625" s="325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2">
        <v>8650</v>
      </c>
      <c r="B626" s="345" t="s">
        <v>152</v>
      </c>
      <c r="C626" s="2">
        <f>BR71</f>
        <v>863738.02999999991</v>
      </c>
      <c r="D626" s="2">
        <f>(D615/D612)*BR76</f>
        <v>-6791.7222852658697</v>
      </c>
      <c r="E626" s="2">
        <f>(E623/E612)*SUM(C626:D626)</f>
        <v>83284.873486216035</v>
      </c>
      <c r="F626" s="2">
        <f>(F624/F612)*BR64</f>
        <v>63.489293881933925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5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2">
        <v>8620</v>
      </c>
      <c r="B627" s="336" t="s">
        <v>621</v>
      </c>
      <c r="C627" s="2">
        <f>BO71</f>
        <v>207873.61000000002</v>
      </c>
      <c r="D627" s="2">
        <f>(D615/D612)*BO76</f>
        <v>-890.86148664744053</v>
      </c>
      <c r="E627" s="2">
        <f>(E623/E612)*SUM(C627:D627)</f>
        <v>20116.233500946848</v>
      </c>
      <c r="F627" s="2">
        <f>(F624/F612)*BO64</f>
        <v>316.18719537698115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5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2">
        <v>8330</v>
      </c>
      <c r="B628" s="345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1167709.8397045082</v>
      </c>
      <c r="I628" s="2"/>
      <c r="J628" s="2"/>
      <c r="K628" s="2"/>
      <c r="L628" s="2"/>
      <c r="M628" s="2"/>
      <c r="N628" s="325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2">
        <v>8460</v>
      </c>
      <c r="B629" s="345" t="s">
        <v>141</v>
      </c>
      <c r="C629" s="2">
        <f>BF71</f>
        <v>2272145.6</v>
      </c>
      <c r="D629" s="2">
        <f>(D615/D612)*BF76</f>
        <v>-7320.9693553044581</v>
      </c>
      <c r="E629" s="2">
        <f>(E623/E612)*SUM(C629:D629)</f>
        <v>220113.71206526092</v>
      </c>
      <c r="F629" s="2">
        <f>(F624/F612)*BF64</f>
        <v>9327.6932856119856</v>
      </c>
      <c r="G629" s="2">
        <f>(G625/G612)*BF77</f>
        <v>0</v>
      </c>
      <c r="H629" s="2">
        <f>(H628/H612)*BF60</f>
        <v>67335.84831975626</v>
      </c>
      <c r="I629" s="2">
        <f>SUM(C629:H629)</f>
        <v>2561601.8843153249</v>
      </c>
      <c r="J629" s="2"/>
      <c r="K629" s="2"/>
      <c r="L629" s="2"/>
      <c r="M629" s="2"/>
      <c r="N629" s="325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2">
        <v>8350</v>
      </c>
      <c r="B630" s="345" t="s">
        <v>625</v>
      </c>
      <c r="C630" s="2">
        <f>BA71</f>
        <v>339064.04</v>
      </c>
      <c r="D630" s="2">
        <f>(D615/D612)*BA76</f>
        <v>-4659.9325681578675</v>
      </c>
      <c r="E630" s="2">
        <f>(E623/E612)*SUM(C630:D630)</f>
        <v>32500.056923056523</v>
      </c>
      <c r="F630" s="2">
        <f>(F624/F612)*BA64</f>
        <v>2851.4028748287178</v>
      </c>
      <c r="G630" s="2">
        <f>(G625/G612)*BA77</f>
        <v>0</v>
      </c>
      <c r="H630" s="2">
        <f>(H628/H612)*BA60</f>
        <v>3335.7274980124171</v>
      </c>
      <c r="I630" s="2">
        <f>(I629/I612)*BA78</f>
        <v>21792.242005439595</v>
      </c>
      <c r="J630" s="2">
        <f>SUM(C630:I630)</f>
        <v>394883.53673317941</v>
      </c>
      <c r="K630" s="2"/>
      <c r="L630" s="2"/>
      <c r="M630" s="2"/>
      <c r="N630" s="325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2">
        <v>8200</v>
      </c>
      <c r="B631" s="34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5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2">
        <v>8360</v>
      </c>
      <c r="B632" s="345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5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2">
        <v>8370</v>
      </c>
      <c r="B633" s="34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5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2">
        <v>8490</v>
      </c>
      <c r="B634" s="345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5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2">
        <v>8530</v>
      </c>
      <c r="B635" s="345" t="s">
        <v>635</v>
      </c>
      <c r="C635" s="2">
        <f>BK71</f>
        <v>2093991.25</v>
      </c>
      <c r="D635" s="2">
        <f>(D615/D612)*BK76</f>
        <v>-8722.958911581718</v>
      </c>
      <c r="E635" s="2">
        <f>(E623/E612)*SUM(C635:D635)</f>
        <v>202662.99562134259</v>
      </c>
      <c r="F635" s="2">
        <f>(F624/F612)*BK64</f>
        <v>488.83555698165628</v>
      </c>
      <c r="G635" s="2">
        <f>(G625/G612)*BK77</f>
        <v>0</v>
      </c>
      <c r="H635" s="2">
        <f>(H628/H612)*BK60</f>
        <v>46093.686749221946</v>
      </c>
      <c r="I635" s="2">
        <f>(I629/I612)*BK78</f>
        <v>40793.043423768024</v>
      </c>
      <c r="J635" s="2">
        <f>(J630/J612)*BK79</f>
        <v>0</v>
      </c>
      <c r="K635" s="2"/>
      <c r="L635" s="2"/>
      <c r="M635" s="2"/>
      <c r="N635" s="325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2">
        <v>8480</v>
      </c>
      <c r="B636" s="345" t="s">
        <v>637</v>
      </c>
      <c r="C636" s="2">
        <f>BH71</f>
        <v>8915511.1300000008</v>
      </c>
      <c r="D636" s="2">
        <f>(D615/D612)*BH76</f>
        <v>-10377.657484123562</v>
      </c>
      <c r="E636" s="2">
        <f>(E623/E612)*SUM(C636:D636)</f>
        <v>865471.85974134819</v>
      </c>
      <c r="F636" s="2">
        <f>(F624/F612)*BH64</f>
        <v>19258.326262288163</v>
      </c>
      <c r="G636" s="2">
        <f>(G625/G612)*BH77</f>
        <v>0</v>
      </c>
      <c r="H636" s="2">
        <f>(H628/H612)*BH60</f>
        <v>192.0665982280282</v>
      </c>
      <c r="I636" s="2">
        <f>(I629/I612)*BH78</f>
        <v>48531.26521377606</v>
      </c>
      <c r="J636" s="2">
        <f>(J630/J612)*BH79</f>
        <v>0</v>
      </c>
      <c r="K636" s="2"/>
      <c r="L636" s="2"/>
      <c r="M636" s="2"/>
      <c r="N636" s="325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2">
        <v>8560</v>
      </c>
      <c r="B637" s="345" t="s">
        <v>147</v>
      </c>
      <c r="C637" s="2">
        <f>BL71</f>
        <v>1660266.84</v>
      </c>
      <c r="D637" s="2">
        <f>(D615/D612)*BL76</f>
        <v>-6131.0167633178698</v>
      </c>
      <c r="E637" s="2">
        <f>(E623/E612)*SUM(C637:D637)</f>
        <v>160762.10554505925</v>
      </c>
      <c r="F637" s="2">
        <f>(F624/F612)*BL64</f>
        <v>870.16244679985641</v>
      </c>
      <c r="G637" s="2">
        <f>(G625/G612)*BL77</f>
        <v>0</v>
      </c>
      <c r="H637" s="2">
        <f>(H628/H612)*BL60</f>
        <v>53479.917995194861</v>
      </c>
      <c r="I637" s="2">
        <f>(I629/I612)*BL78</f>
        <v>28671.788505825356</v>
      </c>
      <c r="J637" s="2">
        <f>(J630/J612)*BL79</f>
        <v>0</v>
      </c>
      <c r="K637" s="2"/>
      <c r="L637" s="2"/>
      <c r="M637" s="2"/>
      <c r="N637" s="325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2">
        <v>8590</v>
      </c>
      <c r="B638" s="34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5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2">
        <v>8660</v>
      </c>
      <c r="B639" s="345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5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2">
        <v>8670</v>
      </c>
      <c r="B640" s="345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5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2">
        <v>8680</v>
      </c>
      <c r="B641" s="34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5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2">
        <v>8690</v>
      </c>
      <c r="B642" s="345" t="s">
        <v>648</v>
      </c>
      <c r="C642" s="2">
        <f>BV71</f>
        <v>2349912.88</v>
      </c>
      <c r="D642" s="2">
        <f>(D615/D612)*BV76</f>
        <v>-14500.527568334126</v>
      </c>
      <c r="E642" s="2">
        <f>(E623/E612)*SUM(C642:D642)</f>
        <v>226973.98957131093</v>
      </c>
      <c r="F642" s="2">
        <f>(F624/F612)*BV64</f>
        <v>390.99103832241428</v>
      </c>
      <c r="G642" s="2">
        <f>(G625/G612)*BV77</f>
        <v>0</v>
      </c>
      <c r="H642" s="2">
        <f>(H628/H612)*BV60</f>
        <v>45384.847397000616</v>
      </c>
      <c r="I642" s="2">
        <f>(I629/I612)*BV78</f>
        <v>67811.926750820843</v>
      </c>
      <c r="J642" s="2">
        <f>(J630/J612)*BV79</f>
        <v>0</v>
      </c>
      <c r="K642" s="2"/>
      <c r="L642" s="2"/>
      <c r="M642" s="2"/>
      <c r="N642" s="325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2">
        <v>8700</v>
      </c>
      <c r="B643" s="345" t="s">
        <v>650</v>
      </c>
      <c r="C643" s="2">
        <f>BW71</f>
        <v>328482.91000000003</v>
      </c>
      <c r="D643" s="2">
        <f>(D615/D612)*BW76</f>
        <v>-3259.6336932567792</v>
      </c>
      <c r="E643" s="2">
        <f>(E623/E612)*SUM(C643:D643)</f>
        <v>31607.790567663455</v>
      </c>
      <c r="F643" s="2">
        <f>(F624/F612)*BW64</f>
        <v>110.01698969872628</v>
      </c>
      <c r="G643" s="2">
        <f>(G625/G612)*BW77</f>
        <v>0</v>
      </c>
      <c r="H643" s="2">
        <f>(H628/H612)*BW60</f>
        <v>4632.539922746736</v>
      </c>
      <c r="I643" s="2">
        <f>(I629/I612)*BW78</f>
        <v>15243.724078311619</v>
      </c>
      <c r="J643" s="2">
        <f>(J630/J612)*BW79</f>
        <v>0</v>
      </c>
      <c r="K643" s="2"/>
      <c r="L643" s="2"/>
      <c r="M643" s="2"/>
      <c r="N643" s="325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2">
        <v>8710</v>
      </c>
      <c r="B644" s="345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17164605.095555101</v>
      </c>
      <c r="L644" s="2"/>
      <c r="M644" s="2"/>
      <c r="N644" s="325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2">
        <v>8720</v>
      </c>
      <c r="B645" s="345" t="s">
        <v>654</v>
      </c>
      <c r="C645" s="2">
        <f>BY71</f>
        <v>4076450.5900000003</v>
      </c>
      <c r="D645" s="2">
        <f>(D615/D612)*BY76</f>
        <v>-5520.5212882772739</v>
      </c>
      <c r="E645" s="2">
        <f>(E623/E612)*SUM(C645:D645)</f>
        <v>395645.4362328063</v>
      </c>
      <c r="F645" s="2">
        <f>(F624/F612)*BY64</f>
        <v>301.05596720100931</v>
      </c>
      <c r="G645" s="2">
        <f>(G625/G612)*BY77</f>
        <v>0</v>
      </c>
      <c r="H645" s="2">
        <f>(H628/H612)*BY60</f>
        <v>69599.605414701102</v>
      </c>
      <c r="I645" s="2">
        <f>(I629/I612)*BY78</f>
        <v>25816.797593248753</v>
      </c>
      <c r="J645" s="2">
        <f>(J630/J612)*BY79</f>
        <v>0</v>
      </c>
      <c r="K645" s="2">
        <v>0</v>
      </c>
      <c r="L645" s="2"/>
      <c r="M645" s="2"/>
      <c r="N645" s="325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2">
        <v>8730</v>
      </c>
      <c r="B646" s="34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5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2">
        <v>8740</v>
      </c>
      <c r="B647" s="345" t="s">
        <v>658</v>
      </c>
      <c r="C647" s="2">
        <f>CA71</f>
        <v>344159.22000000003</v>
      </c>
      <c r="D647" s="2">
        <f>(D615/D612)*CA76</f>
        <v>-3336.7032442912696</v>
      </c>
      <c r="E647" s="2">
        <f>(E623/E612)*SUM(C647:D647)</f>
        <v>33123.849106660782</v>
      </c>
      <c r="F647" s="2">
        <f>(F624/F612)*CA64</f>
        <v>203.74982270190586</v>
      </c>
      <c r="G647" s="2">
        <f>(G625/G612)*CA77</f>
        <v>0</v>
      </c>
      <c r="H647" s="2">
        <f>(H628/H612)*CA60</f>
        <v>4635.0551304681021</v>
      </c>
      <c r="I647" s="2">
        <f>(I629/I612)*CA78</f>
        <v>15604.140947617976</v>
      </c>
      <c r="J647" s="2">
        <f>(J630/J612)*CA79</f>
        <v>0</v>
      </c>
      <c r="K647" s="2">
        <v>0</v>
      </c>
      <c r="L647" s="2">
        <f>SUM(C645:K647)</f>
        <v>4956682.2756828368</v>
      </c>
      <c r="M647" s="2"/>
      <c r="N647" s="325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2"/>
      <c r="B648" s="342"/>
      <c r="C648" s="2">
        <f>SUM(C614:C647)</f>
        <v>34273341.179999992</v>
      </c>
      <c r="D648" s="2"/>
      <c r="E648" s="2"/>
      <c r="F648" s="2"/>
      <c r="G648" s="2"/>
      <c r="H648" s="2"/>
      <c r="I648" s="2"/>
      <c r="J648" s="2"/>
      <c r="K648" s="2"/>
      <c r="L648" s="34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3" t="s">
        <v>590</v>
      </c>
      <c r="D667" s="333" t="s">
        <v>591</v>
      </c>
      <c r="E667" s="336" t="s">
        <v>592</v>
      </c>
      <c r="F667" s="333" t="s">
        <v>593</v>
      </c>
      <c r="G667" s="333" t="s">
        <v>594</v>
      </c>
      <c r="H667" s="333" t="s">
        <v>595</v>
      </c>
      <c r="I667" s="333" t="s">
        <v>596</v>
      </c>
      <c r="J667" s="333" t="s">
        <v>597</v>
      </c>
      <c r="K667" s="333" t="s">
        <v>598</v>
      </c>
      <c r="L667" s="336" t="s">
        <v>599</v>
      </c>
      <c r="M667" s="33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2">
        <v>6010</v>
      </c>
      <c r="B668" s="336" t="s">
        <v>283</v>
      </c>
      <c r="C668" s="2">
        <f>C71</f>
        <v>2819653.35</v>
      </c>
      <c r="D668" s="2">
        <f>(D615/D612)*C76</f>
        <v>-20792.605657468692</v>
      </c>
      <c r="E668" s="2">
        <f>(E623/E612)*SUM(C668:D668)</f>
        <v>272015.59875989449</v>
      </c>
      <c r="F668" s="2">
        <f>(F624/F612)*C64</f>
        <v>5578.7358139325297</v>
      </c>
      <c r="G668" s="2">
        <f>(G625/G612)*C77</f>
        <v>304415.99971194606</v>
      </c>
      <c r="H668" s="2">
        <f>(H628/H612)*C60</f>
        <v>44439.482721251246</v>
      </c>
      <c r="I668" s="2">
        <f>(I629/I612)*C78</f>
        <v>97236.920874662683</v>
      </c>
      <c r="J668" s="2">
        <f>(J630/J612)*C79</f>
        <v>42984.014259093732</v>
      </c>
      <c r="K668" s="2">
        <f>(K644/K612)*C75</f>
        <v>754663.46904242574</v>
      </c>
      <c r="L668" s="2">
        <f>(L647/L612)*C80</f>
        <v>737438.00569248677</v>
      </c>
      <c r="M668" s="2">
        <f t="shared" ref="M668:M713" si="20">ROUND(SUM(D668:L668),0)</f>
        <v>2237980</v>
      </c>
      <c r="N668" s="33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2">
        <v>6030</v>
      </c>
      <c r="B669" s="336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2">
        <v>6070</v>
      </c>
      <c r="B670" s="336" t="s">
        <v>665</v>
      </c>
      <c r="C670" s="2">
        <f>E71</f>
        <v>6923758.9200000009</v>
      </c>
      <c r="D670" s="2">
        <f>(D615/D612)*E76</f>
        <v>-61418.849735982716</v>
      </c>
      <c r="E670" s="2">
        <f>(E623/E612)*SUM(C670:D670)</f>
        <v>666936.91241340176</v>
      </c>
      <c r="F670" s="2">
        <f>(F624/F612)*E64</f>
        <v>9040.7654220834447</v>
      </c>
      <c r="G670" s="2">
        <f>(G625/G612)*E77</f>
        <v>1343235.5987289622</v>
      </c>
      <c r="H670" s="2">
        <f>(H628/H612)*E60</f>
        <v>112479.66063901568</v>
      </c>
      <c r="I670" s="2">
        <f>(I629/I612)*E78</f>
        <v>287226.13848280936</v>
      </c>
      <c r="J670" s="2">
        <f>(J630/J612)*E79</f>
        <v>81838.016869386483</v>
      </c>
      <c r="K670" s="2">
        <f>(K644/K612)*E75</f>
        <v>1569840.0755958539</v>
      </c>
      <c r="L670" s="2">
        <f>(L647/L612)*E80</f>
        <v>1866510.848987397</v>
      </c>
      <c r="M670" s="2">
        <f t="shared" si="20"/>
        <v>5875689</v>
      </c>
      <c r="N670" s="33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2">
        <v>6100</v>
      </c>
      <c r="B671" s="33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2">
        <v>6120</v>
      </c>
      <c r="B672" s="336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2">
        <v>6140</v>
      </c>
      <c r="B673" s="33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2">
        <v>6150</v>
      </c>
      <c r="B674" s="336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2">
        <v>6170</v>
      </c>
      <c r="B675" s="336" t="s">
        <v>99</v>
      </c>
      <c r="C675" s="2">
        <f>J71</f>
        <v>39948.719999999994</v>
      </c>
      <c r="D675" s="2">
        <f>(D615/D612)*J76</f>
        <v>-1537.658761802792</v>
      </c>
      <c r="E675" s="2">
        <f>(E623/E612)*SUM(C675:D675)</f>
        <v>3733.0931318505372</v>
      </c>
      <c r="F675" s="2">
        <f>(F624/F612)*J64</f>
        <v>1234.7128206478531</v>
      </c>
      <c r="G675" s="2">
        <f>(G625/G612)*J77</f>
        <v>0</v>
      </c>
      <c r="H675" s="2">
        <f>(H628/H612)*J60</f>
        <v>0</v>
      </c>
      <c r="I675" s="2">
        <f>(I629/I612)*J78</f>
        <v>7190.8834234993237</v>
      </c>
      <c r="J675" s="2">
        <f>(J630/J612)*J79</f>
        <v>0</v>
      </c>
      <c r="K675" s="2">
        <f>(K644/K612)*J75</f>
        <v>102275.49701269282</v>
      </c>
      <c r="L675" s="2">
        <f>(L647/L612)*J80</f>
        <v>0</v>
      </c>
      <c r="M675" s="2">
        <f t="shared" si="20"/>
        <v>112897</v>
      </c>
      <c r="N675" s="33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2">
        <v>6200</v>
      </c>
      <c r="B676" s="33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2">
        <v>6210</v>
      </c>
      <c r="B677" s="336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2">
        <v>6330</v>
      </c>
      <c r="B678" s="33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2">
        <v>6400</v>
      </c>
      <c r="B679" s="336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2">
        <v>7010</v>
      </c>
      <c r="B680" s="336" t="s">
        <v>682</v>
      </c>
      <c r="C680" s="2">
        <f>O71</f>
        <v>136476.52999999997</v>
      </c>
      <c r="D680" s="2">
        <f>(D615/D612)*O76</f>
        <v>-3109.8967426955628</v>
      </c>
      <c r="E680" s="2">
        <f>(E623/E612)*SUM(C680:D680)</f>
        <v>12961.632576185488</v>
      </c>
      <c r="F680" s="2">
        <f>(F624/F612)*O64</f>
        <v>5111.9393419906928</v>
      </c>
      <c r="G680" s="2">
        <f>(G625/G612)*O77</f>
        <v>0</v>
      </c>
      <c r="H680" s="2">
        <f>(H628/H612)*O60</f>
        <v>0</v>
      </c>
      <c r="I680" s="2">
        <f>(I629/I612)*O78</f>
        <v>14543.47706484968</v>
      </c>
      <c r="J680" s="2">
        <f>(J630/J612)*O79</f>
        <v>47719.7024302481</v>
      </c>
      <c r="K680" s="2">
        <f>(K644/K612)*O75</f>
        <v>241282.20024277843</v>
      </c>
      <c r="L680" s="2">
        <f>(L647/L612)*O80</f>
        <v>0</v>
      </c>
      <c r="M680" s="2">
        <f t="shared" si="20"/>
        <v>318509</v>
      </c>
      <c r="N680" s="33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2">
        <v>7020</v>
      </c>
      <c r="B681" s="336" t="s">
        <v>684</v>
      </c>
      <c r="C681" s="2">
        <f>P71</f>
        <v>3280833.6500000004</v>
      </c>
      <c r="D681" s="2">
        <f>(D615/D612)*P76</f>
        <v>-20943.714292920005</v>
      </c>
      <c r="E681" s="2">
        <f>(E623/E612)*SUM(C681:D681)</f>
        <v>316822.09075429221</v>
      </c>
      <c r="F681" s="2">
        <f>(F624/F612)*P64</f>
        <v>40342.976171482718</v>
      </c>
      <c r="G681" s="2">
        <f>(G625/G612)*P77</f>
        <v>13952.399986797529</v>
      </c>
      <c r="H681" s="2">
        <f>(H628/H612)*P60</f>
        <v>33128.557671002942</v>
      </c>
      <c r="I681" s="2">
        <f>(I629/I612)*P78</f>
        <v>97943.582592338251</v>
      </c>
      <c r="J681" s="2">
        <f>(J630/J612)*P79</f>
        <v>51343.520656985624</v>
      </c>
      <c r="K681" s="2">
        <f>(K644/K612)*P75</f>
        <v>1138987.7749420968</v>
      </c>
      <c r="L681" s="2">
        <f>(L647/L612)*P80</f>
        <v>549742.1662986693</v>
      </c>
      <c r="M681" s="2">
        <f t="shared" si="20"/>
        <v>2221319</v>
      </c>
      <c r="N681" s="33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2">
        <v>7030</v>
      </c>
      <c r="B682" s="336" t="s">
        <v>686</v>
      </c>
      <c r="C682" s="2">
        <f>Q71</f>
        <v>1793430.9400000002</v>
      </c>
      <c r="D682" s="2">
        <f>(D615/D612)*Q76</f>
        <v>-23118.504736350234</v>
      </c>
      <c r="E682" s="2">
        <f>(E623/E612)*SUM(C682:D682)</f>
        <v>172053.07482471701</v>
      </c>
      <c r="F682" s="2">
        <f>(F624/F612)*Q64</f>
        <v>5389.1263655392195</v>
      </c>
      <c r="G682" s="2">
        <f>(G625/G612)*Q77</f>
        <v>0</v>
      </c>
      <c r="H682" s="2">
        <f>(H628/H612)*Q60</f>
        <v>26167.95376974146</v>
      </c>
      <c r="I682" s="2">
        <f>(I629/I612)*Q78</f>
        <v>108114.02153349317</v>
      </c>
      <c r="J682" s="2">
        <f>(J630/J612)*Q79</f>
        <v>31009.467555078139</v>
      </c>
      <c r="K682" s="2">
        <f>(K644/K612)*Q75</f>
        <v>432323.76914876193</v>
      </c>
      <c r="L682" s="2">
        <f>(L647/L612)*Q80</f>
        <v>434236.45954779006</v>
      </c>
      <c r="M682" s="2">
        <f t="shared" si="20"/>
        <v>1186175</v>
      </c>
      <c r="N682" s="33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2">
        <v>7040</v>
      </c>
      <c r="B683" s="336" t="s">
        <v>107</v>
      </c>
      <c r="C683" s="2">
        <f>R71</f>
        <v>-445433.67000000016</v>
      </c>
      <c r="D683" s="2">
        <f>(D615/D612)*R76</f>
        <v>-994.0249502424499</v>
      </c>
      <c r="E683" s="2">
        <f>(E623/E612)*SUM(C683:D683)</f>
        <v>-43387.402174385643</v>
      </c>
      <c r="F683" s="2">
        <f>(F624/F612)*R64</f>
        <v>3344.7683416478171</v>
      </c>
      <c r="G683" s="2">
        <f>(G625/G612)*R77</f>
        <v>0</v>
      </c>
      <c r="H683" s="2">
        <f>(H628/H612)*R60</f>
        <v>10593.770519711401</v>
      </c>
      <c r="I683" s="2">
        <f>(I629/I612)*R78</f>
        <v>4648.5720465461163</v>
      </c>
      <c r="J683" s="2">
        <f>(J630/J612)*R79</f>
        <v>0</v>
      </c>
      <c r="K683" s="2">
        <f>(K644/K612)*R75</f>
        <v>150116.78076437648</v>
      </c>
      <c r="L683" s="2">
        <f>(L647/L612)*R80</f>
        <v>175795.22817181592</v>
      </c>
      <c r="M683" s="2">
        <f t="shared" si="20"/>
        <v>300118</v>
      </c>
      <c r="N683" s="33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2">
        <v>7050</v>
      </c>
      <c r="B684" s="336" t="s">
        <v>689</v>
      </c>
      <c r="C684" s="2">
        <f>S71</f>
        <v>4328718.5200000005</v>
      </c>
      <c r="D684" s="2">
        <f>(D615/D612)*S76</f>
        <v>-9475.4716222206371</v>
      </c>
      <c r="E684" s="2">
        <f>(E623/E612)*SUM(C684:D684)</f>
        <v>419778.47106858651</v>
      </c>
      <c r="F684" s="2">
        <f>(F624/F612)*S64</f>
        <v>217938.51519663891</v>
      </c>
      <c r="G684" s="2">
        <f>(G625/G612)*S77</f>
        <v>0</v>
      </c>
      <c r="H684" s="2">
        <f>(H628/H612)*S60</f>
        <v>0</v>
      </c>
      <c r="I684" s="2">
        <f>(I629/I612)*S78</f>
        <v>44312.179991208832</v>
      </c>
      <c r="J684" s="2">
        <f>(J630/J612)*S79</f>
        <v>0</v>
      </c>
      <c r="K684" s="2">
        <f>(K644/K612)*S75</f>
        <v>545532.8823076936</v>
      </c>
      <c r="L684" s="2">
        <f>(L647/L612)*S80</f>
        <v>0</v>
      </c>
      <c r="M684" s="2">
        <f t="shared" si="20"/>
        <v>1218087</v>
      </c>
      <c r="N684" s="33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2">
        <v>7060</v>
      </c>
      <c r="B685" s="336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2">
        <v>7070</v>
      </c>
      <c r="B686" s="336" t="s">
        <v>109</v>
      </c>
      <c r="C686" s="2">
        <f>U71</f>
        <v>5433028.8799999999</v>
      </c>
      <c r="D686" s="2">
        <f>(D615/D612)*U76</f>
        <v>-14013.388034456764</v>
      </c>
      <c r="E686" s="2">
        <f>(E623/E612)*SUM(C686:D686)</f>
        <v>526663.12417140859</v>
      </c>
      <c r="F686" s="2">
        <f>(F624/F612)*U64</f>
        <v>105285.09854401389</v>
      </c>
      <c r="G686" s="2">
        <f>(G625/G612)*U77</f>
        <v>0</v>
      </c>
      <c r="H686" s="2">
        <f>(H628/H612)*U60</f>
        <v>60463.773783705452</v>
      </c>
      <c r="I686" s="2">
        <f>(I629/I612)*U78</f>
        <v>65533.81167996928</v>
      </c>
      <c r="J686" s="2">
        <f>(J630/J612)*U79</f>
        <v>1225.9829123964653</v>
      </c>
      <c r="K686" s="2">
        <f>(K644/K612)*U75</f>
        <v>2303606.2802768294</v>
      </c>
      <c r="L686" s="2">
        <f>(L647/L612)*U80</f>
        <v>0</v>
      </c>
      <c r="M686" s="2">
        <f t="shared" si="20"/>
        <v>3048765</v>
      </c>
      <c r="N686" s="33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2">
        <v>7110</v>
      </c>
      <c r="B687" s="336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2">
        <v>7120</v>
      </c>
      <c r="B688" s="336" t="s">
        <v>696</v>
      </c>
      <c r="C688" s="2">
        <f>W71</f>
        <v>358446.68000000005</v>
      </c>
      <c r="D688" s="2">
        <f>(D615/D612)*W76</f>
        <v>-6818.4541907985267</v>
      </c>
      <c r="E688" s="2">
        <f>(E623/E612)*SUM(C688:D688)</f>
        <v>34174.034052143492</v>
      </c>
      <c r="F688" s="2">
        <f>(F624/F612)*W64</f>
        <v>1053.4514950339731</v>
      </c>
      <c r="G688" s="2">
        <f>(G625/G612)*W77</f>
        <v>0</v>
      </c>
      <c r="H688" s="2">
        <f>(H628/H612)*W60</f>
        <v>4733.2491316962778</v>
      </c>
      <c r="I688" s="2">
        <f>(I629/I612)*W78</f>
        <v>31886.599571037277</v>
      </c>
      <c r="J688" s="2">
        <f>(J630/J612)*W79</f>
        <v>0</v>
      </c>
      <c r="K688" s="2">
        <f>(K644/K612)*W75</f>
        <v>476799.25152503798</v>
      </c>
      <c r="L688" s="2">
        <f>(L647/L612)*W80</f>
        <v>0</v>
      </c>
      <c r="M688" s="2">
        <f t="shared" si="20"/>
        <v>541828</v>
      </c>
      <c r="N688" s="33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2">
        <v>7130</v>
      </c>
      <c r="B689" s="336" t="s">
        <v>698</v>
      </c>
      <c r="C689" s="2">
        <f>X71</f>
        <v>825772.42999999993</v>
      </c>
      <c r="D689" s="2">
        <f>(D615/D612)*X76</f>
        <v>-2525.3994812696646</v>
      </c>
      <c r="E689" s="2">
        <f>(E623/E612)*SUM(C689:D689)</f>
        <v>80009.709088424628</v>
      </c>
      <c r="F689" s="2">
        <f>(F624/F612)*X64</f>
        <v>4984.0506820472938</v>
      </c>
      <c r="G689" s="2">
        <f>(G625/G612)*X77</f>
        <v>0</v>
      </c>
      <c r="H689" s="2">
        <f>(H628/H612)*X60</f>
        <v>9296.9743056196949</v>
      </c>
      <c r="I689" s="2">
        <f>(I629/I612)*X78</f>
        <v>11810.067173996867</v>
      </c>
      <c r="J689" s="2">
        <f>(J630/J612)*X79</f>
        <v>0</v>
      </c>
      <c r="K689" s="2">
        <f>(K644/K612)*X75</f>
        <v>1461146.8408766326</v>
      </c>
      <c r="L689" s="2">
        <f>(L647/L612)*X80</f>
        <v>0</v>
      </c>
      <c r="M689" s="2">
        <f t="shared" si="20"/>
        <v>1564722</v>
      </c>
      <c r="N689" s="33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2">
        <v>7140</v>
      </c>
      <c r="B690" s="336" t="s">
        <v>1249</v>
      </c>
      <c r="C690" s="2">
        <f>Y71</f>
        <v>3298394.98</v>
      </c>
      <c r="D690" s="2">
        <f>(D615/D612)*Y76</f>
        <v>-22304.7766000345</v>
      </c>
      <c r="E690" s="2">
        <f>(E623/E612)*SUM(C690:D690)</f>
        <v>318396.56191205105</v>
      </c>
      <c r="F690" s="2">
        <f>(F624/F612)*Y64</f>
        <v>4815.5395699239489</v>
      </c>
      <c r="G690" s="2">
        <f>(G625/G612)*Y77</f>
        <v>0</v>
      </c>
      <c r="H690" s="2">
        <f>(H628/H612)*Y60</f>
        <v>50009.191957176503</v>
      </c>
      <c r="I690" s="2">
        <f>(I629/I612)*Y78</f>
        <v>104308.61014312235</v>
      </c>
      <c r="J690" s="2">
        <f>(J630/J612)*Y79</f>
        <v>35260.907105703591</v>
      </c>
      <c r="K690" s="2">
        <f>(K644/K612)*Y75</f>
        <v>1203364.1260950111</v>
      </c>
      <c r="L690" s="2">
        <f>(L647/L612)*Y80</f>
        <v>0</v>
      </c>
      <c r="M690" s="2">
        <f t="shared" si="20"/>
        <v>1693850</v>
      </c>
      <c r="N690" s="33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2">
        <v>7150</v>
      </c>
      <c r="B691" s="336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2">
        <v>7160</v>
      </c>
      <c r="B692" s="336" t="s">
        <v>703</v>
      </c>
      <c r="C692" s="2">
        <f>AA71</f>
        <v>218428.69</v>
      </c>
      <c r="D692" s="2">
        <f>(D615/D612)*AA76</f>
        <v>-2201.5861482600981</v>
      </c>
      <c r="E692" s="2">
        <f>(E623/E612)*SUM(C692:D692)</f>
        <v>21014.673645782048</v>
      </c>
      <c r="F692" s="2">
        <f>(F624/F612)*AA64</f>
        <v>1956.0350075913809</v>
      </c>
      <c r="G692" s="2">
        <f>(G625/G612)*AA77</f>
        <v>0</v>
      </c>
      <c r="H692" s="2">
        <f>(H628/H612)*AA60</f>
        <v>2171.3707817851337</v>
      </c>
      <c r="I692" s="2">
        <f>(I629/I612)*AA78</f>
        <v>10295.749442072678</v>
      </c>
      <c r="J692" s="2">
        <f>(J630/J612)*AA79</f>
        <v>0</v>
      </c>
      <c r="K692" s="2">
        <f>(K644/K612)*AA75</f>
        <v>62941.296391075964</v>
      </c>
      <c r="L692" s="2">
        <f>(L647/L612)*AA80</f>
        <v>0</v>
      </c>
      <c r="M692" s="2">
        <f t="shared" si="20"/>
        <v>96178</v>
      </c>
      <c r="N692" s="33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2">
        <v>7170</v>
      </c>
      <c r="B693" s="336" t="s">
        <v>115</v>
      </c>
      <c r="C693" s="2">
        <f>AB71</f>
        <v>607647.43000000063</v>
      </c>
      <c r="D693" s="2">
        <f>(D615/D612)*AB76</f>
        <v>-6132.2927492621493</v>
      </c>
      <c r="E693" s="2">
        <f>(E623/E612)*SUM(C693:D693)</f>
        <v>58460.036124746672</v>
      </c>
      <c r="F693" s="2">
        <f>(F624/F612)*AB64</f>
        <v>125617.93220165605</v>
      </c>
      <c r="G693" s="2">
        <f>(G625/G612)*AB77</f>
        <v>0</v>
      </c>
      <c r="H693" s="2">
        <f>(H628/H612)*AB60</f>
        <v>29901.202684004038</v>
      </c>
      <c r="I693" s="2">
        <f>(I629/I612)*AB78</f>
        <v>28677.755672535728</v>
      </c>
      <c r="J693" s="2">
        <f>(J630/J612)*AB79</f>
        <v>0</v>
      </c>
      <c r="K693" s="2">
        <f>(K644/K612)*AB75</f>
        <v>660468.52727070043</v>
      </c>
      <c r="L693" s="2">
        <f>(L647/L612)*AB80</f>
        <v>0</v>
      </c>
      <c r="M693" s="2">
        <f t="shared" si="20"/>
        <v>896993</v>
      </c>
      <c r="N693" s="33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2">
        <v>7180</v>
      </c>
      <c r="B694" s="336" t="s">
        <v>706</v>
      </c>
      <c r="C694" s="2">
        <f>AC71</f>
        <v>1202453.0900000001</v>
      </c>
      <c r="D694" s="2">
        <f>(D615/D612)*AC76</f>
        <v>-2569.5166952931336</v>
      </c>
      <c r="E694" s="2">
        <f>(E623/E612)*SUM(C694:D694)</f>
        <v>116614.25074269346</v>
      </c>
      <c r="F694" s="2">
        <f>(F624/F612)*AC64</f>
        <v>3880.8867498446734</v>
      </c>
      <c r="G694" s="2">
        <f>(G625/G612)*AC77</f>
        <v>0</v>
      </c>
      <c r="H694" s="2">
        <f>(H628/H612)*AC60</f>
        <v>20362.406675676677</v>
      </c>
      <c r="I694" s="2">
        <f>(I629/I612)*AC78</f>
        <v>12016.381963007916</v>
      </c>
      <c r="J694" s="2">
        <f>(J630/J612)*AC79</f>
        <v>0</v>
      </c>
      <c r="K694" s="2">
        <f>(K644/K612)*AC75</f>
        <v>398128.0706232072</v>
      </c>
      <c r="L694" s="2">
        <f>(L647/L612)*AC80</f>
        <v>0</v>
      </c>
      <c r="M694" s="2">
        <f t="shared" si="20"/>
        <v>548432</v>
      </c>
      <c r="N694" s="33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2">
        <v>7190</v>
      </c>
      <c r="B695" s="33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2">
        <v>7200</v>
      </c>
      <c r="B696" s="336" t="s">
        <v>709</v>
      </c>
      <c r="C696" s="2">
        <f>AE71</f>
        <v>2268969.92</v>
      </c>
      <c r="D696" s="2">
        <f>(D615/D612)*AE76</f>
        <v>-12397.894130052915</v>
      </c>
      <c r="E696" s="2">
        <f>(E623/E612)*SUM(C696:D696)</f>
        <v>219311.65814611912</v>
      </c>
      <c r="F696" s="2">
        <f>(F624/F612)*AE64</f>
        <v>1453.7293597996502</v>
      </c>
      <c r="G696" s="2">
        <f>(G625/G612)*AE77</f>
        <v>0</v>
      </c>
      <c r="H696" s="2">
        <f>(H628/H612)*AE60</f>
        <v>45095.176397213152</v>
      </c>
      <c r="I696" s="2">
        <f>(I629/I612)*AE78</f>
        <v>57978.931087137375</v>
      </c>
      <c r="J696" s="2">
        <f>(J630/J612)*AE79</f>
        <v>11680.486363452719</v>
      </c>
      <c r="K696" s="2">
        <f>(K644/K612)*AE75</f>
        <v>405054.16725766647</v>
      </c>
      <c r="L696" s="2">
        <f>(L647/L612)*AE80</f>
        <v>0</v>
      </c>
      <c r="M696" s="2">
        <f t="shared" si="20"/>
        <v>728176</v>
      </c>
      <c r="N696" s="33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2">
        <v>7220</v>
      </c>
      <c r="B697" s="336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2">
        <v>7230</v>
      </c>
      <c r="B698" s="336" t="s">
        <v>713</v>
      </c>
      <c r="C698" s="2">
        <f>AG71</f>
        <v>8369906.4999999991</v>
      </c>
      <c r="D698" s="2">
        <f>(D615/D612)*AG76</f>
        <v>-30441.994163894644</v>
      </c>
      <c r="E698" s="2">
        <f>(E623/E612)*SUM(C698:D698)</f>
        <v>810495.6402269206</v>
      </c>
      <c r="F698" s="2">
        <f>(F624/F612)*AG64</f>
        <v>14943.273218349892</v>
      </c>
      <c r="G698" s="2">
        <f>(G625/G612)*AG77</f>
        <v>46719.399955791727</v>
      </c>
      <c r="H698" s="2">
        <f>(H628/H612)*AG60</f>
        <v>71890.119108227955</v>
      </c>
      <c r="I698" s="2">
        <f>(I629/I612)*AG78</f>
        <v>142362.42568849496</v>
      </c>
      <c r="J698" s="2">
        <f>(J630/J612)*AG79</f>
        <v>91821.438580834554</v>
      </c>
      <c r="K698" s="2">
        <f>(K644/K612)*AG75</f>
        <v>3169482.6339047709</v>
      </c>
      <c r="L698" s="2">
        <f>(L647/L612)*AG80</f>
        <v>1192959.5669846777</v>
      </c>
      <c r="M698" s="2">
        <f t="shared" si="20"/>
        <v>5510233</v>
      </c>
      <c r="N698" s="33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2">
        <v>7240</v>
      </c>
      <c r="B699" s="33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2">
        <v>7250</v>
      </c>
      <c r="B700" s="336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2">
        <v>7260</v>
      </c>
      <c r="B701" s="336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0"/>
        <v>0</v>
      </c>
      <c r="N701" s="33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2">
        <v>7310</v>
      </c>
      <c r="B702" s="336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2">
        <v>7320</v>
      </c>
      <c r="B703" s="336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2">
        <v>7330</v>
      </c>
      <c r="B704" s="336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2">
        <v>7340</v>
      </c>
      <c r="B705" s="33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2">
        <v>7350</v>
      </c>
      <c r="B706" s="336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2">
        <v>7380</v>
      </c>
      <c r="B707" s="336" t="s">
        <v>729</v>
      </c>
      <c r="C707" s="2">
        <f>AP71</f>
        <v>28299327.280000001</v>
      </c>
      <c r="D707" s="2">
        <f>(D615/D612)*AP76</f>
        <v>-249599.08762223934</v>
      </c>
      <c r="E707" s="2">
        <f>(E623/E612)*SUM(C707:D707)</f>
        <v>2726096.1892172499</v>
      </c>
      <c r="F707" s="2">
        <f>(F624/F612)*AP64</f>
        <v>47236.42628596197</v>
      </c>
      <c r="G707" s="2">
        <f>(G625/G612)*AP77</f>
        <v>0</v>
      </c>
      <c r="H707" s="2">
        <f>(H628/H612)*AP60</f>
        <v>345002.18769676599</v>
      </c>
      <c r="I707" s="2">
        <f>(I629/I612)*AP78</f>
        <v>1167253.7407447933</v>
      </c>
      <c r="J707" s="2">
        <f>(J630/J612)*AP79</f>
        <v>0</v>
      </c>
      <c r="K707" s="2">
        <f>(K644/K612)*AP75</f>
        <v>2061394.3297958972</v>
      </c>
      <c r="L707" s="2">
        <f>(L647/L612)*AP80</f>
        <v>0</v>
      </c>
      <c r="M707" s="2">
        <f t="shared" si="20"/>
        <v>6097384</v>
      </c>
      <c r="N707" s="33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2">
        <v>7390</v>
      </c>
      <c r="B708" s="33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2">
        <v>7400</v>
      </c>
      <c r="B709" s="33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2">
        <v>7410</v>
      </c>
      <c r="B710" s="33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2">
        <v>7420</v>
      </c>
      <c r="B711" s="33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2">
        <v>7430</v>
      </c>
      <c r="B712" s="33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2">
        <v>7490</v>
      </c>
      <c r="B713" s="336" t="s">
        <v>740</v>
      </c>
      <c r="C713" s="2">
        <f>AV71</f>
        <v>391281.55</v>
      </c>
      <c r="D713" s="2">
        <f>(D615/D612)*AV76</f>
        <v>-854.71918477571967</v>
      </c>
      <c r="E713" s="2">
        <f>(E623/E612)*SUM(C713:D713)</f>
        <v>37944.791776726554</v>
      </c>
      <c r="F713" s="2">
        <f>(F624/F612)*AV64</f>
        <v>437.10562272288013</v>
      </c>
      <c r="G713" s="2">
        <f>(G625/G612)*AV77</f>
        <v>0</v>
      </c>
      <c r="H713" s="2">
        <f>(H628/H612)*AV60</f>
        <v>7285.4668365841662</v>
      </c>
      <c r="I713" s="2">
        <f>(I629/I612)*AV78</f>
        <v>3997.1066209414535</v>
      </c>
      <c r="J713" s="2">
        <f>(J630/J612)*AV79</f>
        <v>0</v>
      </c>
      <c r="K713" s="2">
        <f>(K644/K612)*AV75</f>
        <v>27197.12248159423</v>
      </c>
      <c r="L713" s="2">
        <f>(L647/L612)*AV80</f>
        <v>0</v>
      </c>
      <c r="M713" s="2">
        <f t="shared" si="20"/>
        <v>76007</v>
      </c>
      <c r="N713" s="325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104424385.56999999</v>
      </c>
      <c r="D715" s="2">
        <f>SUM(D616:D647)+SUM(D668:D713)</f>
        <v>-680490.96</v>
      </c>
      <c r="E715" s="2">
        <f>SUM(E624:E647)+SUM(E668:E713)</f>
        <v>9249822.7190941684</v>
      </c>
      <c r="F715" s="2">
        <f>SUM(F625:F648)+SUM(F668:F713)</f>
        <v>666342.66153223428</v>
      </c>
      <c r="G715" s="2">
        <f>SUM(G626:G647)+SUM(G668:G713)</f>
        <v>1708323.3983834975</v>
      </c>
      <c r="H715" s="2">
        <f>SUM(H629:H647)+SUM(H668:H713)</f>
        <v>1167709.839704508</v>
      </c>
      <c r="I715" s="2">
        <f>SUM(I630:I647)+SUM(I668:I713)</f>
        <v>2561601.8843153249</v>
      </c>
      <c r="J715" s="2">
        <f>SUM(J631:J647)+SUM(J668:J713)</f>
        <v>394883.53673317941</v>
      </c>
      <c r="K715" s="2">
        <f>SUM(K668:K713)</f>
        <v>17164605.095555108</v>
      </c>
      <c r="L715" s="2">
        <f>SUM(L668:L713)</f>
        <v>4956682.2756828368</v>
      </c>
      <c r="M715" s="2">
        <f>SUM(M668:M713)</f>
        <v>34273342</v>
      </c>
      <c r="N715" s="33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104424385.56999999</v>
      </c>
      <c r="D716" s="2">
        <f>D615</f>
        <v>-680490.96</v>
      </c>
      <c r="E716" s="2">
        <f>E623</f>
        <v>9249822.7190941684</v>
      </c>
      <c r="F716" s="2">
        <f>F624</f>
        <v>666342.66153223428</v>
      </c>
      <c r="G716" s="2">
        <f>G625</f>
        <v>1708323.3983834977</v>
      </c>
      <c r="H716" s="2">
        <f>H628</f>
        <v>1167709.8397045082</v>
      </c>
      <c r="I716" s="2">
        <f>I629</f>
        <v>2561601.8843153249</v>
      </c>
      <c r="J716" s="2">
        <f>J630</f>
        <v>394883.53673317941</v>
      </c>
      <c r="K716" s="2">
        <f>K644</f>
        <v>17164605.095555101</v>
      </c>
      <c r="L716" s="2">
        <f>L647</f>
        <v>4956682.2756828368</v>
      </c>
      <c r="M716" s="2">
        <f>C648</f>
        <v>34273341.179999992</v>
      </c>
      <c r="N716" s="33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6" t="str">
        <f>RIGHT(C84,3)&amp;"*"&amp;RIGHT(C83,4)&amp;"*"&amp;"A"</f>
        <v>lth*152*A</v>
      </c>
      <c r="B721" s="284">
        <f>ROUND(C166,0)</f>
        <v>88216</v>
      </c>
      <c r="C721" s="284">
        <f>ROUND(C167,0)</f>
        <v>159180</v>
      </c>
      <c r="D721" s="284">
        <f>ROUND(C168,0)</f>
        <v>10030183</v>
      </c>
      <c r="E721" s="284">
        <f>ROUND(C169,0)</f>
        <v>82541</v>
      </c>
      <c r="F721" s="284">
        <f>ROUND(C170,0)</f>
        <v>2641830</v>
      </c>
      <c r="G721" s="284">
        <f>ROUND(C171,0)</f>
        <v>141484</v>
      </c>
      <c r="H721" s="284">
        <f>ROUND(C172+C173,0)</f>
        <v>0</v>
      </c>
      <c r="I721" s="284">
        <f>ROUND(C176,0)</f>
        <v>645899</v>
      </c>
      <c r="J721" s="284">
        <f>ROUND(C177,0)</f>
        <v>0</v>
      </c>
      <c r="K721" s="284">
        <f>ROUND(C180,0)</f>
        <v>359373</v>
      </c>
      <c r="L721" s="284">
        <f>ROUND(C181,0)</f>
        <v>0</v>
      </c>
      <c r="M721" s="284">
        <f>ROUND(C184,0)</f>
        <v>652818</v>
      </c>
      <c r="N721" s="284">
        <f>ROUND(C185,0)</f>
        <v>0</v>
      </c>
      <c r="O721" s="284">
        <f>ROUND(C186,0)</f>
        <v>0</v>
      </c>
      <c r="P721" s="284">
        <f>ROUND(C189,0)</f>
        <v>2988597</v>
      </c>
      <c r="Q721" s="284">
        <f>ROUND(C190,0)</f>
        <v>0</v>
      </c>
      <c r="R721" s="284">
        <f>ROUND(B196,0)</f>
        <v>4737949</v>
      </c>
      <c r="S721" s="284">
        <f>ROUND(C196,0)</f>
        <v>6272250</v>
      </c>
      <c r="T721" s="284">
        <f>ROUND(D196,0)</f>
        <v>0</v>
      </c>
      <c r="U721" s="284">
        <f>ROUND(B197,0)</f>
        <v>36062078</v>
      </c>
      <c r="V721" s="284">
        <f>ROUND(C197,0)</f>
        <v>21272592</v>
      </c>
      <c r="W721" s="284">
        <f>ROUND(D197,0)</f>
        <v>0</v>
      </c>
      <c r="X721" s="284">
        <f>ROUND(B198,0)</f>
        <v>21068464</v>
      </c>
      <c r="Y721" s="284">
        <f>ROUND(C198,0)</f>
        <v>11287499</v>
      </c>
      <c r="Z721" s="284">
        <f>ROUND(D198,0)</f>
        <v>159893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35437084</v>
      </c>
      <c r="AE721" s="284">
        <f>ROUND(C200,0)</f>
        <v>5142586</v>
      </c>
      <c r="AF721" s="284">
        <f>ROUND(D200,0)</f>
        <v>1508498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1163193</v>
      </c>
      <c r="AK721" s="284">
        <f>ROUND(C202,0)</f>
        <v>0</v>
      </c>
      <c r="AL721" s="284">
        <f>ROUND(D202,0)</f>
        <v>0</v>
      </c>
      <c r="AM721" s="284">
        <f>ROUND(B203,0)</f>
        <v>36681869</v>
      </c>
      <c r="AN721" s="284">
        <f>ROUND(C203,0)</f>
        <v>7818471</v>
      </c>
      <c r="AO721" s="284">
        <f>ROUND(D203,0)</f>
        <v>42961404</v>
      </c>
      <c r="AP721" s="284">
        <f>ROUND(B204,0)</f>
        <v>137166135</v>
      </c>
      <c r="AQ721" s="284">
        <f>ROUND(C204,0)</f>
        <v>51793398</v>
      </c>
      <c r="AR721" s="284">
        <f>ROUND(D204,0)</f>
        <v>44629794</v>
      </c>
      <c r="AS721" s="284"/>
      <c r="AT721" s="284"/>
      <c r="AU721" s="284"/>
      <c r="AV721" s="284">
        <f>ROUND(B210,0)</f>
        <v>18856627</v>
      </c>
      <c r="AW721" s="284">
        <f>ROUND(C210,0)</f>
        <v>2423012</v>
      </c>
      <c r="AX721" s="284">
        <f>ROUND(D210,0)</f>
        <v>0</v>
      </c>
      <c r="AY721" s="284">
        <f>ROUND(B211,0)</f>
        <v>10723632</v>
      </c>
      <c r="AZ721" s="284">
        <f>ROUND(C211,0)</f>
        <v>1740033</v>
      </c>
      <c r="BA721" s="284">
        <f>ROUND(D211,0)</f>
        <v>159893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29111231</v>
      </c>
      <c r="BF721" s="284">
        <f>ROUND(C213,0)</f>
        <v>2559725</v>
      </c>
      <c r="BG721" s="284">
        <f>ROUND(D213,0)</f>
        <v>1508498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299755</v>
      </c>
      <c r="BL721" s="284">
        <f>ROUND(C215,0)</f>
        <v>173347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60958412</v>
      </c>
      <c r="BR721" s="284">
        <f>ROUND(C217,0)</f>
        <v>7650492</v>
      </c>
      <c r="BS721" s="284">
        <f>ROUND(D217,0)</f>
        <v>1668390</v>
      </c>
      <c r="BT721" s="284">
        <f>ROUND(C222,0)</f>
        <v>0</v>
      </c>
      <c r="BU721" s="284">
        <f>ROUND(C223,0)</f>
        <v>63892043</v>
      </c>
      <c r="BV721" s="284">
        <f>ROUND(C224,0)</f>
        <v>45061928</v>
      </c>
      <c r="BW721" s="284">
        <f>ROUND(C225,0)</f>
        <v>1273970</v>
      </c>
      <c r="BX721" s="284">
        <f>ROUND(C226,0)</f>
        <v>0</v>
      </c>
      <c r="BY721" s="284">
        <f>ROUND(C227,0)</f>
        <v>25898331</v>
      </c>
      <c r="BZ721" s="284">
        <f>ROUND(C230,0)</f>
        <v>0</v>
      </c>
      <c r="CA721" s="284">
        <f>ROUND(C232,0)</f>
        <v>0</v>
      </c>
      <c r="CB721" s="284">
        <f>ROUND(C233,0)</f>
        <v>475319</v>
      </c>
      <c r="CC721" s="284">
        <f>ROUND(C237+C238,0)</f>
        <v>2894364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6" t="str">
        <f>RIGHT(C84,3)&amp;"*"&amp;RIGHT(C83,4)&amp;"*"&amp;"A"</f>
        <v>lth*152*A</v>
      </c>
      <c r="B725" s="284">
        <f>ROUND(C112,0)</f>
        <v>0</v>
      </c>
      <c r="C725" s="284">
        <f>ROUND(C113,0)</f>
        <v>0</v>
      </c>
      <c r="D725" s="284">
        <f>ROUND(C114,0)</f>
        <v>344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683</v>
      </c>
      <c r="I725" s="284">
        <f>ROUND(D115,0)</f>
        <v>0</v>
      </c>
      <c r="J725" s="284">
        <f>ROUND(C117,0)</f>
        <v>0</v>
      </c>
      <c r="K725" s="284">
        <f>ROUND(C118,0)</f>
        <v>16</v>
      </c>
      <c r="L725" s="284">
        <f>ROUND(C119,0)</f>
        <v>0</v>
      </c>
      <c r="M725" s="284">
        <f>ROUND(C120,0)</f>
        <v>2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6</v>
      </c>
      <c r="W725" s="284">
        <f>ROUND(C130,0)</f>
        <v>0</v>
      </c>
      <c r="X725" s="284">
        <f>ROUND(B139,0)</f>
        <v>2570</v>
      </c>
      <c r="Y725" s="284">
        <f>ROUND(B140,0)</f>
        <v>67431</v>
      </c>
      <c r="Z725" s="284">
        <f>ROUND(B141,0)</f>
        <v>27979077</v>
      </c>
      <c r="AA725" s="284">
        <f>ROUND(B142,0)</f>
        <v>80482365</v>
      </c>
      <c r="AB725" s="284">
        <f>ROUND(B143,0)</f>
        <v>0</v>
      </c>
      <c r="AC725" s="284">
        <f>ROUND(C139,0)</f>
        <v>1183</v>
      </c>
      <c r="AD725" s="284">
        <f>ROUND(C140,0)</f>
        <v>52558</v>
      </c>
      <c r="AE725" s="284">
        <f>ROUND(C141,0)</f>
        <v>16924989</v>
      </c>
      <c r="AF725" s="284">
        <f>ROUND(C142,0)</f>
        <v>57030280</v>
      </c>
      <c r="AG725" s="284">
        <f>ROUND(C143,0)</f>
        <v>0</v>
      </c>
      <c r="AH725" s="284">
        <f>ROUND(D139,0)</f>
        <v>692</v>
      </c>
      <c r="AI725" s="284">
        <f>ROUND(D140,0)</f>
        <v>55661</v>
      </c>
      <c r="AJ725" s="284">
        <f>ROUND(D141,0)</f>
        <v>11937569</v>
      </c>
      <c r="AK725" s="284">
        <f>ROUND(D142,0)</f>
        <v>56168583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6" t="str">
        <f>RIGHT(C84,3)&amp;"*"&amp;RIGHT(C83,4)&amp;"*"&amp;"A"</f>
        <v>lth*152*A</v>
      </c>
      <c r="B729" s="284">
        <f>ROUND(C249,0)</f>
        <v>0</v>
      </c>
      <c r="C729" s="284">
        <f>ROUND(C250,0)</f>
        <v>83548576</v>
      </c>
      <c r="D729" s="284">
        <f>ROUND(C251,0)</f>
        <v>0</v>
      </c>
      <c r="E729" s="284">
        <f>ROUND(C252,0)</f>
        <v>31545219</v>
      </c>
      <c r="F729" s="284">
        <f>ROUND(C253,0)</f>
        <v>19712941</v>
      </c>
      <c r="G729" s="284">
        <f>ROUND(C254,0)</f>
        <v>0</v>
      </c>
      <c r="H729" s="284">
        <f>ROUND(C255,0)</f>
        <v>386893</v>
      </c>
      <c r="I729" s="284">
        <f>ROUND(C256,0)</f>
        <v>0</v>
      </c>
      <c r="J729" s="284">
        <f>ROUND(C257,0)</f>
        <v>1471705</v>
      </c>
      <c r="K729" s="284">
        <f>ROUND(C258,0)</f>
        <v>1950427</v>
      </c>
      <c r="L729" s="284">
        <f>ROUND(C261,0)</f>
        <v>0</v>
      </c>
      <c r="M729" s="284">
        <f>ROUND(C262,0)</f>
        <v>5138891</v>
      </c>
      <c r="N729" s="284">
        <f>ROUND(C263,0)</f>
        <v>0</v>
      </c>
      <c r="O729" s="284">
        <f>ROUND(C266,0)</f>
        <v>0</v>
      </c>
      <c r="P729" s="284">
        <f>ROUND(C267,0)</f>
        <v>2015497</v>
      </c>
      <c r="Q729" s="284">
        <f>ROUND(C268,0)</f>
        <v>11010200</v>
      </c>
      <c r="R729" s="284">
        <f>ROUND(C269,0)</f>
        <v>57334670</v>
      </c>
      <c r="S729" s="284">
        <f>ROUND(C270,0)</f>
        <v>32196070</v>
      </c>
      <c r="T729" s="284">
        <f>ROUND(C271,0)</f>
        <v>0</v>
      </c>
      <c r="U729" s="284">
        <f>ROUND(C272,0)</f>
        <v>39071172</v>
      </c>
      <c r="V729" s="284">
        <f>ROUND(C273,0)</f>
        <v>1163193</v>
      </c>
      <c r="W729" s="284">
        <f>ROUND(C274,0)</f>
        <v>1538937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2814764</v>
      </c>
      <c r="AJ729" s="284">
        <f>ROUND(C306,0)</f>
        <v>8790586</v>
      </c>
      <c r="AK729" s="284">
        <f>ROUND(C307,0)</f>
        <v>94943</v>
      </c>
      <c r="AL729" s="284">
        <f>ROUND(C308,0)</f>
        <v>0</v>
      </c>
      <c r="AM729" s="284">
        <f>ROUND(C309,0)</f>
        <v>13867296</v>
      </c>
      <c r="AN729" s="284">
        <f>ROUND(C310,0)</f>
        <v>0</v>
      </c>
      <c r="AO729" s="284">
        <f>ROUND(C311,0)</f>
        <v>0</v>
      </c>
      <c r="AP729" s="284">
        <f>ROUND(C312,0)</f>
        <v>184471</v>
      </c>
      <c r="AQ729" s="284">
        <f>ROUND(C315,0)</f>
        <v>0</v>
      </c>
      <c r="AR729" s="284">
        <f>ROUND(C316,0)</f>
        <v>0</v>
      </c>
      <c r="AS729" s="284">
        <f>ROUND(C317,0)</f>
        <v>1968556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61964445</v>
      </c>
      <c r="AZ729" s="284">
        <f>ROUND(C326,0)</f>
        <v>0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579</v>
      </c>
      <c r="BJ729" s="284">
        <f>ROUND(C358,0)</f>
        <v>0</v>
      </c>
      <c r="BK729" s="284">
        <f>ROUND(C359,0)</f>
        <v>56841635</v>
      </c>
      <c r="BL729" s="284">
        <f>ROUND(C362,0)</f>
        <v>0</v>
      </c>
      <c r="BM729" s="284">
        <f>ROUND(C363,0)</f>
        <v>3535411</v>
      </c>
      <c r="BN729" s="284">
        <f>ROUND(C364,0)</f>
        <v>136126273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51701358</v>
      </c>
      <c r="BT729" s="284">
        <f>ROUND(C379,0)</f>
        <v>16595535</v>
      </c>
      <c r="BU729" s="284">
        <f>ROUND(C380,0)</f>
        <v>6241846</v>
      </c>
      <c r="BV729" s="284">
        <f>ROUND(C381,0)</f>
        <v>13672316</v>
      </c>
      <c r="BW729" s="284">
        <f>ROUND(C382,0)</f>
        <v>1080054</v>
      </c>
      <c r="BX729" s="284">
        <f>ROUND(C383,0)</f>
        <v>15080297</v>
      </c>
      <c r="BY729" s="284">
        <f>ROUND(C384,0)</f>
        <v>7650492</v>
      </c>
      <c r="BZ729" s="284">
        <f>ROUND(C385,0)</f>
        <v>825453</v>
      </c>
      <c r="CA729" s="284">
        <f>ROUND(C386,0)</f>
        <v>729128</v>
      </c>
      <c r="CB729" s="284">
        <f>ROUND(C387,0)</f>
        <v>652818</v>
      </c>
      <c r="CC729" s="284">
        <f>ROUND(C388,0)</f>
        <v>2988597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lth*152*6010*A</v>
      </c>
      <c r="B733" s="284">
        <f>ROUND(C59,0)</f>
        <v>954</v>
      </c>
      <c r="C733" s="287">
        <f>ROUND(C60,2)</f>
        <v>19.2</v>
      </c>
      <c r="D733" s="284">
        <f>ROUND(C61,0)</f>
        <v>1921948</v>
      </c>
      <c r="E733" s="284">
        <f>ROUND(C62,0)</f>
        <v>620555</v>
      </c>
      <c r="F733" s="284">
        <f>ROUND(C63,0)</f>
        <v>10838</v>
      </c>
      <c r="G733" s="284">
        <f>ROUND(C64,0)</f>
        <v>109114</v>
      </c>
      <c r="H733" s="284">
        <f>ROUND(C65,0)</f>
        <v>672</v>
      </c>
      <c r="I733" s="284">
        <f>ROUND(C66,0)</f>
        <v>18294</v>
      </c>
      <c r="J733" s="284">
        <f>ROUND(C67,0)</f>
        <v>135556</v>
      </c>
      <c r="K733" s="284">
        <f>ROUND(C68,0)</f>
        <v>2599</v>
      </c>
      <c r="L733" s="284">
        <f>ROUND(C70,0)</f>
        <v>0</v>
      </c>
      <c r="M733" s="284">
        <f>ROUND(C71,0)</f>
        <v>2819653</v>
      </c>
      <c r="N733" s="284">
        <f>ROUND(C76,0)</f>
        <v>6518</v>
      </c>
      <c r="O733" s="284">
        <f>ROUND(C74,0)</f>
        <v>3106770</v>
      </c>
      <c r="P733" s="284">
        <f>IF(C77&gt;0,ROUND(C77,0),0)</f>
        <v>5275</v>
      </c>
      <c r="Q733" s="284">
        <f>IF(C78&gt;0,ROUND(C78,0),0)</f>
        <v>6518</v>
      </c>
      <c r="R733" s="284">
        <f>IF(C79&gt;0,ROUND(C79,0),0)</f>
        <v>29381</v>
      </c>
      <c r="S733" s="284">
        <f>IF(C80&gt;0,ROUND(C80,0),0)</f>
        <v>19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lth*152*6030*A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>
        <f t="shared" ref="Z734:Z778" si="21">IF(M668&lt;&gt;0,ROUND(M668,0),0)</f>
        <v>2237980</v>
      </c>
    </row>
    <row r="735" spans="1:84" ht="12.65" customHeight="1" x14ac:dyDescent="0.3">
      <c r="A735" s="209" t="str">
        <f>RIGHT($C$84,3)&amp;"*"&amp;RIGHT($C$83,4)&amp;"*"&amp;E$55&amp;"*"&amp;"A"</f>
        <v>lth*152*6070*A</v>
      </c>
      <c r="B735" s="284">
        <f>ROUND(E59,0)</f>
        <v>3491</v>
      </c>
      <c r="C735" s="287">
        <f>ROUND(E60,2)</f>
        <v>48.59</v>
      </c>
      <c r="D735" s="284">
        <f>ROUND(E61,0)</f>
        <v>4524653</v>
      </c>
      <c r="E735" s="284">
        <f>ROUND(E62,0)</f>
        <v>1518679</v>
      </c>
      <c r="F735" s="284">
        <f>ROUND(E63,0)</f>
        <v>290072</v>
      </c>
      <c r="G735" s="284">
        <f>ROUND(E64,0)</f>
        <v>176827</v>
      </c>
      <c r="H735" s="284">
        <f>ROUND(E65,0)</f>
        <v>645</v>
      </c>
      <c r="I735" s="284">
        <f>ROUND(E66,0)</f>
        <v>5412</v>
      </c>
      <c r="J735" s="284">
        <f>ROUND(E67,0)</f>
        <v>400415</v>
      </c>
      <c r="K735" s="284">
        <f>ROUND(E68,0)</f>
        <v>7056</v>
      </c>
      <c r="L735" s="284">
        <f>ROUND(E70,0)</f>
        <v>0</v>
      </c>
      <c r="M735" s="284">
        <f>ROUND(E71,0)</f>
        <v>6923759</v>
      </c>
      <c r="N735" s="284">
        <f>ROUND(E76,0)</f>
        <v>19254</v>
      </c>
      <c r="O735" s="284">
        <f>ROUND(E74,0)</f>
        <v>5717437</v>
      </c>
      <c r="P735" s="284">
        <f>IF(E77&gt;0,ROUND(E77,0),0)</f>
        <v>23275</v>
      </c>
      <c r="Q735" s="284">
        <f>IF(E78&gt;0,ROUND(E78,0),0)</f>
        <v>19254</v>
      </c>
      <c r="R735" s="284">
        <f>IF(E79&gt;0,ROUND(E79,0),0)</f>
        <v>55939</v>
      </c>
      <c r="S735" s="284">
        <f>IF(E80&gt;0,ROUND(E80,0),0)</f>
        <v>49</v>
      </c>
      <c r="T735" s="287">
        <f>IF(E81&gt;0,ROUND(E81,2),0)</f>
        <v>0</v>
      </c>
      <c r="U735" s="284"/>
      <c r="X735" s="284"/>
      <c r="Y735" s="284"/>
      <c r="Z735" s="284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lth*152*6100*A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>
        <f t="shared" si="21"/>
        <v>5875689</v>
      </c>
    </row>
    <row r="737" spans="1:26" ht="12.65" customHeight="1" x14ac:dyDescent="0.3">
      <c r="A737" s="209" t="str">
        <f>RIGHT($C$84,3)&amp;"*"&amp;RIGHT($C$83,4)&amp;"*"&amp;G$55&amp;"*"&amp;"A"</f>
        <v>lth*152*6120*A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lth*152*6140*A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>
        <f>ROUND(H62,0)</f>
        <v>0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>
        <f>ROUND(H67,0)</f>
        <v>0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lth*152*6150*A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lth*152*6170*A</v>
      </c>
      <c r="B740" s="284">
        <f>ROUND(J59,0)</f>
        <v>683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24150</v>
      </c>
      <c r="H740" s="284">
        <f>ROUND(J65,0)</f>
        <v>0</v>
      </c>
      <c r="I740" s="284">
        <f>ROUND(J66,0)</f>
        <v>3717</v>
      </c>
      <c r="J740" s="284">
        <f>ROUND(J67,0)</f>
        <v>10025</v>
      </c>
      <c r="K740" s="284">
        <f>ROUND(J68,0)</f>
        <v>0</v>
      </c>
      <c r="L740" s="284">
        <f>ROUND(J70,0)</f>
        <v>0</v>
      </c>
      <c r="M740" s="284">
        <f>ROUND(J71,0)</f>
        <v>39949</v>
      </c>
      <c r="N740" s="284">
        <f>ROUND(J76,0)</f>
        <v>482</v>
      </c>
      <c r="O740" s="284">
        <f>ROUND(J74,0)</f>
        <v>103820</v>
      </c>
      <c r="P740" s="284">
        <f>IF(J77&gt;0,ROUND(J77,0),0)</f>
        <v>0</v>
      </c>
      <c r="Q740" s="284">
        <f>IF(J78&gt;0,ROUND(J78,0),0)</f>
        <v>482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lth*152*6200*A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>
        <f t="shared" si="21"/>
        <v>112897</v>
      </c>
    </row>
    <row r="742" spans="1:26" ht="12.65" customHeight="1" x14ac:dyDescent="0.3">
      <c r="A742" s="209" t="str">
        <f>RIGHT($C$84,3)&amp;"*"&amp;RIGHT($C$83,4)&amp;"*"&amp;L$55&amp;"*"&amp;"A"</f>
        <v>lth*152*6210*A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lth*152*6330*A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lth*152*6400*A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lth*152*7010*A</v>
      </c>
      <c r="B745" s="284">
        <f>ROUND(O59,0)</f>
        <v>1000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99984</v>
      </c>
      <c r="H745" s="284">
        <f>ROUND(O65,0)</f>
        <v>0</v>
      </c>
      <c r="I745" s="284">
        <f>ROUND(O66,0)</f>
        <v>10149</v>
      </c>
      <c r="J745" s="284">
        <f>ROUND(O67,0)</f>
        <v>20275</v>
      </c>
      <c r="K745" s="284">
        <f>ROUND(O68,0)</f>
        <v>5050</v>
      </c>
      <c r="L745" s="284">
        <f>ROUND(O70,0)</f>
        <v>0</v>
      </c>
      <c r="M745" s="284">
        <f>ROUND(O71,0)</f>
        <v>136477</v>
      </c>
      <c r="N745" s="284">
        <f>ROUND(O76,0)</f>
        <v>975</v>
      </c>
      <c r="O745" s="284">
        <f>ROUND(O74,0)</f>
        <v>789146</v>
      </c>
      <c r="P745" s="284">
        <f>IF(O77&gt;0,ROUND(O77,0),0)</f>
        <v>0</v>
      </c>
      <c r="Q745" s="284">
        <f>IF(O78&gt;0,ROUND(O78,0),0)</f>
        <v>975</v>
      </c>
      <c r="R745" s="284">
        <f>IF(O79&gt;0,ROUND(O79,0),0)</f>
        <v>32618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lth*152*7020*A</v>
      </c>
      <c r="B746" s="284">
        <f>ROUND(P59,0)</f>
        <v>126122</v>
      </c>
      <c r="C746" s="287">
        <f>ROUND(P60,2)</f>
        <v>14.31</v>
      </c>
      <c r="D746" s="284">
        <f>ROUND(P61,0)</f>
        <v>1223912</v>
      </c>
      <c r="E746" s="284">
        <f>ROUND(P62,0)</f>
        <v>399020</v>
      </c>
      <c r="F746" s="284">
        <f>ROUND(P63,0)</f>
        <v>353802</v>
      </c>
      <c r="G746" s="284">
        <f>ROUND(P64,0)</f>
        <v>789064</v>
      </c>
      <c r="H746" s="284">
        <f>ROUND(P65,0)</f>
        <v>474</v>
      </c>
      <c r="I746" s="284">
        <f>ROUND(P66,0)</f>
        <v>240383</v>
      </c>
      <c r="J746" s="284">
        <f>ROUND(P67,0)</f>
        <v>136541</v>
      </c>
      <c r="K746" s="284">
        <f>ROUND(P68,0)</f>
        <v>129358</v>
      </c>
      <c r="L746" s="284">
        <f>ROUND(P70,0)</f>
        <v>1058</v>
      </c>
      <c r="M746" s="284">
        <f>ROUND(P71,0)</f>
        <v>3280834</v>
      </c>
      <c r="N746" s="284">
        <f>ROUND(P76,0)</f>
        <v>6566</v>
      </c>
      <c r="O746" s="284">
        <f>ROUND(P74,0)</f>
        <v>11741021</v>
      </c>
      <c r="P746" s="284">
        <f>IF(P77&gt;0,ROUND(P77,0),0)</f>
        <v>242</v>
      </c>
      <c r="Q746" s="284">
        <f>IF(P78&gt;0,ROUND(P78,0),0)</f>
        <v>6566</v>
      </c>
      <c r="R746" s="284">
        <f>IF(P79&gt;0,ROUND(P79,0),0)</f>
        <v>35095</v>
      </c>
      <c r="S746" s="284">
        <f>IF(P80&gt;0,ROUND(P80,0),0)</f>
        <v>14</v>
      </c>
      <c r="T746" s="287">
        <f>IF(P81&gt;0,ROUND(P81,2),0)</f>
        <v>0</v>
      </c>
      <c r="U746" s="284"/>
      <c r="X746" s="284"/>
      <c r="Y746" s="284"/>
      <c r="Z746" s="284">
        <f t="shared" si="21"/>
        <v>318509</v>
      </c>
    </row>
    <row r="747" spans="1:26" ht="12.65" customHeight="1" x14ac:dyDescent="0.3">
      <c r="A747" s="209" t="str">
        <f>RIGHT($C$84,3)&amp;"*"&amp;RIGHT($C$83,4)&amp;"*"&amp;Q$55&amp;"*"&amp;"A"</f>
        <v>lth*152*7030*A</v>
      </c>
      <c r="B747" s="284">
        <f>ROUND(Q59,0)</f>
        <v>121457</v>
      </c>
      <c r="C747" s="287">
        <f>ROUND(Q60,2)</f>
        <v>11.3</v>
      </c>
      <c r="D747" s="284">
        <f>ROUND(Q61,0)</f>
        <v>1134146</v>
      </c>
      <c r="E747" s="284">
        <f>ROUND(Q62,0)</f>
        <v>394616</v>
      </c>
      <c r="F747" s="284">
        <f>ROUND(Q63,0)</f>
        <v>0</v>
      </c>
      <c r="G747" s="284">
        <f>ROUND(Q64,0)</f>
        <v>105405</v>
      </c>
      <c r="H747" s="284">
        <f>ROUND(Q65,0)</f>
        <v>0</v>
      </c>
      <c r="I747" s="284">
        <f>ROUND(Q66,0)</f>
        <v>2989</v>
      </c>
      <c r="J747" s="284">
        <f>ROUND(Q67,0)</f>
        <v>150719</v>
      </c>
      <c r="K747" s="284">
        <f>ROUND(Q68,0)</f>
        <v>5162</v>
      </c>
      <c r="L747" s="284">
        <f>ROUND(Q70,0)</f>
        <v>0</v>
      </c>
      <c r="M747" s="284">
        <f>ROUND(Q71,0)</f>
        <v>1793431</v>
      </c>
      <c r="N747" s="284">
        <f>ROUND(Q76,0)</f>
        <v>7247</v>
      </c>
      <c r="O747" s="284">
        <f>ROUND(Q74,0)</f>
        <v>5220521</v>
      </c>
      <c r="P747" s="284">
        <f>IF(Q77&gt;0,ROUND(Q77,0),0)</f>
        <v>0</v>
      </c>
      <c r="Q747" s="284">
        <f>IF(Q78&gt;0,ROUND(Q78,0),0)</f>
        <v>7247</v>
      </c>
      <c r="R747" s="284">
        <f>IF(Q79&gt;0,ROUND(Q79,0),0)</f>
        <v>21196</v>
      </c>
      <c r="S747" s="284">
        <f>IF(Q80&gt;0,ROUND(Q80,0),0)</f>
        <v>11</v>
      </c>
      <c r="T747" s="287">
        <f>IF(Q81&gt;0,ROUND(Q81,2),0)</f>
        <v>0</v>
      </c>
      <c r="U747" s="284"/>
      <c r="X747" s="284"/>
      <c r="Y747" s="284"/>
      <c r="Z747" s="284">
        <f t="shared" si="21"/>
        <v>2221319</v>
      </c>
    </row>
    <row r="748" spans="1:26" ht="12.65" customHeight="1" x14ac:dyDescent="0.3">
      <c r="A748" s="209" t="str">
        <f>RIGHT($C$84,3)&amp;"*"&amp;RIGHT($C$83,4)&amp;"*"&amp;R$55&amp;"*"&amp;"A"</f>
        <v>lth*152*7040*A</v>
      </c>
      <c r="B748" s="284">
        <f>ROUND(R59,0)</f>
        <v>126122</v>
      </c>
      <c r="C748" s="287">
        <f>ROUND(R60,2)</f>
        <v>4.58</v>
      </c>
      <c r="D748" s="284">
        <f>ROUND(R61,0)</f>
        <v>940215</v>
      </c>
      <c r="E748" s="284">
        <f>ROUND(R62,0)</f>
        <v>220227</v>
      </c>
      <c r="F748" s="284">
        <f>ROUND(R63,0)</f>
        <v>0</v>
      </c>
      <c r="G748" s="284">
        <f>ROUND(R64,0)</f>
        <v>65420</v>
      </c>
      <c r="H748" s="284">
        <f>ROUND(R65,0)</f>
        <v>0</v>
      </c>
      <c r="I748" s="284">
        <f>ROUND(R66,0)</f>
        <v>52654</v>
      </c>
      <c r="J748" s="284">
        <f>ROUND(R67,0)</f>
        <v>6480</v>
      </c>
      <c r="K748" s="284">
        <f>ROUND(R68,0)</f>
        <v>1014</v>
      </c>
      <c r="L748" s="284">
        <f>ROUND(R70,0)</f>
        <v>1748698</v>
      </c>
      <c r="M748" s="284">
        <f>ROUND(R71,0)</f>
        <v>-445434</v>
      </c>
      <c r="N748" s="284">
        <f>ROUND(R76,0)</f>
        <v>312</v>
      </c>
      <c r="O748" s="284">
        <f>ROUND(R74,0)</f>
        <v>1672097</v>
      </c>
      <c r="P748" s="284">
        <f>IF(R77&gt;0,ROUND(R77,0),0)</f>
        <v>0</v>
      </c>
      <c r="Q748" s="284">
        <f>IF(R78&gt;0,ROUND(R78,0),0)</f>
        <v>312</v>
      </c>
      <c r="R748" s="284">
        <f>IF(R79&gt;0,ROUND(R79,0),0)</f>
        <v>0</v>
      </c>
      <c r="S748" s="284">
        <f>IF(R80&gt;0,ROUND(R80,0),0)</f>
        <v>5</v>
      </c>
      <c r="T748" s="287">
        <f>IF(R81&gt;0,ROUND(R81,2),0)</f>
        <v>0</v>
      </c>
      <c r="U748" s="284"/>
      <c r="X748" s="284"/>
      <c r="Y748" s="284"/>
      <c r="Z748" s="284">
        <f t="shared" si="21"/>
        <v>1186175</v>
      </c>
    </row>
    <row r="749" spans="1:26" ht="12.65" customHeight="1" x14ac:dyDescent="0.3">
      <c r="A749" s="209" t="str">
        <f>RIGHT($C$84,3)&amp;"*"&amp;RIGHT($C$83,4)&amp;"*"&amp;S$55&amp;"*"&amp;"A"</f>
        <v>lth*152*7050*A</v>
      </c>
      <c r="B749" s="284"/>
      <c r="C749" s="287">
        <f>ROUND(S60,2)</f>
        <v>0</v>
      </c>
      <c r="D749" s="284">
        <f>ROUND(S61,0)</f>
        <v>0</v>
      </c>
      <c r="E749" s="284">
        <f>ROUND(S62,0)</f>
        <v>0</v>
      </c>
      <c r="F749" s="284">
        <f>ROUND(S63,0)</f>
        <v>0</v>
      </c>
      <c r="G749" s="284">
        <f>ROUND(S64,0)</f>
        <v>4262635</v>
      </c>
      <c r="H749" s="284">
        <f>ROUND(S65,0)</f>
        <v>0</v>
      </c>
      <c r="I749" s="284">
        <f>ROUND(S66,0)</f>
        <v>55</v>
      </c>
      <c r="J749" s="284">
        <f>ROUND(S67,0)</f>
        <v>61774</v>
      </c>
      <c r="K749" s="284">
        <f>ROUND(S68,0)</f>
        <v>4254</v>
      </c>
      <c r="L749" s="284">
        <f>ROUND(S70,0)</f>
        <v>0</v>
      </c>
      <c r="M749" s="284">
        <f>ROUND(S71,0)</f>
        <v>4328719</v>
      </c>
      <c r="N749" s="284">
        <f>ROUND(S76,0)</f>
        <v>2970</v>
      </c>
      <c r="O749" s="284">
        <f>ROUND(S74,0)</f>
        <v>4218786</v>
      </c>
      <c r="P749" s="284">
        <f>IF(S77&gt;0,ROUND(S77,0),0)</f>
        <v>0</v>
      </c>
      <c r="Q749" s="284">
        <f>IF(S78&gt;0,ROUND(S78,0),0)</f>
        <v>2970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>
        <f t="shared" si="21"/>
        <v>300118</v>
      </c>
    </row>
    <row r="750" spans="1:26" ht="12.65" customHeight="1" x14ac:dyDescent="0.3">
      <c r="A750" s="209" t="str">
        <f>RIGHT($C$84,3)&amp;"*"&amp;RIGHT($C$83,4)&amp;"*"&amp;T$55&amp;"*"&amp;"A"</f>
        <v>lth*152*7060*A</v>
      </c>
      <c r="B750" s="284"/>
      <c r="C750" s="287">
        <f>ROUND(T60,2)</f>
        <v>0</v>
      </c>
      <c r="D750" s="284">
        <f>ROUND(T61,0)</f>
        <v>0</v>
      </c>
      <c r="E750" s="284">
        <f>ROUND(T62,0)</f>
        <v>0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>
        <f>ROUND(T67,0)</f>
        <v>0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>
        <f t="shared" si="21"/>
        <v>1218087</v>
      </c>
    </row>
    <row r="751" spans="1:26" ht="12.65" customHeight="1" x14ac:dyDescent="0.3">
      <c r="A751" s="209" t="str">
        <f>RIGHT($C$84,3)&amp;"*"&amp;RIGHT($C$83,4)&amp;"*"&amp;U$55&amp;"*"&amp;"A"</f>
        <v>lth*152*7070*A</v>
      </c>
      <c r="B751" s="284">
        <f>ROUND(U59,0)</f>
        <v>236108</v>
      </c>
      <c r="C751" s="287">
        <f>ROUND(U60,2)</f>
        <v>26.12</v>
      </c>
      <c r="D751" s="284">
        <f>ROUND(U61,0)</f>
        <v>1748454</v>
      </c>
      <c r="E751" s="284">
        <f>ROUND(U62,0)</f>
        <v>616729</v>
      </c>
      <c r="F751" s="284">
        <f>ROUND(U63,0)</f>
        <v>15480</v>
      </c>
      <c r="G751" s="284">
        <f>ROUND(U64,0)</f>
        <v>2059259</v>
      </c>
      <c r="H751" s="284">
        <f>ROUND(U65,0)</f>
        <v>515</v>
      </c>
      <c r="I751" s="284">
        <f>ROUND(U66,0)</f>
        <v>890797</v>
      </c>
      <c r="J751" s="284">
        <f>ROUND(U67,0)</f>
        <v>91359</v>
      </c>
      <c r="K751" s="284">
        <f>ROUND(U68,0)</f>
        <v>9005</v>
      </c>
      <c r="L751" s="284">
        <f>ROUND(U70,0)</f>
        <v>0</v>
      </c>
      <c r="M751" s="284">
        <f>ROUND(U71,0)</f>
        <v>5433029</v>
      </c>
      <c r="N751" s="284">
        <f>ROUND(U76,0)</f>
        <v>4393</v>
      </c>
      <c r="O751" s="284">
        <f>ROUND(U74,0)</f>
        <v>29028539</v>
      </c>
      <c r="P751" s="284">
        <f>IF(U77&gt;0,ROUND(U77,0),0)</f>
        <v>0</v>
      </c>
      <c r="Q751" s="284">
        <f>IF(U78&gt;0,ROUND(U78,0),0)</f>
        <v>4393</v>
      </c>
      <c r="R751" s="284">
        <f>IF(U79&gt;0,ROUND(U79,0),0)</f>
        <v>838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lth*152*7110*A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>
        <f t="shared" si="21"/>
        <v>3048765</v>
      </c>
    </row>
    <row r="753" spans="1:26" ht="12.65" customHeight="1" x14ac:dyDescent="0.3">
      <c r="A753" s="209" t="str">
        <f>RIGHT($C$84,3)&amp;"*"&amp;RIGHT($C$83,4)&amp;"*"&amp;W$55&amp;"*"&amp;"A"</f>
        <v>lth*152*7120*A</v>
      </c>
      <c r="B753" s="284">
        <f>ROUND(W59,0)</f>
        <v>1718</v>
      </c>
      <c r="C753" s="287">
        <f>ROUND(W60,2)</f>
        <v>2.04</v>
      </c>
      <c r="D753" s="284">
        <f>ROUND(W61,0)</f>
        <v>202432</v>
      </c>
      <c r="E753" s="284">
        <f>ROUND(W62,0)</f>
        <v>71374</v>
      </c>
      <c r="F753" s="284">
        <f>ROUND(W63,0)</f>
        <v>0</v>
      </c>
      <c r="G753" s="284">
        <f>ROUND(W64,0)</f>
        <v>20604</v>
      </c>
      <c r="H753" s="284">
        <f>ROUND(W65,0)</f>
        <v>0</v>
      </c>
      <c r="I753" s="284">
        <f>ROUND(W66,0)</f>
        <v>19269</v>
      </c>
      <c r="J753" s="284">
        <f>ROUND(W67,0)</f>
        <v>44452</v>
      </c>
      <c r="K753" s="284">
        <f>ROUND(W68,0)</f>
        <v>0</v>
      </c>
      <c r="L753" s="284">
        <f>ROUND(W70,0)</f>
        <v>0</v>
      </c>
      <c r="M753" s="284">
        <f>ROUND(W71,0)</f>
        <v>358447</v>
      </c>
      <c r="N753" s="284">
        <f>ROUND(W76,0)</f>
        <v>2137</v>
      </c>
      <c r="O753" s="284">
        <f>ROUND(W74,0)</f>
        <v>6486224</v>
      </c>
      <c r="P753" s="284">
        <f>IF(W77&gt;0,ROUND(W77,0),0)</f>
        <v>0</v>
      </c>
      <c r="Q753" s="284">
        <f>IF(W78&gt;0,ROUND(W78,0),0)</f>
        <v>2137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>
        <f t="shared" si="21"/>
        <v>0</v>
      </c>
    </row>
    <row r="754" spans="1:26" ht="12.65" customHeight="1" x14ac:dyDescent="0.3">
      <c r="A754" s="209" t="str">
        <f>RIGHT($C$84,3)&amp;"*"&amp;RIGHT($C$83,4)&amp;"*"&amp;X$55&amp;"*"&amp;"A"</f>
        <v>lth*152*7130*A</v>
      </c>
      <c r="B754" s="284">
        <f>ROUND(X59,0)</f>
        <v>26535</v>
      </c>
      <c r="C754" s="287">
        <f>ROUND(X60,2)</f>
        <v>4.0199999999999996</v>
      </c>
      <c r="D754" s="284">
        <f>ROUND(X61,0)</f>
        <v>422213</v>
      </c>
      <c r="E754" s="284">
        <f>ROUND(X62,0)</f>
        <v>140585</v>
      </c>
      <c r="F754" s="284">
        <f>ROUND(X63,0)</f>
        <v>0</v>
      </c>
      <c r="G754" s="284">
        <f>ROUND(X64,0)</f>
        <v>97482</v>
      </c>
      <c r="H754" s="284">
        <f>ROUND(X65,0)</f>
        <v>0</v>
      </c>
      <c r="I754" s="284">
        <f>ROUND(X66,0)</f>
        <v>149028</v>
      </c>
      <c r="J754" s="284">
        <f>ROUND(X67,0)</f>
        <v>16464</v>
      </c>
      <c r="K754" s="284">
        <f>ROUND(X68,0)</f>
        <v>0</v>
      </c>
      <c r="L754" s="284">
        <f>ROUND(X70,0)</f>
        <v>0</v>
      </c>
      <c r="M754" s="284">
        <f>ROUND(X71,0)</f>
        <v>825772</v>
      </c>
      <c r="N754" s="284">
        <f>ROUND(X76,0)</f>
        <v>792</v>
      </c>
      <c r="O754" s="284">
        <f>ROUND(X74,0)</f>
        <v>19898880</v>
      </c>
      <c r="P754" s="284">
        <f>IF(X77&gt;0,ROUND(X77,0),0)</f>
        <v>0</v>
      </c>
      <c r="Q754" s="284">
        <f>IF(X78&gt;0,ROUND(X78,0),0)</f>
        <v>792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>
        <f t="shared" si="21"/>
        <v>541828</v>
      </c>
    </row>
    <row r="755" spans="1:26" ht="12.65" customHeight="1" x14ac:dyDescent="0.3">
      <c r="A755" s="209" t="str">
        <f>RIGHT($C$84,3)&amp;"*"&amp;RIGHT($C$83,4)&amp;"*"&amp;Y$55&amp;"*"&amp;"A"</f>
        <v>lth*152*7140*A</v>
      </c>
      <c r="B755" s="284">
        <f>ROUND(Y59,0)</f>
        <v>36364</v>
      </c>
      <c r="C755" s="287">
        <f>ROUND(Y60,2)</f>
        <v>21.6</v>
      </c>
      <c r="D755" s="284">
        <f>ROUND(Y61,0)</f>
        <v>1776141</v>
      </c>
      <c r="E755" s="284">
        <f>ROUND(Y62,0)</f>
        <v>609930</v>
      </c>
      <c r="F755" s="284">
        <f>ROUND(Y63,0)</f>
        <v>0</v>
      </c>
      <c r="G755" s="284">
        <f>ROUND(Y64,0)</f>
        <v>94187</v>
      </c>
      <c r="H755" s="284">
        <f>ROUND(Y65,0)</f>
        <v>0</v>
      </c>
      <c r="I755" s="284">
        <f>ROUND(Y66,0)</f>
        <v>661651</v>
      </c>
      <c r="J755" s="284">
        <f>ROUND(Y67,0)</f>
        <v>145414</v>
      </c>
      <c r="K755" s="284">
        <f>ROUND(Y68,0)</f>
        <v>10266</v>
      </c>
      <c r="L755" s="284">
        <f>ROUND(Y70,0)</f>
        <v>0</v>
      </c>
      <c r="M755" s="284">
        <f>ROUND(Y71,0)</f>
        <v>3298395</v>
      </c>
      <c r="N755" s="284">
        <f>ROUND(Y76,0)</f>
        <v>6992</v>
      </c>
      <c r="O755" s="284">
        <f>ROUND(Y74,0)</f>
        <v>16250516</v>
      </c>
      <c r="P755" s="284">
        <f>IF(Y77&gt;0,ROUND(Y77,0),0)</f>
        <v>0</v>
      </c>
      <c r="Q755" s="284">
        <f>IF(Y78&gt;0,ROUND(Y78,0),0)</f>
        <v>6992</v>
      </c>
      <c r="R755" s="284">
        <f>IF(Y79&gt;0,ROUND(Y79,0),0)</f>
        <v>24102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>
        <f t="shared" si="21"/>
        <v>1564722</v>
      </c>
    </row>
    <row r="756" spans="1:26" ht="12.65" customHeight="1" x14ac:dyDescent="0.3">
      <c r="A756" s="209" t="str">
        <f>RIGHT($C$84,3)&amp;"*"&amp;RIGHT($C$83,4)&amp;"*"&amp;Z$55&amp;"*"&amp;"A"</f>
        <v>lth*152*7150*A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>
        <f>ROUND(Z62,0)</f>
        <v>0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>
        <f>ROUND(Z67,0)</f>
        <v>0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>
        <f t="shared" si="21"/>
        <v>1693850</v>
      </c>
    </row>
    <row r="757" spans="1:26" ht="12.65" customHeight="1" x14ac:dyDescent="0.3">
      <c r="A757" s="209" t="str">
        <f>RIGHT($C$84,3)&amp;"*"&amp;RIGHT($C$83,4)&amp;"*"&amp;AA$55&amp;"*"&amp;"A"</f>
        <v>lth*152*7160*A</v>
      </c>
      <c r="B757" s="284">
        <f>ROUND(AA59,0)</f>
        <v>1943</v>
      </c>
      <c r="C757" s="287">
        <f>ROUND(AA60,2)</f>
        <v>0.94</v>
      </c>
      <c r="D757" s="284">
        <f>ROUND(AA61,0)</f>
        <v>96559</v>
      </c>
      <c r="E757" s="284">
        <f>ROUND(AA62,0)</f>
        <v>25144</v>
      </c>
      <c r="F757" s="284">
        <f>ROUND(AA63,0)</f>
        <v>0</v>
      </c>
      <c r="G757" s="284">
        <f>ROUND(AA64,0)</f>
        <v>38258</v>
      </c>
      <c r="H757" s="284">
        <f>ROUND(AA65,0)</f>
        <v>0</v>
      </c>
      <c r="I757" s="284">
        <f>ROUND(AA66,0)</f>
        <v>44115</v>
      </c>
      <c r="J757" s="284">
        <f>ROUND(AA67,0)</f>
        <v>14353</v>
      </c>
      <c r="K757" s="284">
        <f>ROUND(AA68,0)</f>
        <v>0</v>
      </c>
      <c r="L757" s="284">
        <f>ROUND(AA70,0)</f>
        <v>0</v>
      </c>
      <c r="M757" s="284">
        <f>ROUND(AA71,0)</f>
        <v>218429</v>
      </c>
      <c r="N757" s="284">
        <f>ROUND(AA76,0)</f>
        <v>690</v>
      </c>
      <c r="O757" s="284">
        <f>ROUND(AA74,0)</f>
        <v>830671</v>
      </c>
      <c r="P757" s="284">
        <f>IF(AA77&gt;0,ROUND(AA77,0),0)</f>
        <v>0</v>
      </c>
      <c r="Q757" s="284">
        <f>IF(AA78&gt;0,ROUND(AA78,0),0)</f>
        <v>690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lth*152*7170*A</v>
      </c>
      <c r="B758" s="284"/>
      <c r="C758" s="287">
        <f>ROUND(AB60,2)</f>
        <v>12.92</v>
      </c>
      <c r="D758" s="284">
        <f>ROUND(AB61,0)</f>
        <v>1479438</v>
      </c>
      <c r="E758" s="284">
        <f>ROUND(AB62,0)</f>
        <v>489352</v>
      </c>
      <c r="F758" s="284">
        <f>ROUND(AB63,0)</f>
        <v>0</v>
      </c>
      <c r="G758" s="284">
        <f>ROUND(AB64,0)</f>
        <v>2456947</v>
      </c>
      <c r="H758" s="284">
        <f>ROUND(AB65,0)</f>
        <v>0</v>
      </c>
      <c r="I758" s="284">
        <f>ROUND(AB66,0)</f>
        <v>293755</v>
      </c>
      <c r="J758" s="284">
        <f>ROUND(AB67,0)</f>
        <v>39979</v>
      </c>
      <c r="K758" s="284">
        <f>ROUND(AB68,0)</f>
        <v>1163</v>
      </c>
      <c r="L758" s="284">
        <f>ROUND(AB70,0)</f>
        <v>4163255</v>
      </c>
      <c r="M758" s="284">
        <f>ROUND(AB71,0)</f>
        <v>607647</v>
      </c>
      <c r="N758" s="284">
        <f>ROUND(AB76,0)</f>
        <v>1922</v>
      </c>
      <c r="O758" s="284">
        <f>ROUND(AB74,0)</f>
        <v>6538661</v>
      </c>
      <c r="P758" s="284">
        <f>IF(AB77&gt;0,ROUND(AB77,0),0)</f>
        <v>0</v>
      </c>
      <c r="Q758" s="284">
        <f>IF(AB78&gt;0,ROUND(AB78,0),0)</f>
        <v>1922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>
        <f t="shared" si="21"/>
        <v>96178</v>
      </c>
    </row>
    <row r="759" spans="1:26" ht="12.65" customHeight="1" x14ac:dyDescent="0.3">
      <c r="A759" s="209" t="str">
        <f>RIGHT($C$84,3)&amp;"*"&amp;RIGHT($C$83,4)&amp;"*"&amp;AC$55&amp;"*"&amp;"A"</f>
        <v>lth*152*7180*A</v>
      </c>
      <c r="B759" s="284">
        <f>ROUND(AC59,0)</f>
        <v>4277</v>
      </c>
      <c r="C759" s="287">
        <f>ROUND(AC60,2)</f>
        <v>8.8000000000000007</v>
      </c>
      <c r="D759" s="284">
        <f>ROUND(AC61,0)</f>
        <v>775475</v>
      </c>
      <c r="E759" s="284">
        <f>ROUND(AC62,0)</f>
        <v>299142</v>
      </c>
      <c r="F759" s="284">
        <f>ROUND(AC63,0)</f>
        <v>0</v>
      </c>
      <c r="G759" s="284">
        <f>ROUND(AC64,0)</f>
        <v>75906</v>
      </c>
      <c r="H759" s="284">
        <f>ROUND(AC65,0)</f>
        <v>0</v>
      </c>
      <c r="I759" s="284">
        <f>ROUND(AC66,0)</f>
        <v>16669</v>
      </c>
      <c r="J759" s="284">
        <f>ROUND(AC67,0)</f>
        <v>16752</v>
      </c>
      <c r="K759" s="284">
        <f>ROUND(AC68,0)</f>
        <v>18350</v>
      </c>
      <c r="L759" s="284">
        <f>ROUND(AC70,0)</f>
        <v>0</v>
      </c>
      <c r="M759" s="284">
        <f>ROUND(AC71,0)</f>
        <v>1202453</v>
      </c>
      <c r="N759" s="284">
        <f>ROUND(AC76,0)</f>
        <v>806</v>
      </c>
      <c r="O759" s="284">
        <f>ROUND(AC74,0)</f>
        <v>2290285</v>
      </c>
      <c r="P759" s="284">
        <f>IF(AC77&gt;0,ROUND(AC77,0),0)</f>
        <v>0</v>
      </c>
      <c r="Q759" s="284">
        <f>IF(AC78&gt;0,ROUND(AC78,0),0)</f>
        <v>806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>
        <f t="shared" si="21"/>
        <v>896993</v>
      </c>
    </row>
    <row r="760" spans="1:26" ht="12.65" customHeight="1" x14ac:dyDescent="0.3">
      <c r="A760" s="209" t="str">
        <f>RIGHT($C$84,3)&amp;"*"&amp;RIGHT($C$83,4)&amp;"*"&amp;AD$55&amp;"*"&amp;"A"</f>
        <v>lth*152*7190*A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>
        <f>ROUND(AD67,0)</f>
        <v>0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>
        <f t="shared" si="21"/>
        <v>548432</v>
      </c>
    </row>
    <row r="761" spans="1:26" ht="12.65" customHeight="1" x14ac:dyDescent="0.3">
      <c r="A761" s="209" t="str">
        <f>RIGHT($C$84,3)&amp;"*"&amp;RIGHT($C$83,4)&amp;"*"&amp;AE$55&amp;"*"&amp;"A"</f>
        <v>lth*152*7200*A</v>
      </c>
      <c r="B761" s="284">
        <f>ROUND(AE59,0)</f>
        <v>18823</v>
      </c>
      <c r="C761" s="287">
        <f>ROUND(AE60,2)</f>
        <v>19.48</v>
      </c>
      <c r="D761" s="284">
        <f>ROUND(AE61,0)</f>
        <v>1560265</v>
      </c>
      <c r="E761" s="284">
        <f>ROUND(AE62,0)</f>
        <v>507115</v>
      </c>
      <c r="F761" s="284">
        <f>ROUND(AE63,0)</f>
        <v>59629</v>
      </c>
      <c r="G761" s="284">
        <f>ROUND(AE64,0)</f>
        <v>28433</v>
      </c>
      <c r="H761" s="284">
        <f>ROUND(AE65,0)</f>
        <v>0</v>
      </c>
      <c r="I761" s="284">
        <f>ROUND(AE66,0)</f>
        <v>16814</v>
      </c>
      <c r="J761" s="284">
        <f>ROUND(AE67,0)</f>
        <v>80827</v>
      </c>
      <c r="K761" s="284">
        <f>ROUND(AE68,0)</f>
        <v>6785</v>
      </c>
      <c r="L761" s="284">
        <f>ROUND(AE70,0)</f>
        <v>0</v>
      </c>
      <c r="M761" s="284">
        <f>ROUND(AE71,0)</f>
        <v>2268970</v>
      </c>
      <c r="N761" s="284">
        <f>ROUND(AE76,0)</f>
        <v>3887</v>
      </c>
      <c r="O761" s="284">
        <f>ROUND(AE74,0)</f>
        <v>5422838</v>
      </c>
      <c r="P761" s="284">
        <f>IF(AE77&gt;0,ROUND(AE77,0),0)</f>
        <v>0</v>
      </c>
      <c r="Q761" s="284">
        <f>IF(AE78&gt;0,ROUND(AE78,0),0)</f>
        <v>3887</v>
      </c>
      <c r="R761" s="284">
        <f>IF(AE79&gt;0,ROUND(AE79,0),0)</f>
        <v>7984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lth*152*7220*A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>
        <f t="shared" si="21"/>
        <v>728176</v>
      </c>
    </row>
    <row r="763" spans="1:26" ht="12.65" customHeight="1" x14ac:dyDescent="0.3">
      <c r="A763" s="209" t="str">
        <f>RIGHT($C$84,3)&amp;"*"&amp;RIGHT($C$83,4)&amp;"*"&amp;AG$55&amp;"*"&amp;"A"</f>
        <v>lth*152*7230*A</v>
      </c>
      <c r="B763" s="284">
        <f>ROUND(AG59,0)</f>
        <v>16296</v>
      </c>
      <c r="C763" s="287">
        <f>ROUND(AG60,2)</f>
        <v>31.06</v>
      </c>
      <c r="D763" s="284">
        <f>ROUND(AG61,0)</f>
        <v>3534836</v>
      </c>
      <c r="E763" s="284">
        <f>ROUND(AG62,0)</f>
        <v>903770</v>
      </c>
      <c r="F763" s="284">
        <f>ROUND(AG63,0)</f>
        <v>2965368</v>
      </c>
      <c r="G763" s="284">
        <f>ROUND(AG64,0)</f>
        <v>292274</v>
      </c>
      <c r="H763" s="284">
        <f>ROUND(AG65,0)</f>
        <v>480</v>
      </c>
      <c r="I763" s="284">
        <f>ROUND(AG66,0)</f>
        <v>419078</v>
      </c>
      <c r="J763" s="284">
        <f>ROUND(AG67,0)</f>
        <v>198464</v>
      </c>
      <c r="K763" s="284">
        <f>ROUND(AG68,0)</f>
        <v>11299</v>
      </c>
      <c r="L763" s="284">
        <f>ROUND(AG70,0)</f>
        <v>0</v>
      </c>
      <c r="M763" s="284">
        <f>ROUND(AG71,0)</f>
        <v>8369907</v>
      </c>
      <c r="N763" s="284">
        <f>ROUND(AG76,0)</f>
        <v>9543</v>
      </c>
      <c r="O763" s="284">
        <f>ROUND(AG74,0)</f>
        <v>43881359</v>
      </c>
      <c r="P763" s="284">
        <f>IF(AG77&gt;0,ROUND(AG77,0),0)</f>
        <v>810</v>
      </c>
      <c r="Q763" s="284">
        <f>IF(AG78&gt;0,ROUND(AG78,0),0)</f>
        <v>9543</v>
      </c>
      <c r="R763" s="284">
        <f>IF(AG79&gt;0,ROUND(AG79,0),0)</f>
        <v>62763</v>
      </c>
      <c r="S763" s="284">
        <f>IF(AG80&gt;0,ROUND(AG80,0),0)</f>
        <v>31</v>
      </c>
      <c r="T763" s="287">
        <f>IF(AG81&gt;0,ROUND(AG81,2),0)</f>
        <v>0</v>
      </c>
      <c r="U763" s="284"/>
      <c r="X763" s="284"/>
      <c r="Y763" s="284"/>
      <c r="Z763" s="284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lth*152*7240*A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>
        <f t="shared" si="21"/>
        <v>5510233</v>
      </c>
    </row>
    <row r="765" spans="1:26" ht="12.65" customHeight="1" x14ac:dyDescent="0.3">
      <c r="A765" s="209" t="str">
        <f>RIGHT($C$84,3)&amp;"*"&amp;RIGHT($C$83,4)&amp;"*"&amp;AI$55&amp;"*"&amp;"A"</f>
        <v>lth*152*7250*A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lth*152*7260*A</v>
      </c>
      <c r="B766" s="284">
        <f>ROUND(AJ59,0)</f>
        <v>0</v>
      </c>
      <c r="C766" s="287">
        <f>ROUND(AJ60,2)</f>
        <v>0</v>
      </c>
      <c r="D766" s="284">
        <f>ROUND(AJ61,0)</f>
        <v>0</v>
      </c>
      <c r="E766" s="284">
        <f>ROUND(AJ62,0)</f>
        <v>0</v>
      </c>
      <c r="F766" s="284">
        <f>ROUND(AJ63,0)</f>
        <v>0</v>
      </c>
      <c r="G766" s="284">
        <f>ROUND(AJ64,0)</f>
        <v>0</v>
      </c>
      <c r="H766" s="284">
        <f>ROUND(AJ65,0)</f>
        <v>0</v>
      </c>
      <c r="I766" s="284">
        <f>ROUND(AJ66,0)</f>
        <v>0</v>
      </c>
      <c r="J766" s="284">
        <f>ROUND(AJ67,0)</f>
        <v>0</v>
      </c>
      <c r="K766" s="284">
        <f>ROUND(AJ68,0)</f>
        <v>0</v>
      </c>
      <c r="L766" s="284">
        <f>ROUND(AJ70,0)</f>
        <v>0</v>
      </c>
      <c r="M766" s="284">
        <f>ROUND(AJ71,0)</f>
        <v>0</v>
      </c>
      <c r="N766" s="284">
        <f>ROUND(AJ76,0)</f>
        <v>0</v>
      </c>
      <c r="O766" s="284">
        <f>ROUND(AJ74,0)</f>
        <v>0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0</v>
      </c>
      <c r="T766" s="287">
        <f>IF(AJ81&gt;0,ROUND(AJ81,2),0)</f>
        <v>0</v>
      </c>
      <c r="U766" s="284"/>
      <c r="X766" s="284"/>
      <c r="Y766" s="284"/>
      <c r="Z766" s="284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lth*152*7310*A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>
        <f>ROUND(AK62,0)</f>
        <v>0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>
        <f t="shared" si="21"/>
        <v>0</v>
      </c>
    </row>
    <row r="768" spans="1:26" ht="12.65" customHeight="1" x14ac:dyDescent="0.3">
      <c r="A768" s="209" t="str">
        <f>RIGHT($C$84,3)&amp;"*"&amp;RIGHT($C$83,4)&amp;"*"&amp;AL$55&amp;"*"&amp;"A"</f>
        <v>lth*152*7320*A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>
        <f>ROUND(AL62,0)</f>
        <v>0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>
        <f t="shared" si="21"/>
        <v>0</v>
      </c>
    </row>
    <row r="769" spans="1:26" ht="12.65" customHeight="1" x14ac:dyDescent="0.3">
      <c r="A769" s="209" t="str">
        <f>RIGHT($C$84,3)&amp;"*"&amp;RIGHT($C$83,4)&amp;"*"&amp;AM$55&amp;"*"&amp;"A"</f>
        <v>lth*152*7330*A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>
        <f t="shared" si="21"/>
        <v>0</v>
      </c>
    </row>
    <row r="770" spans="1:26" ht="12.65" customHeight="1" x14ac:dyDescent="0.3">
      <c r="A770" s="209" t="str">
        <f>RIGHT($C$84,3)&amp;"*"&amp;RIGHT($C$83,4)&amp;"*"&amp;AN$55&amp;"*"&amp;"A"</f>
        <v>lth*152*7340*A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lth*152*7350*A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lth*152*7380*A</v>
      </c>
      <c r="B772" s="284">
        <f>ROUND(AP59,0)</f>
        <v>76869</v>
      </c>
      <c r="C772" s="287">
        <f>ROUND(AP60,2)</f>
        <v>149.04</v>
      </c>
      <c r="D772" s="284">
        <f>ROUND(AP61,0)</f>
        <v>15789393</v>
      </c>
      <c r="E772" s="284">
        <f>ROUND(AP62,0)</f>
        <v>4392867</v>
      </c>
      <c r="F772" s="284">
        <f>ROUND(AP63,0)</f>
        <v>2120096</v>
      </c>
      <c r="G772" s="284">
        <f>ROUND(AP64,0)</f>
        <v>923892</v>
      </c>
      <c r="H772" s="284">
        <f>ROUND(AP65,0)</f>
        <v>57124</v>
      </c>
      <c r="I772" s="284">
        <f>ROUND(AP66,0)</f>
        <v>363442</v>
      </c>
      <c r="J772" s="284">
        <f>ROUND(AP67,0)</f>
        <v>4255602</v>
      </c>
      <c r="K772" s="284">
        <f>ROUND(AP68,0)</f>
        <v>78673</v>
      </c>
      <c r="L772" s="284">
        <f>ROUND(AP70,0)</f>
        <v>26388</v>
      </c>
      <c r="M772" s="284">
        <f>ROUND(AP71,0)</f>
        <v>28299327</v>
      </c>
      <c r="N772" s="284">
        <f>ROUND(AP76,0)</f>
        <v>78245</v>
      </c>
      <c r="O772" s="284">
        <f>ROUND(AP74,0)</f>
        <v>30086705</v>
      </c>
      <c r="P772" s="284">
        <f>IF(AP77&gt;0,ROUND(AP77,0),0)</f>
        <v>0</v>
      </c>
      <c r="Q772" s="284">
        <f>IF(AP78&gt;0,ROUND(AP78,0),0)</f>
        <v>78245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lth*152*7390*A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>
        <f t="shared" si="21"/>
        <v>6097384</v>
      </c>
    </row>
    <row r="774" spans="1:26" ht="12.65" customHeight="1" x14ac:dyDescent="0.3">
      <c r="A774" s="209" t="str">
        <f>RIGHT($C$84,3)&amp;"*"&amp;RIGHT($C$83,4)&amp;"*"&amp;AR$55&amp;"*"&amp;"A"</f>
        <v>lth*152*7400*A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lth*152*7410*A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lth*152*7420*A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lth*152*7430*A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lth*152*7490*A</v>
      </c>
      <c r="B778" s="284"/>
      <c r="C778" s="287">
        <f>ROUND(AV60,2)</f>
        <v>3.15</v>
      </c>
      <c r="D778" s="284">
        <f>ROUND(AV61,0)</f>
        <v>275255</v>
      </c>
      <c r="E778" s="284">
        <f>ROUND(AV62,0)</f>
        <v>99061</v>
      </c>
      <c r="F778" s="284">
        <f>ROUND(AV63,0)</f>
        <v>0</v>
      </c>
      <c r="G778" s="284">
        <f>ROUND(AV64,0)</f>
        <v>8549</v>
      </c>
      <c r="H778" s="284">
        <f>ROUND(AV65,0)</f>
        <v>0</v>
      </c>
      <c r="I778" s="284">
        <f>ROUND(AV66,0)</f>
        <v>2949</v>
      </c>
      <c r="J778" s="284">
        <f>ROUND(AV67,0)</f>
        <v>5572</v>
      </c>
      <c r="K778" s="284">
        <f>ROUND(AV68,0)</f>
        <v>0</v>
      </c>
      <c r="L778" s="284">
        <f>ROUND(AV70,0)</f>
        <v>400</v>
      </c>
      <c r="M778" s="284">
        <f>ROUND(AV71,0)</f>
        <v>391282</v>
      </c>
      <c r="N778" s="284">
        <f>ROUND(AV76,0)</f>
        <v>268</v>
      </c>
      <c r="O778" s="284">
        <f>ROUND(AV74,0)</f>
        <v>396951</v>
      </c>
      <c r="P778" s="284">
        <f>IF(AV77&gt;0,ROUND(AV77,0),0)</f>
        <v>0</v>
      </c>
      <c r="Q778" s="284">
        <f>IF(AV78&gt;0,ROUND(AV78,0),0)</f>
        <v>268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lth*152*8200*A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">
      <c r="A780" s="209" t="str">
        <f>RIGHT($C$84,3)&amp;"*"&amp;RIGHT($C$83,4)&amp;"*"&amp;AX$55&amp;"*"&amp;"A"</f>
        <v>lth*152*8310*A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">
      <c r="A781" s="209" t="str">
        <f>RIGHT($C$84,3)&amp;"*"&amp;RIGHT($C$83,4)&amp;"*"&amp;AY$55&amp;"*"&amp;"A"</f>
        <v>lth*152*8320*A</v>
      </c>
      <c r="B781" s="284">
        <f>ROUND(AY59,0)</f>
        <v>29601</v>
      </c>
      <c r="C781" s="287">
        <f>ROUND(AY60,2)</f>
        <v>16.66</v>
      </c>
      <c r="D781" s="284">
        <f>ROUND(AY61,0)</f>
        <v>739721</v>
      </c>
      <c r="E781" s="284">
        <f>ROUND(AY62,0)</f>
        <v>379477</v>
      </c>
      <c r="F781" s="284">
        <f>ROUND(AY63,0)</f>
        <v>0</v>
      </c>
      <c r="G781" s="284">
        <f>ROUND(AY64,0)</f>
        <v>635971</v>
      </c>
      <c r="H781" s="284">
        <f>ROUND(AY65,0)</f>
        <v>0</v>
      </c>
      <c r="I781" s="284">
        <f>ROUND(AY66,0)</f>
        <v>9363</v>
      </c>
      <c r="J781" s="284">
        <f>ROUND(AY67,0)</f>
        <v>104814</v>
      </c>
      <c r="K781" s="284">
        <f>ROUND(AY68,0)</f>
        <v>3759</v>
      </c>
      <c r="L781" s="284">
        <f>ROUND(AY70,0)</f>
        <v>340043</v>
      </c>
      <c r="M781" s="284">
        <f>ROUND(AY71,0)</f>
        <v>1543443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">
      <c r="A782" s="209" t="str">
        <f>RIGHT($C$84,3)&amp;"*"&amp;RIGHT($C$83,4)&amp;"*"&amp;AZ$55&amp;"*"&amp;"A"</f>
        <v>lth*152*8330*A</v>
      </c>
      <c r="B782" s="284">
        <f>ROUND(AZ59,0)</f>
        <v>0</v>
      </c>
      <c r="C782" s="287">
        <f>ROUND(AZ60,2)</f>
        <v>0</v>
      </c>
      <c r="D782" s="284">
        <f>ROUND(AZ61,0)</f>
        <v>0</v>
      </c>
      <c r="E782" s="284">
        <f>ROUND(AZ62,0)</f>
        <v>0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">
      <c r="A783" s="209" t="str">
        <f>RIGHT($C$84,3)&amp;"*"&amp;RIGHT($C$83,4)&amp;"*"&amp;BA$55&amp;"*"&amp;"A"</f>
        <v>lth*152*8350*A</v>
      </c>
      <c r="B783" s="284">
        <f>ROUND(BA59,0)</f>
        <v>0</v>
      </c>
      <c r="C783" s="287">
        <f>ROUND(BA60,2)</f>
        <v>1.44</v>
      </c>
      <c r="D783" s="284">
        <f>ROUND(BA61,0)</f>
        <v>59084</v>
      </c>
      <c r="E783" s="284">
        <f>ROUND(BA62,0)</f>
        <v>43206</v>
      </c>
      <c r="F783" s="284">
        <f>ROUND(BA63,0)</f>
        <v>0</v>
      </c>
      <c r="G783" s="284">
        <f>ROUND(BA64,0)</f>
        <v>55770</v>
      </c>
      <c r="H783" s="284">
        <f>ROUND(BA65,0)</f>
        <v>0</v>
      </c>
      <c r="I783" s="284">
        <f>ROUND(BA66,0)</f>
        <v>150624</v>
      </c>
      <c r="J783" s="284">
        <f>ROUND(BA67,0)</f>
        <v>30380</v>
      </c>
      <c r="K783" s="284">
        <f>ROUND(BA68,0)</f>
        <v>0</v>
      </c>
      <c r="L783" s="284">
        <f>ROUND(BA70,0)</f>
        <v>0</v>
      </c>
      <c r="M783" s="284">
        <f>ROUND(BA71,0)</f>
        <v>339064</v>
      </c>
      <c r="N783" s="284"/>
      <c r="O783" s="284"/>
      <c r="P783" s="284">
        <f>IF(BA77&gt;0,ROUND(BA77,0),0)</f>
        <v>0</v>
      </c>
      <c r="Q783" s="284">
        <f>IF(BA78&gt;0,ROUND(BA78,0),0)</f>
        <v>1461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">
      <c r="A784" s="209" t="str">
        <f>RIGHT($C$84,3)&amp;"*"&amp;RIGHT($C$83,4)&amp;"*"&amp;BB$55&amp;"*"&amp;"A"</f>
        <v>lth*152*8360*A</v>
      </c>
      <c r="B784" s="284"/>
      <c r="C784" s="287">
        <f>ROUND(BB60,2)</f>
        <v>0</v>
      </c>
      <c r="D784" s="284">
        <f>ROUND(BB61,0)</f>
        <v>0</v>
      </c>
      <c r="E784" s="284">
        <f>ROUND(BB62,0)</f>
        <v>0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>
        <f>ROUND(BB67,0)</f>
        <v>0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">
      <c r="A785" s="209" t="str">
        <f>RIGHT($C$84,3)&amp;"*"&amp;RIGHT($C$83,4)&amp;"*"&amp;BC$55&amp;"*"&amp;"A"</f>
        <v>lth*152*8370*A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">
      <c r="A786" s="209" t="str">
        <f>RIGHT($C$84,3)&amp;"*"&amp;RIGHT($C$83,4)&amp;"*"&amp;BD$55&amp;"*"&amp;"A"</f>
        <v>lth*152*8420*A</v>
      </c>
      <c r="B786" s="284"/>
      <c r="C786" s="287">
        <f>ROUND(BD60,2)</f>
        <v>5.7</v>
      </c>
      <c r="D786" s="284">
        <f>ROUND(BD61,0)</f>
        <v>344377</v>
      </c>
      <c r="E786" s="284">
        <f>ROUND(BD62,0)</f>
        <v>129825</v>
      </c>
      <c r="F786" s="284">
        <f>ROUND(BD63,0)</f>
        <v>0</v>
      </c>
      <c r="G786" s="284">
        <f>ROUND(BD64,0)</f>
        <v>8462</v>
      </c>
      <c r="H786" s="284">
        <f>ROUND(BD65,0)</f>
        <v>1677</v>
      </c>
      <c r="I786" s="284">
        <f>ROUND(BD66,0)</f>
        <v>8391</v>
      </c>
      <c r="J786" s="284">
        <f>ROUND(BD67,0)</f>
        <v>70757</v>
      </c>
      <c r="K786" s="284">
        <f>ROUND(BD68,0)</f>
        <v>8159</v>
      </c>
      <c r="L786" s="284">
        <f>ROUND(BD70,0)</f>
        <v>0</v>
      </c>
      <c r="M786" s="284">
        <f>ROUND(BD71,0)</f>
        <v>618172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">
      <c r="A787" s="209" t="str">
        <f>RIGHT($C$84,3)&amp;"*"&amp;RIGHT($C$83,4)&amp;"*"&amp;BE$55&amp;"*"&amp;"A"</f>
        <v>lth*152*8430*A</v>
      </c>
      <c r="B787" s="284">
        <f>ROUND(BE59,0)</f>
        <v>241487</v>
      </c>
      <c r="C787" s="287">
        <f>ROUND(BE60,2)</f>
        <v>10.57</v>
      </c>
      <c r="D787" s="284">
        <f>ROUND(BE61,0)</f>
        <v>751559</v>
      </c>
      <c r="E787" s="284">
        <f>ROUND(BE62,0)</f>
        <v>297328</v>
      </c>
      <c r="F787" s="284">
        <f>ROUND(BE63,0)</f>
        <v>26421</v>
      </c>
      <c r="G787" s="284">
        <f>ROUND(BE64,0)</f>
        <v>66365</v>
      </c>
      <c r="H787" s="284">
        <f>ROUND(BE65,0)</f>
        <v>661789</v>
      </c>
      <c r="I787" s="284">
        <f>ROUND(BE66,0)</f>
        <v>308010</v>
      </c>
      <c r="J787" s="284">
        <f>ROUND(BE67,0)</f>
        <v>585728</v>
      </c>
      <c r="K787" s="284">
        <f>ROUND(BE68,0)</f>
        <v>28321</v>
      </c>
      <c r="L787" s="284">
        <f>ROUND(BE70,0)</f>
        <v>0</v>
      </c>
      <c r="M787" s="284">
        <f>ROUND(BE71,0)</f>
        <v>2740797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">
      <c r="A788" s="209" t="str">
        <f>RIGHT($C$84,3)&amp;"*"&amp;RIGHT($C$83,4)&amp;"*"&amp;BF$55&amp;"*"&amp;"A"</f>
        <v>lth*152*8460*A</v>
      </c>
      <c r="B788" s="284"/>
      <c r="C788" s="287">
        <f>ROUND(BF60,2)</f>
        <v>29.09</v>
      </c>
      <c r="D788" s="284">
        <f>ROUND(BF61,0)</f>
        <v>1241384</v>
      </c>
      <c r="E788" s="284">
        <f>ROUND(BF62,0)</f>
        <v>591081</v>
      </c>
      <c r="F788" s="284">
        <f>ROUND(BF63,0)</f>
        <v>0</v>
      </c>
      <c r="G788" s="284">
        <f>ROUND(BF64,0)</f>
        <v>182439</v>
      </c>
      <c r="H788" s="284">
        <f>ROUND(BF65,0)</f>
        <v>142355</v>
      </c>
      <c r="I788" s="284">
        <f>ROUND(BF66,0)</f>
        <v>57056</v>
      </c>
      <c r="J788" s="284">
        <f>ROUND(BF67,0)</f>
        <v>47728</v>
      </c>
      <c r="K788" s="284">
        <f>ROUND(BF68,0)</f>
        <v>5491</v>
      </c>
      <c r="L788" s="284">
        <f>ROUND(BF70,0)</f>
        <v>0</v>
      </c>
      <c r="M788" s="284">
        <f>ROUND(BF71,0)</f>
        <v>2272146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">
      <c r="A789" s="209" t="str">
        <f>RIGHT($C$84,3)&amp;"*"&amp;RIGHT($C$83,4)&amp;"*"&amp;BG$55&amp;"*"&amp;"A"</f>
        <v>lth*152*8470*A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>
        <f>ROUND(BG67,0)</f>
        <v>0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">
      <c r="A790" s="209" t="str">
        <f>RIGHT($C$84,3)&amp;"*"&amp;RIGHT($C$83,4)&amp;"*"&amp;BH$55&amp;"*"&amp;"A"</f>
        <v>lth*152*8480*A</v>
      </c>
      <c r="B790" s="284"/>
      <c r="C790" s="287">
        <f>ROUND(BH60,2)</f>
        <v>0.08</v>
      </c>
      <c r="D790" s="284">
        <f>ROUND(BH61,0)</f>
        <v>5663</v>
      </c>
      <c r="E790" s="284">
        <f>ROUND(BH62,0)</f>
        <v>6404</v>
      </c>
      <c r="F790" s="284">
        <f>ROUND(BH63,0)</f>
        <v>0</v>
      </c>
      <c r="G790" s="284">
        <f>ROUND(BH64,0)</f>
        <v>376671</v>
      </c>
      <c r="H790" s="284">
        <f>ROUND(BH65,0)</f>
        <v>191857</v>
      </c>
      <c r="I790" s="284">
        <f>ROUND(BH66,0)</f>
        <v>8144117</v>
      </c>
      <c r="J790" s="284">
        <f>ROUND(BH67,0)</f>
        <v>67656</v>
      </c>
      <c r="K790" s="284">
        <f>ROUND(BH68,0)</f>
        <v>89674</v>
      </c>
      <c r="L790" s="284">
        <f>ROUND(BH70,0)</f>
        <v>0</v>
      </c>
      <c r="M790" s="284">
        <f>ROUND(BH71,0)</f>
        <v>8915511</v>
      </c>
      <c r="N790" s="284"/>
      <c r="O790" s="284"/>
      <c r="P790" s="284">
        <f>IF(BH77&gt;0,ROUND(BH77,0),0)</f>
        <v>0</v>
      </c>
      <c r="Q790" s="284">
        <f>IF(BH78&gt;0,ROUND(BH78,0),0)</f>
        <v>3253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">
      <c r="A791" s="209" t="str">
        <f>RIGHT($C$84,3)&amp;"*"&amp;RIGHT($C$83,4)&amp;"*"&amp;BI$55&amp;"*"&amp;"A"</f>
        <v>lth*152*8490*A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">
      <c r="A792" s="209" t="str">
        <f>RIGHT($C$84,3)&amp;"*"&amp;RIGHT($C$83,4)&amp;"*"&amp;BJ$55&amp;"*"&amp;"A"</f>
        <v>lth*152*8510*A</v>
      </c>
      <c r="B792" s="284"/>
      <c r="C792" s="287">
        <f>ROUND(BJ60,2)</f>
        <v>5.87</v>
      </c>
      <c r="D792" s="284">
        <f>ROUND(BJ61,0)</f>
        <v>450069</v>
      </c>
      <c r="E792" s="284">
        <f>ROUND(BJ62,0)</f>
        <v>173795</v>
      </c>
      <c r="F792" s="284">
        <f>ROUND(BJ63,0)</f>
        <v>0</v>
      </c>
      <c r="G792" s="284">
        <f>ROUND(BJ64,0)</f>
        <v>3863</v>
      </c>
      <c r="H792" s="284">
        <f>ROUND(BJ65,0)</f>
        <v>622</v>
      </c>
      <c r="I792" s="284">
        <f>ROUND(BJ66,0)</f>
        <v>6434</v>
      </c>
      <c r="J792" s="284">
        <f>ROUND(BJ67,0)</f>
        <v>41209</v>
      </c>
      <c r="K792" s="284">
        <f>ROUND(BJ68,0)</f>
        <v>32405</v>
      </c>
      <c r="L792" s="284">
        <f>ROUND(BJ70,0)</f>
        <v>0</v>
      </c>
      <c r="M792" s="284">
        <f>ROUND(BJ71,0)</f>
        <v>846193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">
      <c r="A793" s="209" t="str">
        <f>RIGHT($C$84,3)&amp;"*"&amp;RIGHT($C$83,4)&amp;"*"&amp;BK$55&amp;"*"&amp;"A"</f>
        <v>lth*152*8530*A</v>
      </c>
      <c r="B793" s="284"/>
      <c r="C793" s="287">
        <f>ROUND(BK60,2)</f>
        <v>19.91</v>
      </c>
      <c r="D793" s="284">
        <f>ROUND(BK61,0)</f>
        <v>1144692</v>
      </c>
      <c r="E793" s="284">
        <f>ROUND(BK62,0)</f>
        <v>489073</v>
      </c>
      <c r="F793" s="284">
        <f>ROUND(BK63,0)</f>
        <v>8178</v>
      </c>
      <c r="G793" s="284">
        <f>ROUND(BK64,0)</f>
        <v>9561</v>
      </c>
      <c r="H793" s="284">
        <f>ROUND(BK65,0)</f>
        <v>0</v>
      </c>
      <c r="I793" s="284">
        <f>ROUND(BK66,0)</f>
        <v>321924</v>
      </c>
      <c r="J793" s="284">
        <f>ROUND(BK67,0)</f>
        <v>56869</v>
      </c>
      <c r="K793" s="284">
        <f>ROUND(BK68,0)</f>
        <v>53954</v>
      </c>
      <c r="L793" s="284">
        <f>ROUND(BK70,0)</f>
        <v>992</v>
      </c>
      <c r="M793" s="284">
        <f>ROUND(BK71,0)</f>
        <v>2093991</v>
      </c>
      <c r="N793" s="284"/>
      <c r="O793" s="284"/>
      <c r="P793" s="284">
        <f>IF(BK77&gt;0,ROUND(BK77,0),0)</f>
        <v>0</v>
      </c>
      <c r="Q793" s="284">
        <f>IF(BK78&gt;0,ROUND(BK78,0),0)</f>
        <v>2735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">
      <c r="A794" s="209" t="str">
        <f>RIGHT($C$84,3)&amp;"*"&amp;RIGHT($C$83,4)&amp;"*"&amp;BL$55&amp;"*"&amp;"A"</f>
        <v>lth*152*8560*A</v>
      </c>
      <c r="B794" s="284"/>
      <c r="C794" s="287">
        <f>ROUND(BL60,2)</f>
        <v>23.1</v>
      </c>
      <c r="D794" s="284">
        <f>ROUND(BL61,0)</f>
        <v>1108157</v>
      </c>
      <c r="E794" s="284">
        <f>ROUND(BL62,0)</f>
        <v>476350</v>
      </c>
      <c r="F794" s="284">
        <f>ROUND(BL63,0)</f>
        <v>0</v>
      </c>
      <c r="G794" s="284">
        <f>ROUND(BL64,0)</f>
        <v>17019</v>
      </c>
      <c r="H794" s="284">
        <f>ROUND(BL65,0)</f>
        <v>0</v>
      </c>
      <c r="I794" s="284">
        <f>ROUND(BL66,0)</f>
        <v>10708</v>
      </c>
      <c r="J794" s="284">
        <f>ROUND(BL67,0)</f>
        <v>39971</v>
      </c>
      <c r="K794" s="284">
        <f>ROUND(BL68,0)</f>
        <v>7857</v>
      </c>
      <c r="L794" s="284">
        <f>ROUND(BL70,0)</f>
        <v>0</v>
      </c>
      <c r="M794" s="284">
        <f>ROUND(BL71,0)</f>
        <v>1660267</v>
      </c>
      <c r="N794" s="284"/>
      <c r="O794" s="284"/>
      <c r="P794" s="284">
        <f>IF(BL77&gt;0,ROUND(BL77,0),0)</f>
        <v>0</v>
      </c>
      <c r="Q794" s="284">
        <f>IF(BL78&gt;0,ROUND(BL78,0),0)</f>
        <v>1922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">
      <c r="A795" s="209" t="str">
        <f>RIGHT($C$84,3)&amp;"*"&amp;RIGHT($C$83,4)&amp;"*"&amp;BM$55&amp;"*"&amp;"A"</f>
        <v>lth*152*8590*A</v>
      </c>
      <c r="B795" s="284"/>
      <c r="C795" s="287">
        <f>ROUND(BM60,2)</f>
        <v>0</v>
      </c>
      <c r="D795" s="284">
        <f>ROUND(BM61,0)</f>
        <v>0</v>
      </c>
      <c r="E795" s="284">
        <f>ROUND(BM62,0)</f>
        <v>0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">
      <c r="A796" s="209" t="str">
        <f>RIGHT($C$84,3)&amp;"*"&amp;RIGHT($C$83,4)&amp;"*"&amp;BN$55&amp;"*"&amp;"A"</f>
        <v>lth*152*8610*A</v>
      </c>
      <c r="B796" s="284"/>
      <c r="C796" s="287">
        <f>ROUND(BN60,2)</f>
        <v>10.029999999999999</v>
      </c>
      <c r="D796" s="284">
        <f>ROUND(BN61,0)</f>
        <v>1907261</v>
      </c>
      <c r="E796" s="284">
        <f>ROUND(BN62,0)</f>
        <v>459501</v>
      </c>
      <c r="F796" s="284">
        <f>ROUND(BN63,0)</f>
        <v>204659</v>
      </c>
      <c r="G796" s="284">
        <f>ROUND(BN64,0)</f>
        <v>62884</v>
      </c>
      <c r="H796" s="284">
        <f>ROUND(BN65,0)</f>
        <v>1665</v>
      </c>
      <c r="I796" s="284">
        <f>ROUND(BN66,0)</f>
        <v>1016394</v>
      </c>
      <c r="J796" s="284">
        <f>ROUND(BN67,0)</f>
        <v>111938</v>
      </c>
      <c r="K796" s="284">
        <f>ROUND(BN68,0)</f>
        <v>38708</v>
      </c>
      <c r="L796" s="284">
        <f>ROUND(BN70,0)</f>
        <v>0</v>
      </c>
      <c r="M796" s="284">
        <f>ROUND(BN71,0)</f>
        <v>4088870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">
      <c r="A797" s="209" t="str">
        <f>RIGHT($C$84,3)&amp;"*"&amp;RIGHT($C$83,4)&amp;"*"&amp;BO$55&amp;"*"&amp;"A"</f>
        <v>lth*152*8620*A</v>
      </c>
      <c r="B797" s="284"/>
      <c r="C797" s="287">
        <f>ROUND(BO60,2)</f>
        <v>1.48</v>
      </c>
      <c r="D797" s="284">
        <f>ROUND(BO61,0)</f>
        <v>118025</v>
      </c>
      <c r="E797" s="284">
        <f>ROUND(BO62,0)</f>
        <v>31655</v>
      </c>
      <c r="F797" s="284">
        <f>ROUND(BO63,0)</f>
        <v>0</v>
      </c>
      <c r="G797" s="284">
        <f>ROUND(BO64,0)</f>
        <v>6184</v>
      </c>
      <c r="H797" s="284">
        <f>ROUND(BO65,0)</f>
        <v>1295</v>
      </c>
      <c r="I797" s="284">
        <f>ROUND(BO66,0)</f>
        <v>42548</v>
      </c>
      <c r="J797" s="284">
        <f>ROUND(BO67,0)</f>
        <v>5808</v>
      </c>
      <c r="K797" s="284">
        <f>ROUND(BO68,0)</f>
        <v>2281</v>
      </c>
      <c r="L797" s="284">
        <f>ROUND(BO70,0)</f>
        <v>0</v>
      </c>
      <c r="M797" s="284">
        <f>ROUND(BO71,0)</f>
        <v>207874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">
      <c r="A798" s="209" t="str">
        <f>RIGHT($C$84,3)&amp;"*"&amp;RIGHT($C$83,4)&amp;"*"&amp;BP$55&amp;"*"&amp;"A"</f>
        <v>lth*152*8630*A</v>
      </c>
      <c r="B798" s="284"/>
      <c r="C798" s="287">
        <f>ROUND(BP60,2)</f>
        <v>0</v>
      </c>
      <c r="D798" s="284">
        <f>ROUND(BP61,0)</f>
        <v>0</v>
      </c>
      <c r="E798" s="284">
        <f>ROUND(BP62,0)</f>
        <v>0</v>
      </c>
      <c r="F798" s="284">
        <f>ROUND(BP63,0)</f>
        <v>0</v>
      </c>
      <c r="G798" s="284">
        <f>ROUND(BP64,0)</f>
        <v>14457</v>
      </c>
      <c r="H798" s="284">
        <f>ROUND(BP65,0)</f>
        <v>0</v>
      </c>
      <c r="I798" s="284">
        <f>ROUND(BP66,0)</f>
        <v>147447</v>
      </c>
      <c r="J798" s="284">
        <f>ROUND(BP67,0)</f>
        <v>59232</v>
      </c>
      <c r="K798" s="284">
        <f>ROUND(BP68,0)</f>
        <v>1526</v>
      </c>
      <c r="L798" s="284">
        <f>ROUND(BP70,0)</f>
        <v>0</v>
      </c>
      <c r="M798" s="284">
        <f>ROUND(BP71,0)</f>
        <v>275628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">
      <c r="A799" s="209" t="str">
        <f>RIGHT($C$84,3)&amp;"*"&amp;RIGHT($C$83,4)&amp;"*"&amp;BQ$55&amp;"*"&amp;"A"</f>
        <v>lth*152*8640*A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">
      <c r="A800" s="209" t="str">
        <f>RIGHT($C$84,3)&amp;"*"&amp;RIGHT($C$83,4)&amp;"*"&amp;BR$55&amp;"*"&amp;"A"</f>
        <v>lth*152*8650*A</v>
      </c>
      <c r="B800" s="284"/>
      <c r="C800" s="287">
        <f>ROUND(BR60,2)</f>
        <v>4.6399999999999997</v>
      </c>
      <c r="D800" s="284">
        <f>ROUND(BR61,0)</f>
        <v>444576</v>
      </c>
      <c r="E800" s="284">
        <f>ROUND(BR62,0)</f>
        <v>123074</v>
      </c>
      <c r="F800" s="284">
        <f>ROUND(BR63,0)</f>
        <v>0</v>
      </c>
      <c r="G800" s="284">
        <f>ROUND(BR64,0)</f>
        <v>1242</v>
      </c>
      <c r="H800" s="284">
        <f>ROUND(BR65,0)</f>
        <v>806</v>
      </c>
      <c r="I800" s="284">
        <f>ROUND(BR66,0)</f>
        <v>59707</v>
      </c>
      <c r="J800" s="284">
        <f>ROUND(BR67,0)</f>
        <v>44278</v>
      </c>
      <c r="K800" s="284">
        <f>ROUND(BR68,0)</f>
        <v>16968</v>
      </c>
      <c r="L800" s="284">
        <f>ROUND(BR70,0)</f>
        <v>0</v>
      </c>
      <c r="M800" s="284">
        <f>ROUND(BR71,0)</f>
        <v>863738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">
      <c r="A801" s="209" t="str">
        <f>RIGHT($C$84,3)&amp;"*"&amp;RIGHT($C$83,4)&amp;"*"&amp;BS$55&amp;"*"&amp;"A"</f>
        <v>lth*152*8660*A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>
        <f>ROUND(BS67,0)</f>
        <v>0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">
      <c r="A802" s="209" t="str">
        <f>RIGHT($C$84,3)&amp;"*"&amp;RIGHT($C$83,4)&amp;"*"&amp;BT$55&amp;"*"&amp;"A"</f>
        <v>lth*152*8670*A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0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">
      <c r="A803" s="209" t="str">
        <f>RIGHT($C$84,3)&amp;"*"&amp;RIGHT($C$83,4)&amp;"*"&amp;BU$55&amp;"*"&amp;"A"</f>
        <v>lth*152*8680*A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">
      <c r="A804" s="209" t="str">
        <f>RIGHT($C$84,3)&amp;"*"&amp;RIGHT($C$83,4)&amp;"*"&amp;BV$55&amp;"*"&amp;"A"</f>
        <v>lth*152*8690*A</v>
      </c>
      <c r="B804" s="284"/>
      <c r="C804" s="287">
        <f>ROUND(BV60,2)</f>
        <v>19.61</v>
      </c>
      <c r="D804" s="284">
        <f>ROUND(BV61,0)</f>
        <v>1125155</v>
      </c>
      <c r="E804" s="284">
        <f>ROUND(BV62,0)</f>
        <v>515557</v>
      </c>
      <c r="F804" s="284">
        <f>ROUND(BV63,0)</f>
        <v>164260</v>
      </c>
      <c r="G804" s="284">
        <f>ROUND(BV64,0)</f>
        <v>7647</v>
      </c>
      <c r="H804" s="284">
        <f>ROUND(BV65,0)</f>
        <v>4400</v>
      </c>
      <c r="I804" s="284">
        <f>ROUND(BV66,0)</f>
        <v>409667</v>
      </c>
      <c r="J804" s="284">
        <f>ROUND(BV67,0)</f>
        <v>94535</v>
      </c>
      <c r="K804" s="284">
        <f>ROUND(BV68,0)</f>
        <v>55796</v>
      </c>
      <c r="L804" s="284">
        <f>ROUND(BV70,0)</f>
        <v>31035</v>
      </c>
      <c r="M804" s="284">
        <f>ROUND(BV71,0)</f>
        <v>2349913</v>
      </c>
      <c r="N804" s="284"/>
      <c r="O804" s="284"/>
      <c r="P804" s="284">
        <f>IF(BV77&gt;0,ROUND(BV77,0),0)</f>
        <v>0</v>
      </c>
      <c r="Q804" s="284">
        <f>IF(BV78&gt;0,ROUND(BV78,0),0)</f>
        <v>4546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">
      <c r="A805" s="209" t="str">
        <f>RIGHT($C$84,3)&amp;"*"&amp;RIGHT($C$83,4)&amp;"*"&amp;BW$55&amp;"*"&amp;"A"</f>
        <v>lth*152*8700*A</v>
      </c>
      <c r="B805" s="284"/>
      <c r="C805" s="287">
        <f>ROUND(BW60,2)</f>
        <v>2</v>
      </c>
      <c r="D805" s="284">
        <f>ROUND(BW61,0)</f>
        <v>180745</v>
      </c>
      <c r="E805" s="284">
        <f>ROUND(BW62,0)</f>
        <v>57072</v>
      </c>
      <c r="F805" s="284">
        <f>ROUND(BW63,0)</f>
        <v>21100</v>
      </c>
      <c r="G805" s="284">
        <f>ROUND(BW64,0)</f>
        <v>2152</v>
      </c>
      <c r="H805" s="284">
        <f>ROUND(BW65,0)</f>
        <v>0</v>
      </c>
      <c r="I805" s="284">
        <f>ROUND(BW66,0)</f>
        <v>10213</v>
      </c>
      <c r="J805" s="284">
        <f>ROUND(BW67,0)</f>
        <v>21251</v>
      </c>
      <c r="K805" s="284">
        <f>ROUND(BW68,0)</f>
        <v>836</v>
      </c>
      <c r="L805" s="284">
        <f>ROUND(BW70,0)</f>
        <v>3475</v>
      </c>
      <c r="M805" s="284">
        <f>ROUND(BW71,0)</f>
        <v>328483</v>
      </c>
      <c r="N805" s="284"/>
      <c r="O805" s="284"/>
      <c r="P805" s="284">
        <f>IF(BW77&gt;0,ROUND(BW77,0),0)</f>
        <v>0</v>
      </c>
      <c r="Q805" s="284">
        <f>IF(BW78&gt;0,ROUND(BW78,0),0)</f>
        <v>1022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">
      <c r="A806" s="209" t="str">
        <f>RIGHT($C$84,3)&amp;"*"&amp;RIGHT($C$83,4)&amp;"*"&amp;BX$55&amp;"*"&amp;"A"</f>
        <v>lth*152*8710*A</v>
      </c>
      <c r="B806" s="284"/>
      <c r="C806" s="287">
        <f>ROUND(BX60,2)</f>
        <v>0</v>
      </c>
      <c r="D806" s="284">
        <f>ROUND(BX61,0)</f>
        <v>0</v>
      </c>
      <c r="E806" s="284">
        <f>ROUND(BX62,0)</f>
        <v>0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>
        <f>ROUND(BX67,0)</f>
        <v>0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">
      <c r="A807" s="209" t="str">
        <f>RIGHT($C$84,3)&amp;"*"&amp;RIGHT($C$83,4)&amp;"*"&amp;BY$55&amp;"*"&amp;"A"</f>
        <v>lth*152*8720*A</v>
      </c>
      <c r="B807" s="284"/>
      <c r="C807" s="287">
        <f>ROUND(BY60,2)</f>
        <v>30.07</v>
      </c>
      <c r="D807" s="284">
        <f>ROUND(BY61,0)</f>
        <v>2882380</v>
      </c>
      <c r="E807" s="284">
        <f>ROUND(BY62,0)</f>
        <v>921390</v>
      </c>
      <c r="F807" s="284">
        <f>ROUND(BY63,0)</f>
        <v>0</v>
      </c>
      <c r="G807" s="284">
        <f>ROUND(BY64,0)</f>
        <v>5888</v>
      </c>
      <c r="H807" s="284">
        <f>ROUND(BY65,0)</f>
        <v>7108</v>
      </c>
      <c r="I807" s="284">
        <f>ROUND(BY66,0)</f>
        <v>211625</v>
      </c>
      <c r="J807" s="284">
        <f>ROUND(BY67,0)</f>
        <v>35991</v>
      </c>
      <c r="K807" s="284">
        <f>ROUND(BY68,0)</f>
        <v>5538</v>
      </c>
      <c r="L807" s="284">
        <f>ROUND(BY70,0)</f>
        <v>0</v>
      </c>
      <c r="M807" s="284">
        <f>ROUND(BY71,0)</f>
        <v>4076451</v>
      </c>
      <c r="N807" s="284"/>
      <c r="O807" s="284"/>
      <c r="P807" s="284">
        <f>IF(BY77&gt;0,ROUND(BY77,0),0)</f>
        <v>0</v>
      </c>
      <c r="Q807" s="284">
        <f>IF(BY78&gt;0,ROUND(BY78,0),0)</f>
        <v>1731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">
      <c r="A808" s="209" t="str">
        <f>RIGHT($C$84,3)&amp;"*"&amp;RIGHT($C$83,4)&amp;"*"&amp;BZ$55&amp;"*"&amp;"A"</f>
        <v>lth*152*8730*A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">
      <c r="A809" s="209" t="str">
        <f>RIGHT($C$84,3)&amp;"*"&amp;RIGHT($C$83,4)&amp;"*"&amp;CA$55&amp;"*"&amp;"A"</f>
        <v>lth*152*8740*A</v>
      </c>
      <c r="B809" s="284"/>
      <c r="C809" s="287">
        <f>ROUND(CA60,2)</f>
        <v>2</v>
      </c>
      <c r="D809" s="284">
        <f>ROUND(CA61,0)</f>
        <v>190584</v>
      </c>
      <c r="E809" s="284">
        <f>ROUND(CA62,0)</f>
        <v>64835</v>
      </c>
      <c r="F809" s="284">
        <f>ROUND(CA63,0)</f>
        <v>0</v>
      </c>
      <c r="G809" s="284">
        <f>ROUND(CA64,0)</f>
        <v>3985</v>
      </c>
      <c r="H809" s="284">
        <f>ROUND(CA65,0)</f>
        <v>485</v>
      </c>
      <c r="I809" s="284">
        <f>ROUND(CA66,0)</f>
        <v>23191</v>
      </c>
      <c r="J809" s="284">
        <f>ROUND(CA67,0)</f>
        <v>21753</v>
      </c>
      <c r="K809" s="284">
        <f>ROUND(CA68,0)</f>
        <v>20610</v>
      </c>
      <c r="L809" s="284">
        <f>ROUND(CA70,0)</f>
        <v>12</v>
      </c>
      <c r="M809" s="284">
        <f>ROUND(CA71,0)</f>
        <v>344159</v>
      </c>
      <c r="N809" s="284"/>
      <c r="O809" s="284"/>
      <c r="P809" s="284">
        <f>IF(CA77&gt;0,ROUND(CA77,0),0)</f>
        <v>0</v>
      </c>
      <c r="Q809" s="284">
        <f>IF(CA78&gt;0,ROUND(CA78,0),0)</f>
        <v>1046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">
      <c r="A810" s="209" t="str">
        <f>RIGHT($C$84,3)&amp;"*"&amp;RIGHT($C$83,4)&amp;"*"&amp;CB$55&amp;"*"&amp;"A"</f>
        <v>lth*152*8770*A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">
      <c r="A811" s="209" t="str">
        <f>RIGHT($C$84,3)&amp;"*"&amp;RIGHT($C$83,4)&amp;"*"&amp;CC$55&amp;"*"&amp;"A"</f>
        <v>lth*152*8790*A</v>
      </c>
      <c r="B811" s="284"/>
      <c r="C811" s="287">
        <f>ROUND(CC60,2)</f>
        <v>19.59</v>
      </c>
      <c r="D811" s="284">
        <f>ROUND(CC61,0)</f>
        <v>1602593</v>
      </c>
      <c r="E811" s="284">
        <f>ROUND(CC62,0)</f>
        <v>527746</v>
      </c>
      <c r="F811" s="284">
        <f>ROUND(CC63,0)</f>
        <v>1945</v>
      </c>
      <c r="G811" s="284">
        <f>ROUND(CC64,0)</f>
        <v>483365</v>
      </c>
      <c r="H811" s="284">
        <f>ROUND(CC65,0)</f>
        <v>6085</v>
      </c>
      <c r="I811" s="284">
        <f>ROUND(CC66,0)</f>
        <v>931658</v>
      </c>
      <c r="J811" s="284">
        <f>ROUND(CC67,0)</f>
        <v>379572</v>
      </c>
      <c r="K811" s="284">
        <f>ROUND(CC68,0)</f>
        <v>163538</v>
      </c>
      <c r="L811" s="284">
        <f>ROUND(CC70,0)</f>
        <v>0</v>
      </c>
      <c r="M811" s="284">
        <f>ROUND(CC71,0)</f>
        <v>4129930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">
      <c r="A812" s="209" t="str">
        <f>RIGHT($C$84,3)&amp;"*"&amp;RIGHT($C$83,4)&amp;"*"&amp;"9000"&amp;"*"&amp;"A"</f>
        <v>lth*152*9000*A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7619437</v>
      </c>
      <c r="V812" s="180">
        <f>ROUND(CD69,0)</f>
        <v>4198149</v>
      </c>
      <c r="W812" s="180">
        <f>ROUND(CD71,0)</f>
        <v>-3421288</v>
      </c>
      <c r="X812" s="284">
        <f>ROUND(CE73,0)</f>
        <v>56841635</v>
      </c>
      <c r="Y812" s="284">
        <f>ROUND(C132,0)</f>
        <v>0</v>
      </c>
      <c r="Z812" s="284"/>
    </row>
    <row r="814" spans="1:26" ht="12.65" customHeight="1" x14ac:dyDescent="0.3">
      <c r="B814" s="199" t="s">
        <v>1004</v>
      </c>
      <c r="C814" s="264">
        <f t="shared" ref="C814:K814" si="22">SUM(C733:C812)</f>
        <v>578.99</v>
      </c>
      <c r="D814" s="180">
        <f t="shared" si="22"/>
        <v>51701360</v>
      </c>
      <c r="E814" s="180">
        <f t="shared" si="22"/>
        <v>16595535</v>
      </c>
      <c r="F814" s="180">
        <f t="shared" si="22"/>
        <v>6241848</v>
      </c>
      <c r="G814" s="180">
        <f t="shared" si="22"/>
        <v>13672315</v>
      </c>
      <c r="H814" s="180">
        <f t="shared" si="22"/>
        <v>1080054</v>
      </c>
      <c r="I814" s="180">
        <f t="shared" si="22"/>
        <v>15080297</v>
      </c>
      <c r="J814" s="180">
        <f t="shared" si="22"/>
        <v>7650493</v>
      </c>
      <c r="K814" s="180">
        <f t="shared" si="22"/>
        <v>825455</v>
      </c>
      <c r="L814" s="180">
        <f>SUM(L733:L812)+SUM(U733:U812)</f>
        <v>13934793</v>
      </c>
      <c r="M814" s="180">
        <f>SUM(M733:M812)+SUM(W733:W812)</f>
        <v>104424388</v>
      </c>
      <c r="N814" s="180">
        <f t="shared" ref="N814:Z814" si="23">SUM(N733:N812)</f>
        <v>153999</v>
      </c>
      <c r="O814" s="180">
        <f t="shared" si="23"/>
        <v>193681227</v>
      </c>
      <c r="P814" s="180">
        <f t="shared" si="23"/>
        <v>29602</v>
      </c>
      <c r="Q814" s="180">
        <f t="shared" si="23"/>
        <v>171715</v>
      </c>
      <c r="R814" s="180">
        <f t="shared" si="23"/>
        <v>269916</v>
      </c>
      <c r="S814" s="180">
        <f t="shared" si="23"/>
        <v>129</v>
      </c>
      <c r="T814" s="264">
        <f t="shared" si="23"/>
        <v>0</v>
      </c>
      <c r="U814" s="180">
        <f t="shared" si="23"/>
        <v>7619437</v>
      </c>
      <c r="V814" s="180">
        <f t="shared" si="23"/>
        <v>4198149</v>
      </c>
      <c r="W814" s="180">
        <f t="shared" si="23"/>
        <v>-3421288</v>
      </c>
      <c r="X814" s="180">
        <f t="shared" si="23"/>
        <v>56841635</v>
      </c>
      <c r="Y814" s="180">
        <f t="shared" si="23"/>
        <v>0</v>
      </c>
      <c r="Z814" s="180">
        <f t="shared" si="23"/>
        <v>34197335</v>
      </c>
    </row>
    <row r="815" spans="1:26" ht="12.65" customHeight="1" x14ac:dyDescent="0.3">
      <c r="B815" s="180" t="s">
        <v>1005</v>
      </c>
      <c r="C815" s="264">
        <f>CE60</f>
        <v>578.99593035689679</v>
      </c>
      <c r="D815" s="180">
        <f>CE61</f>
        <v>51701358.369999997</v>
      </c>
      <c r="E815" s="180">
        <f>CE62</f>
        <v>16595535</v>
      </c>
      <c r="F815" s="180">
        <f>CE63</f>
        <v>6241845.8900000006</v>
      </c>
      <c r="G815" s="180">
        <f>CE64</f>
        <v>13672315.58</v>
      </c>
      <c r="H815" s="241">
        <f>CE65</f>
        <v>1080053.92</v>
      </c>
      <c r="I815" s="241">
        <f>CE66</f>
        <v>15080296.909999998</v>
      </c>
      <c r="J815" s="241">
        <f>CE67</f>
        <v>7650493</v>
      </c>
      <c r="K815" s="241">
        <f>CE68</f>
        <v>825453.14000000013</v>
      </c>
      <c r="L815" s="241">
        <f>CE70</f>
        <v>13934793.710000001</v>
      </c>
      <c r="M815" s="241">
        <f>CE71</f>
        <v>104424385.56999999</v>
      </c>
      <c r="N815" s="180">
        <f>CE76</f>
        <v>241486.90000000002</v>
      </c>
      <c r="O815" s="180">
        <f>CE74</f>
        <v>193681227.51999998</v>
      </c>
      <c r="P815" s="180">
        <f>CE77</f>
        <v>29601.114391143921</v>
      </c>
      <c r="Q815" s="180">
        <f>CE78</f>
        <v>171713.11000000002</v>
      </c>
      <c r="R815" s="180">
        <f>CE79</f>
        <v>269916</v>
      </c>
      <c r="S815" s="180">
        <f>CE80</f>
        <v>129.0403299066092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34273342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51701358.370000005</v>
      </c>
      <c r="G816" s="241">
        <f>C379</f>
        <v>16595535.43</v>
      </c>
      <c r="H816" s="241">
        <f>C380</f>
        <v>6241845.8899999997</v>
      </c>
      <c r="I816" s="241">
        <f>C381</f>
        <v>13672315.58</v>
      </c>
      <c r="J816" s="241">
        <f>C382</f>
        <v>1080053.92</v>
      </c>
      <c r="K816" s="241">
        <f>C383</f>
        <v>15080296.91</v>
      </c>
      <c r="L816" s="241">
        <f>C384+C385+C386+C388</f>
        <v>12193670.01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2022-06-30T15:49:23Z</cp:lastPrinted>
  <dcterms:created xsi:type="dcterms:W3CDTF">1999-06-02T22:01:56Z</dcterms:created>
  <dcterms:modified xsi:type="dcterms:W3CDTF">2022-07-05T16:21:02Z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2022-07-05T16:19:02Z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13f0f77a-0613-41a2-b08f-9a305a604504</vt:lpwstr>
  </property>
  <property fmtid="{D5CDD505-2E9C-101B-9397-08002B2CF9AE}" pid="8" name="MSIP_Label_1520fa42-cf58-4c22-8b93-58cf1d3bd1cb_ContentBits">
    <vt:lpwstr>0</vt:lpwstr>
  </property>
</Properties>
</file>