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66B84B52-7B84-4FA9-8BD3-414B1060F8BB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4" i="1" l="1"/>
  <c r="G73" i="1"/>
  <c r="G69" i="1"/>
  <c r="G65" i="1"/>
  <c r="G64" i="1"/>
  <c r="G61" i="1"/>
  <c r="G60" i="1"/>
  <c r="G59" i="1"/>
  <c r="C615" i="10"/>
  <c r="J612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E545" i="10"/>
  <c r="D545" i="10"/>
  <c r="B545" i="10"/>
  <c r="E544" i="10"/>
  <c r="D544" i="10"/>
  <c r="B544" i="10"/>
  <c r="B543" i="10"/>
  <c r="B542" i="10"/>
  <c r="B541" i="10"/>
  <c r="E540" i="10"/>
  <c r="D540" i="10"/>
  <c r="B540" i="10"/>
  <c r="H540" i="10" s="1"/>
  <c r="H539" i="10"/>
  <c r="E539" i="10"/>
  <c r="D539" i="10"/>
  <c r="B539" i="10"/>
  <c r="F539" i="10" s="1"/>
  <c r="E538" i="10"/>
  <c r="D538" i="10"/>
  <c r="B538" i="10"/>
  <c r="F538" i="10" s="1"/>
  <c r="F537" i="10"/>
  <c r="E537" i="10"/>
  <c r="D537" i="10"/>
  <c r="B537" i="10"/>
  <c r="H537" i="10" s="1"/>
  <c r="E536" i="10"/>
  <c r="D536" i="10"/>
  <c r="B536" i="10"/>
  <c r="H536" i="10" s="1"/>
  <c r="D535" i="10"/>
  <c r="B535" i="10"/>
  <c r="H534" i="10"/>
  <c r="E534" i="10"/>
  <c r="D534" i="10"/>
  <c r="B534" i="10"/>
  <c r="F534" i="10" s="1"/>
  <c r="E533" i="10"/>
  <c r="D533" i="10"/>
  <c r="B533" i="10"/>
  <c r="H533" i="10" s="1"/>
  <c r="E532" i="10"/>
  <c r="D532" i="10"/>
  <c r="B532" i="10"/>
  <c r="E531" i="10"/>
  <c r="D531" i="10"/>
  <c r="B531" i="10"/>
  <c r="E530" i="10"/>
  <c r="D530" i="10"/>
  <c r="B530" i="10"/>
  <c r="F530" i="10" s="1"/>
  <c r="D529" i="10"/>
  <c r="B529" i="10"/>
  <c r="F529" i="10" s="1"/>
  <c r="E528" i="10"/>
  <c r="D528" i="10"/>
  <c r="B528" i="10"/>
  <c r="H528" i="10" s="1"/>
  <c r="H527" i="10"/>
  <c r="E527" i="10"/>
  <c r="D527" i="10"/>
  <c r="B527" i="10"/>
  <c r="F527" i="10" s="1"/>
  <c r="E526" i="10"/>
  <c r="D526" i="10"/>
  <c r="B526" i="10"/>
  <c r="F526" i="10" s="1"/>
  <c r="F525" i="10"/>
  <c r="E525" i="10"/>
  <c r="D525" i="10"/>
  <c r="B525" i="10"/>
  <c r="E524" i="10"/>
  <c r="D524" i="10"/>
  <c r="B524" i="10"/>
  <c r="H523" i="10"/>
  <c r="E523" i="10"/>
  <c r="D523" i="10"/>
  <c r="B523" i="10"/>
  <c r="F523" i="10" s="1"/>
  <c r="E522" i="10"/>
  <c r="D522" i="10"/>
  <c r="B522" i="10"/>
  <c r="F522" i="10" s="1"/>
  <c r="B521" i="10"/>
  <c r="F521" i="10" s="1"/>
  <c r="H520" i="10"/>
  <c r="E520" i="10"/>
  <c r="D520" i="10"/>
  <c r="B520" i="10"/>
  <c r="F520" i="10" s="1"/>
  <c r="E519" i="10"/>
  <c r="D519" i="10"/>
  <c r="B519" i="10"/>
  <c r="H519" i="10" s="1"/>
  <c r="D518" i="10"/>
  <c r="B518" i="10"/>
  <c r="E517" i="10"/>
  <c r="D517" i="10"/>
  <c r="B517" i="10"/>
  <c r="F517" i="10" s="1"/>
  <c r="E516" i="10"/>
  <c r="D516" i="10"/>
  <c r="B516" i="10"/>
  <c r="F516" i="10" s="1"/>
  <c r="E515" i="10"/>
  <c r="D515" i="10"/>
  <c r="B515" i="10"/>
  <c r="H515" i="10" s="1"/>
  <c r="E514" i="10"/>
  <c r="D514" i="10"/>
  <c r="B514" i="10"/>
  <c r="B513" i="10"/>
  <c r="F513" i="10" s="1"/>
  <c r="B512" i="10"/>
  <c r="F512" i="10" s="1"/>
  <c r="E511" i="10"/>
  <c r="D511" i="10"/>
  <c r="B511" i="10"/>
  <c r="H511" i="10" s="1"/>
  <c r="E510" i="10"/>
  <c r="D510" i="10"/>
  <c r="B510" i="10"/>
  <c r="H510" i="10" s="1"/>
  <c r="E509" i="10"/>
  <c r="D509" i="10"/>
  <c r="B509" i="10"/>
  <c r="F509" i="10" s="1"/>
  <c r="E508" i="10"/>
  <c r="D508" i="10"/>
  <c r="B508" i="10"/>
  <c r="F508" i="10" s="1"/>
  <c r="E507" i="10"/>
  <c r="D507" i="10"/>
  <c r="B507" i="10"/>
  <c r="H507" i="10" s="1"/>
  <c r="E506" i="10"/>
  <c r="D506" i="10"/>
  <c r="B506" i="10"/>
  <c r="H506" i="10" s="1"/>
  <c r="H505" i="10"/>
  <c r="E505" i="10"/>
  <c r="D505" i="10"/>
  <c r="B505" i="10"/>
  <c r="F505" i="10" s="1"/>
  <c r="E504" i="10"/>
  <c r="D504" i="10"/>
  <c r="B504" i="10"/>
  <c r="F504" i="10" s="1"/>
  <c r="F503" i="10"/>
  <c r="E503" i="10"/>
  <c r="D503" i="10"/>
  <c r="B503" i="10"/>
  <c r="H503" i="10" s="1"/>
  <c r="E502" i="10"/>
  <c r="D502" i="10"/>
  <c r="B502" i="10"/>
  <c r="H502" i="10" s="1"/>
  <c r="H501" i="10"/>
  <c r="E501" i="10"/>
  <c r="D501" i="10"/>
  <c r="B501" i="10"/>
  <c r="F501" i="10" s="1"/>
  <c r="E500" i="10"/>
  <c r="D500" i="10"/>
  <c r="B500" i="10"/>
  <c r="E499" i="10"/>
  <c r="D499" i="10"/>
  <c r="B499" i="10"/>
  <c r="H499" i="10" s="1"/>
  <c r="E498" i="10"/>
  <c r="D498" i="10"/>
  <c r="B498" i="10"/>
  <c r="H498" i="10" s="1"/>
  <c r="E497" i="10"/>
  <c r="D497" i="10"/>
  <c r="B497" i="10"/>
  <c r="F497" i="10" s="1"/>
  <c r="H496" i="10"/>
  <c r="E496" i="10"/>
  <c r="D496" i="10"/>
  <c r="B496" i="10"/>
  <c r="F496" i="10" s="1"/>
  <c r="G493" i="10"/>
  <c r="F493" i="10"/>
  <c r="E493" i="10"/>
  <c r="D493" i="10"/>
  <c r="C493" i="10"/>
  <c r="B493" i="10"/>
  <c r="A493" i="10"/>
  <c r="B478" i="10"/>
  <c r="B475" i="10"/>
  <c r="B474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B446" i="10"/>
  <c r="C444" i="10"/>
  <c r="B444" i="10"/>
  <c r="C438" i="10"/>
  <c r="B437" i="10"/>
  <c r="B435" i="10"/>
  <c r="D434" i="10"/>
  <c r="B434" i="10"/>
  <c r="B433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C418" i="10"/>
  <c r="B418" i="10"/>
  <c r="B417" i="10"/>
  <c r="D415" i="10"/>
  <c r="B415" i="10"/>
  <c r="B414" i="10"/>
  <c r="A412" i="10"/>
  <c r="C389" i="10"/>
  <c r="B439" i="10" s="1"/>
  <c r="C387" i="10"/>
  <c r="B438" i="10" s="1"/>
  <c r="B440" i="10" s="1"/>
  <c r="C383" i="10"/>
  <c r="D372" i="10"/>
  <c r="D367" i="10"/>
  <c r="C448" i="10" s="1"/>
  <c r="C364" i="10"/>
  <c r="C445" i="10" s="1"/>
  <c r="D361" i="10"/>
  <c r="D329" i="10"/>
  <c r="D330" i="10" s="1"/>
  <c r="D328" i="10"/>
  <c r="D319" i="10"/>
  <c r="C312" i="10"/>
  <c r="D314" i="10" s="1"/>
  <c r="D339" i="10" s="1"/>
  <c r="C482" i="10" s="1"/>
  <c r="D290" i="10"/>
  <c r="D283" i="10"/>
  <c r="C272" i="10"/>
  <c r="D275" i="10" s="1"/>
  <c r="B476" i="10" s="1"/>
  <c r="D265" i="10"/>
  <c r="D260" i="10"/>
  <c r="C253" i="10"/>
  <c r="D240" i="10"/>
  <c r="B447" i="10" s="1"/>
  <c r="D236" i="10"/>
  <c r="C228" i="10"/>
  <c r="C224" i="10"/>
  <c r="C223" i="10"/>
  <c r="D221" i="10"/>
  <c r="B217" i="10"/>
  <c r="E216" i="10"/>
  <c r="E215" i="10"/>
  <c r="E214" i="10"/>
  <c r="D214" i="10"/>
  <c r="C214" i="10"/>
  <c r="E213" i="10"/>
  <c r="E212" i="10"/>
  <c r="E211" i="10"/>
  <c r="D210" i="10"/>
  <c r="D217" i="10" s="1"/>
  <c r="C210" i="10"/>
  <c r="E210" i="10" s="1"/>
  <c r="E217" i="10" s="1"/>
  <c r="C478" i="10" s="1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C198" i="10"/>
  <c r="E198" i="10" s="1"/>
  <c r="C471" i="10" s="1"/>
  <c r="E197" i="10"/>
  <c r="C470" i="10" s="1"/>
  <c r="E196" i="10"/>
  <c r="C469" i="10" s="1"/>
  <c r="E195" i="10"/>
  <c r="C468" i="10" s="1"/>
  <c r="D190" i="10"/>
  <c r="D437" i="10" s="1"/>
  <c r="C184" i="10"/>
  <c r="D186" i="10" s="1"/>
  <c r="D436" i="10" s="1"/>
  <c r="D181" i="10"/>
  <c r="D435" i="10" s="1"/>
  <c r="D177" i="10"/>
  <c r="C176" i="10"/>
  <c r="D173" i="10"/>
  <c r="D428" i="10" s="1"/>
  <c r="C171" i="10"/>
  <c r="C170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E144" i="10"/>
  <c r="C417" i="10" s="1"/>
  <c r="D142" i="10"/>
  <c r="C142" i="10"/>
  <c r="B142" i="10"/>
  <c r="E142" i="10" s="1"/>
  <c r="D141" i="10"/>
  <c r="C141" i="10"/>
  <c r="B141" i="10"/>
  <c r="E140" i="10"/>
  <c r="E139" i="10"/>
  <c r="C415" i="10" s="1"/>
  <c r="E138" i="10"/>
  <c r="C414" i="10" s="1"/>
  <c r="E127" i="10"/>
  <c r="CE80" i="10"/>
  <c r="L612" i="10" s="1"/>
  <c r="CF79" i="10"/>
  <c r="CE79" i="10"/>
  <c r="CE78" i="10"/>
  <c r="I612" i="10" s="1"/>
  <c r="CE77" i="10"/>
  <c r="CE76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I75" i="10"/>
  <c r="AH75" i="10"/>
  <c r="AG75" i="10"/>
  <c r="AF75" i="10"/>
  <c r="AE75" i="10"/>
  <c r="AD75" i="10"/>
  <c r="AC75" i="10"/>
  <c r="AB75" i="10"/>
  <c r="AA75" i="10"/>
  <c r="Z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F75" i="10"/>
  <c r="E75" i="10"/>
  <c r="D75" i="10"/>
  <c r="C75" i="10"/>
  <c r="AP74" i="10"/>
  <c r="AJ74" i="10"/>
  <c r="AJ75" i="10" s="1"/>
  <c r="Y73" i="10"/>
  <c r="Y75" i="10" s="1"/>
  <c r="G73" i="10"/>
  <c r="G75" i="10" s="1"/>
  <c r="BN70" i="10"/>
  <c r="BI70" i="10"/>
  <c r="BE70" i="10"/>
  <c r="AP70" i="10"/>
  <c r="AJ70" i="10"/>
  <c r="AE70" i="10"/>
  <c r="CD69" i="10"/>
  <c r="CD71" i="10" s="1"/>
  <c r="C575" i="10" s="1"/>
  <c r="BX69" i="10"/>
  <c r="BW69" i="10"/>
  <c r="BV69" i="10"/>
  <c r="BP69" i="10"/>
  <c r="BN69" i="10"/>
  <c r="BE69" i="10"/>
  <c r="BC69" i="10"/>
  <c r="AP69" i="10"/>
  <c r="AM69" i="10"/>
  <c r="AK69" i="10"/>
  <c r="AJ69" i="10"/>
  <c r="AE69" i="10"/>
  <c r="AB69" i="10"/>
  <c r="S69" i="10"/>
  <c r="G69" i="10"/>
  <c r="C439" i="10" s="1"/>
  <c r="BN68" i="10"/>
  <c r="BE68" i="10"/>
  <c r="AP68" i="10"/>
  <c r="AJ68" i="10"/>
  <c r="CE68" i="10" s="1"/>
  <c r="C434" i="10" s="1"/>
  <c r="CA66" i="10"/>
  <c r="BX66" i="10"/>
  <c r="BW66" i="10"/>
  <c r="BV66" i="10"/>
  <c r="BP66" i="10"/>
  <c r="BN66" i="10"/>
  <c r="BL66" i="10"/>
  <c r="BK66" i="10"/>
  <c r="BG66" i="10"/>
  <c r="BF66" i="10"/>
  <c r="BE66" i="10"/>
  <c r="BA66" i="10"/>
  <c r="AP66" i="10"/>
  <c r="AM66" i="10"/>
  <c r="AL66" i="10"/>
  <c r="AJ66" i="10"/>
  <c r="AE66" i="10"/>
  <c r="AC66" i="10"/>
  <c r="AB66" i="10"/>
  <c r="S66" i="10"/>
  <c r="G66" i="10"/>
  <c r="CE66" i="10" s="1"/>
  <c r="C432" i="10" s="1"/>
  <c r="BX65" i="10"/>
  <c r="BW65" i="10"/>
  <c r="BN65" i="10"/>
  <c r="BE65" i="10"/>
  <c r="AP65" i="10"/>
  <c r="AJ65" i="10"/>
  <c r="AE65" i="10"/>
  <c r="CE65" i="10" s="1"/>
  <c r="C431" i="10" s="1"/>
  <c r="BX64" i="10"/>
  <c r="BW64" i="10"/>
  <c r="BN64" i="10"/>
  <c r="BE64" i="10"/>
  <c r="AP64" i="10"/>
  <c r="AJ64" i="10"/>
  <c r="AE64" i="10"/>
  <c r="CE64" i="10" s="1"/>
  <c r="BN63" i="10"/>
  <c r="CE63" i="10" s="1"/>
  <c r="C429" i="10" s="1"/>
  <c r="AJ63" i="10"/>
  <c r="BX61" i="10"/>
  <c r="BW61" i="10"/>
  <c r="BN61" i="10"/>
  <c r="BI61" i="10"/>
  <c r="BE61" i="10"/>
  <c r="AP61" i="10"/>
  <c r="AJ61" i="10"/>
  <c r="AE61" i="10"/>
  <c r="CE61" i="10" s="1"/>
  <c r="BX60" i="10"/>
  <c r="BN60" i="10"/>
  <c r="BE60" i="10"/>
  <c r="AP60" i="10"/>
  <c r="AJ60" i="10"/>
  <c r="CE60" i="10" s="1"/>
  <c r="H612" i="10" s="1"/>
  <c r="AE60" i="10"/>
  <c r="AP59" i="10"/>
  <c r="E535" i="10" s="1"/>
  <c r="AJ59" i="10"/>
  <c r="E529" i="10" s="1"/>
  <c r="Y59" i="10"/>
  <c r="E518" i="10" s="1"/>
  <c r="B53" i="10"/>
  <c r="CE51" i="10"/>
  <c r="B49" i="10"/>
  <c r="CE47" i="10"/>
  <c r="F500" i="10" l="1"/>
  <c r="H508" i="10"/>
  <c r="H516" i="10"/>
  <c r="F531" i="10"/>
  <c r="H513" i="10"/>
  <c r="F519" i="10"/>
  <c r="H526" i="10"/>
  <c r="H538" i="10"/>
  <c r="H504" i="10"/>
  <c r="F533" i="10"/>
  <c r="H497" i="10"/>
  <c r="F507" i="10"/>
  <c r="H509" i="10"/>
  <c r="H517" i="10"/>
  <c r="C430" i="10"/>
  <c r="F612" i="10"/>
  <c r="C427" i="10"/>
  <c r="CC48" i="10"/>
  <c r="CC62" i="10" s="1"/>
  <c r="BY48" i="10"/>
  <c r="BY62" i="10" s="1"/>
  <c r="BU48" i="10"/>
  <c r="BU62" i="10" s="1"/>
  <c r="BQ48" i="10"/>
  <c r="BQ62" i="10" s="1"/>
  <c r="BM48" i="10"/>
  <c r="BM62" i="10" s="1"/>
  <c r="BI48" i="10"/>
  <c r="BI62" i="10" s="1"/>
  <c r="BE48" i="10"/>
  <c r="BE62" i="10" s="1"/>
  <c r="BA48" i="10"/>
  <c r="BA62" i="10" s="1"/>
  <c r="AW48" i="10"/>
  <c r="AW62" i="10" s="1"/>
  <c r="AS48" i="10"/>
  <c r="AS62" i="10" s="1"/>
  <c r="AO48" i="10"/>
  <c r="AO62" i="10" s="1"/>
  <c r="AK48" i="10"/>
  <c r="AK62" i="10" s="1"/>
  <c r="AG48" i="10"/>
  <c r="AG62" i="10" s="1"/>
  <c r="AC48" i="10"/>
  <c r="AC62" i="10" s="1"/>
  <c r="Y48" i="10"/>
  <c r="Y62" i="10" s="1"/>
  <c r="U48" i="10"/>
  <c r="U62" i="10" s="1"/>
  <c r="Q48" i="10"/>
  <c r="Q62" i="10" s="1"/>
  <c r="M48" i="10"/>
  <c r="M62" i="10" s="1"/>
  <c r="I48" i="10"/>
  <c r="I62" i="10" s="1"/>
  <c r="E48" i="10"/>
  <c r="E62" i="10" s="1"/>
  <c r="X48" i="10"/>
  <c r="X62" i="10" s="1"/>
  <c r="P48" i="10"/>
  <c r="P62" i="10" s="1"/>
  <c r="H48" i="10"/>
  <c r="H62" i="10" s="1"/>
  <c r="D48" i="10"/>
  <c r="D62" i="10" s="1"/>
  <c r="BV48" i="10"/>
  <c r="BV62" i="10" s="1"/>
  <c r="BJ48" i="10"/>
  <c r="BJ62" i="10" s="1"/>
  <c r="AT48" i="10"/>
  <c r="AT62" i="10" s="1"/>
  <c r="AD48" i="10"/>
  <c r="AD62" i="10" s="1"/>
  <c r="J48" i="10"/>
  <c r="J62" i="10" s="1"/>
  <c r="CB48" i="10"/>
  <c r="CB62" i="10" s="1"/>
  <c r="BX48" i="10"/>
  <c r="BX62" i="10" s="1"/>
  <c r="BT48" i="10"/>
  <c r="BT62" i="10" s="1"/>
  <c r="BP48" i="10"/>
  <c r="BP62" i="10" s="1"/>
  <c r="BL48" i="10"/>
  <c r="BL62" i="10" s="1"/>
  <c r="BH48" i="10"/>
  <c r="BH62" i="10" s="1"/>
  <c r="BD48" i="10"/>
  <c r="BD62" i="10" s="1"/>
  <c r="AZ48" i="10"/>
  <c r="AZ62" i="10" s="1"/>
  <c r="AV48" i="10"/>
  <c r="AV62" i="10" s="1"/>
  <c r="AR48" i="10"/>
  <c r="AR62" i="10" s="1"/>
  <c r="AN48" i="10"/>
  <c r="AN62" i="10" s="1"/>
  <c r="AJ48" i="10"/>
  <c r="AJ62" i="10" s="1"/>
  <c r="AF48" i="10"/>
  <c r="AF62" i="10" s="1"/>
  <c r="AB48" i="10"/>
  <c r="AB62" i="10" s="1"/>
  <c r="T48" i="10"/>
  <c r="T62" i="10" s="1"/>
  <c r="L48" i="10"/>
  <c r="L62" i="10" s="1"/>
  <c r="C48" i="10"/>
  <c r="BZ48" i="10"/>
  <c r="BZ62" i="10" s="1"/>
  <c r="BR48" i="10"/>
  <c r="BR62" i="10" s="1"/>
  <c r="BF48" i="10"/>
  <c r="BF62" i="10" s="1"/>
  <c r="AX48" i="10"/>
  <c r="AX62" i="10" s="1"/>
  <c r="AL48" i="10"/>
  <c r="AL62" i="10" s="1"/>
  <c r="V48" i="10"/>
  <c r="V62" i="10" s="1"/>
  <c r="N48" i="10"/>
  <c r="N62" i="10" s="1"/>
  <c r="CA48" i="10"/>
  <c r="CA62" i="10" s="1"/>
  <c r="BW48" i="10"/>
  <c r="BW62" i="10" s="1"/>
  <c r="BW71" i="10" s="1"/>
  <c r="BS48" i="10"/>
  <c r="BS62" i="10" s="1"/>
  <c r="BO48" i="10"/>
  <c r="BO62" i="10" s="1"/>
  <c r="BK48" i="10"/>
  <c r="BK62" i="10" s="1"/>
  <c r="BG48" i="10"/>
  <c r="BG62" i="10" s="1"/>
  <c r="BC48" i="10"/>
  <c r="BC62" i="10" s="1"/>
  <c r="AY48" i="10"/>
  <c r="AY62" i="10" s="1"/>
  <c r="AU48" i="10"/>
  <c r="AU62" i="10" s="1"/>
  <c r="AQ48" i="10"/>
  <c r="AQ62" i="10" s="1"/>
  <c r="AM48" i="10"/>
  <c r="AM62" i="10" s="1"/>
  <c r="AI48" i="10"/>
  <c r="AI62" i="10" s="1"/>
  <c r="AE48" i="10"/>
  <c r="AE62" i="10" s="1"/>
  <c r="AA48" i="10"/>
  <c r="AA62" i="10" s="1"/>
  <c r="W48" i="10"/>
  <c r="W62" i="10" s="1"/>
  <c r="S48" i="10"/>
  <c r="S62" i="10" s="1"/>
  <c r="O48" i="10"/>
  <c r="O62" i="10" s="1"/>
  <c r="K48" i="10"/>
  <c r="K62" i="10" s="1"/>
  <c r="G48" i="10"/>
  <c r="G62" i="10" s="1"/>
  <c r="BN48" i="10"/>
  <c r="BN62" i="10" s="1"/>
  <c r="BB48" i="10"/>
  <c r="BB62" i="10" s="1"/>
  <c r="AP48" i="10"/>
  <c r="AP62" i="10" s="1"/>
  <c r="AH48" i="10"/>
  <c r="AH62" i="10" s="1"/>
  <c r="Z48" i="10"/>
  <c r="Z62" i="10" s="1"/>
  <c r="R48" i="10"/>
  <c r="R62" i="10" s="1"/>
  <c r="F48" i="10"/>
  <c r="F62" i="10" s="1"/>
  <c r="CE69" i="10"/>
  <c r="C440" i="10" s="1"/>
  <c r="CE70" i="10"/>
  <c r="CE75" i="10"/>
  <c r="CF77" i="10"/>
  <c r="G612" i="10"/>
  <c r="D464" i="10"/>
  <c r="D277" i="10"/>
  <c r="B465" i="10"/>
  <c r="D368" i="10"/>
  <c r="D373" i="10" s="1"/>
  <c r="D391" i="10" s="1"/>
  <c r="D393" i="10" s="1"/>
  <c r="D396" i="10" s="1"/>
  <c r="D390" i="10"/>
  <c r="B441" i="10" s="1"/>
  <c r="B432" i="10"/>
  <c r="F499" i="10"/>
  <c r="F544" i="10"/>
  <c r="C217" i="10"/>
  <c r="D433" i="10" s="1"/>
  <c r="E141" i="10"/>
  <c r="D463" i="10" s="1"/>
  <c r="D465" i="10" s="1"/>
  <c r="E204" i="10"/>
  <c r="C476" i="10" s="1"/>
  <c r="D292" i="10"/>
  <c r="D341" i="10" s="1"/>
  <c r="C481" i="10" s="1"/>
  <c r="B473" i="10"/>
  <c r="D612" i="10"/>
  <c r="CF76" i="10"/>
  <c r="K52" i="10"/>
  <c r="K67" i="10" s="1"/>
  <c r="AA52" i="10"/>
  <c r="AA67" i="10" s="1"/>
  <c r="AQ52" i="10"/>
  <c r="AQ67" i="10" s="1"/>
  <c r="BG52" i="10"/>
  <c r="BG67" i="10" s="1"/>
  <c r="BW52" i="10"/>
  <c r="BW67" i="10" s="1"/>
  <c r="CE74" i="10"/>
  <c r="C464" i="10" s="1"/>
  <c r="C473" i="10"/>
  <c r="D229" i="10"/>
  <c r="F511" i="10"/>
  <c r="F515" i="10"/>
  <c r="F535" i="10"/>
  <c r="F546" i="10"/>
  <c r="CE73" i="10"/>
  <c r="C463" i="10" s="1"/>
  <c r="D438" i="10"/>
  <c r="F498" i="10"/>
  <c r="F502" i="10"/>
  <c r="F506" i="10"/>
  <c r="F510" i="10"/>
  <c r="F514" i="10"/>
  <c r="F518" i="10"/>
  <c r="F524" i="10"/>
  <c r="F528" i="10"/>
  <c r="F532" i="10"/>
  <c r="F536" i="10"/>
  <c r="F540" i="10"/>
  <c r="F545" i="10"/>
  <c r="F550" i="10"/>
  <c r="B436" i="10"/>
  <c r="C643" i="10" l="1"/>
  <c r="C568" i="10"/>
  <c r="CB52" i="10"/>
  <c r="CB67" i="10" s="1"/>
  <c r="CB71" i="10" s="1"/>
  <c r="BL52" i="10"/>
  <c r="BL67" i="10" s="1"/>
  <c r="AR52" i="10"/>
  <c r="AR67" i="10" s="1"/>
  <c r="X52" i="10"/>
  <c r="X67" i="10" s="1"/>
  <c r="D52" i="10"/>
  <c r="D67" i="10" s="1"/>
  <c r="D71" i="10" s="1"/>
  <c r="BX52" i="10"/>
  <c r="BX67" i="10" s="1"/>
  <c r="BX71" i="10" s="1"/>
  <c r="BH52" i="10"/>
  <c r="BH67" i="10" s="1"/>
  <c r="AZ52" i="10"/>
  <c r="AZ67" i="10" s="1"/>
  <c r="AN52" i="10"/>
  <c r="AN67" i="10" s="1"/>
  <c r="AN71" i="10" s="1"/>
  <c r="AF52" i="10"/>
  <c r="AF67" i="10" s="1"/>
  <c r="T52" i="10"/>
  <c r="T67" i="10" s="1"/>
  <c r="L52" i="10"/>
  <c r="L67" i="10" s="1"/>
  <c r="BT52" i="10"/>
  <c r="BT67" i="10" s="1"/>
  <c r="BT71" i="10" s="1"/>
  <c r="BP52" i="10"/>
  <c r="BP67" i="10" s="1"/>
  <c r="BD52" i="10"/>
  <c r="BD67" i="10" s="1"/>
  <c r="AV52" i="10"/>
  <c r="AV67" i="10" s="1"/>
  <c r="AJ52" i="10"/>
  <c r="AJ67" i="10" s="1"/>
  <c r="AJ71" i="10" s="1"/>
  <c r="AB52" i="10"/>
  <c r="AB67" i="10" s="1"/>
  <c r="P52" i="10"/>
  <c r="P67" i="10" s="1"/>
  <c r="H52" i="10"/>
  <c r="H67" i="10" s="1"/>
  <c r="BV52" i="10"/>
  <c r="BV67" i="10" s="1"/>
  <c r="BV71" i="10" s="1"/>
  <c r="AP52" i="10"/>
  <c r="AP67" i="10" s="1"/>
  <c r="AP71" i="10" s="1"/>
  <c r="J52" i="10"/>
  <c r="J67" i="10" s="1"/>
  <c r="CC52" i="10"/>
  <c r="CC67" i="10" s="1"/>
  <c r="R71" i="10"/>
  <c r="C62" i="10"/>
  <c r="CE48" i="10"/>
  <c r="BL71" i="10"/>
  <c r="BS52" i="10"/>
  <c r="BS67" i="10" s="1"/>
  <c r="BS71" i="10" s="1"/>
  <c r="BC52" i="10"/>
  <c r="BC67" i="10" s="1"/>
  <c r="AM52" i="10"/>
  <c r="AM67" i="10" s="1"/>
  <c r="W52" i="10"/>
  <c r="W67" i="10" s="1"/>
  <c r="G52" i="10"/>
  <c r="G67" i="10" s="1"/>
  <c r="G71" i="10" s="1"/>
  <c r="BR52" i="10"/>
  <c r="BR67" i="10" s="1"/>
  <c r="BB52" i="10"/>
  <c r="BB67" i="10" s="1"/>
  <c r="AL52" i="10"/>
  <c r="AL67" i="10" s="1"/>
  <c r="V52" i="10"/>
  <c r="V67" i="10" s="1"/>
  <c r="F52" i="10"/>
  <c r="F67" i="10" s="1"/>
  <c r="K612" i="10"/>
  <c r="C465" i="10"/>
  <c r="BY52" i="10"/>
  <c r="BY67" i="10" s="1"/>
  <c r="BY71" i="10" s="1"/>
  <c r="BI52" i="10"/>
  <c r="BI67" i="10" s="1"/>
  <c r="BI71" i="10" s="1"/>
  <c r="AS52" i="10"/>
  <c r="AS67" i="10" s="1"/>
  <c r="AC52" i="10"/>
  <c r="AC67" i="10" s="1"/>
  <c r="AC71" i="10" s="1"/>
  <c r="M52" i="10"/>
  <c r="M67" i="10" s="1"/>
  <c r="BF71" i="10"/>
  <c r="L71" i="10"/>
  <c r="AZ71" i="10"/>
  <c r="BP71" i="10"/>
  <c r="J71" i="10"/>
  <c r="X71" i="10"/>
  <c r="AG71" i="10"/>
  <c r="CC71" i="10"/>
  <c r="BZ52" i="10"/>
  <c r="BZ67" i="10" s="1"/>
  <c r="BF52" i="10"/>
  <c r="BF67" i="10" s="1"/>
  <c r="BM52" i="10"/>
  <c r="BM67" i="10" s="1"/>
  <c r="BM71" i="10" s="1"/>
  <c r="BB71" i="10"/>
  <c r="BK71" i="10"/>
  <c r="AF71" i="10"/>
  <c r="P71" i="10"/>
  <c r="M71" i="10"/>
  <c r="BO52" i="10"/>
  <c r="BO67" i="10" s="1"/>
  <c r="BO71" i="10" s="1"/>
  <c r="AY52" i="10"/>
  <c r="AY67" i="10" s="1"/>
  <c r="AY71" i="10" s="1"/>
  <c r="AI52" i="10"/>
  <c r="AI67" i="10" s="1"/>
  <c r="AI71" i="10" s="1"/>
  <c r="S52" i="10"/>
  <c r="S67" i="10" s="1"/>
  <c r="S71" i="10" s="1"/>
  <c r="C52" i="10"/>
  <c r="BN52" i="10"/>
  <c r="BN67" i="10" s="1"/>
  <c r="BN71" i="10" s="1"/>
  <c r="AX52" i="10"/>
  <c r="AX67" i="10" s="1"/>
  <c r="AX71" i="10" s="1"/>
  <c r="AH52" i="10"/>
  <c r="AH67" i="10" s="1"/>
  <c r="R52" i="10"/>
  <c r="R67" i="10" s="1"/>
  <c r="C458" i="10"/>
  <c r="BU52" i="10"/>
  <c r="BU67" i="10" s="1"/>
  <c r="BE52" i="10"/>
  <c r="BE67" i="10" s="1"/>
  <c r="BE71" i="10" s="1"/>
  <c r="AO52" i="10"/>
  <c r="AO67" i="10" s="1"/>
  <c r="Y52" i="10"/>
  <c r="Y67" i="10" s="1"/>
  <c r="Y71" i="10" s="1"/>
  <c r="I52" i="10"/>
  <c r="I67" i="10" s="1"/>
  <c r="AH71" i="10"/>
  <c r="W71" i="10"/>
  <c r="AM71" i="10"/>
  <c r="BC71" i="10"/>
  <c r="V71" i="10"/>
  <c r="BR71" i="10"/>
  <c r="T71" i="10"/>
  <c r="BD71" i="10"/>
  <c r="E71" i="10"/>
  <c r="BQ71" i="10"/>
  <c r="Z52" i="10"/>
  <c r="Z67" i="10" s="1"/>
  <c r="Z71" i="10" s="1"/>
  <c r="AW52" i="10"/>
  <c r="AW67" i="10" s="1"/>
  <c r="AW71" i="10" s="1"/>
  <c r="AG52" i="10"/>
  <c r="AG67" i="10" s="1"/>
  <c r="Q52" i="10"/>
  <c r="Q67" i="10" s="1"/>
  <c r="Q71" i="10" s="1"/>
  <c r="AV71" i="10"/>
  <c r="AS71" i="10"/>
  <c r="B445" i="10"/>
  <c r="D242" i="10"/>
  <c r="B448" i="10" s="1"/>
  <c r="CA52" i="10"/>
  <c r="CA67" i="10" s="1"/>
  <c r="CA71" i="10" s="1"/>
  <c r="BK52" i="10"/>
  <c r="BK67" i="10" s="1"/>
  <c r="AU52" i="10"/>
  <c r="AU67" i="10" s="1"/>
  <c r="AU71" i="10" s="1"/>
  <c r="AE52" i="10"/>
  <c r="AE67" i="10" s="1"/>
  <c r="AE71" i="10" s="1"/>
  <c r="O52" i="10"/>
  <c r="O67" i="10" s="1"/>
  <c r="O71" i="10" s="1"/>
  <c r="BJ52" i="10"/>
  <c r="BJ67" i="10" s="1"/>
  <c r="BJ71" i="10" s="1"/>
  <c r="AT52" i="10"/>
  <c r="AT67" i="10" s="1"/>
  <c r="AD52" i="10"/>
  <c r="AD67" i="10" s="1"/>
  <c r="AD71" i="10" s="1"/>
  <c r="N52" i="10"/>
  <c r="N67" i="10" s="1"/>
  <c r="N71" i="10" s="1"/>
  <c r="BQ52" i="10"/>
  <c r="BQ67" i="10" s="1"/>
  <c r="BA52" i="10"/>
  <c r="BA67" i="10" s="1"/>
  <c r="BA71" i="10" s="1"/>
  <c r="AK52" i="10"/>
  <c r="AK67" i="10" s="1"/>
  <c r="AK71" i="10" s="1"/>
  <c r="U52" i="10"/>
  <c r="U67" i="10" s="1"/>
  <c r="U71" i="10" s="1"/>
  <c r="E52" i="10"/>
  <c r="E67" i="10" s="1"/>
  <c r="F71" i="10"/>
  <c r="K71" i="10"/>
  <c r="AA71" i="10"/>
  <c r="AQ71" i="10"/>
  <c r="BG71" i="10"/>
  <c r="AL71" i="10"/>
  <c r="BZ71" i="10"/>
  <c r="AB71" i="10"/>
  <c r="AR71" i="10"/>
  <c r="BH71" i="10"/>
  <c r="AT71" i="10"/>
  <c r="H71" i="10"/>
  <c r="I71" i="10"/>
  <c r="AO71" i="10"/>
  <c r="BU71" i="10"/>
  <c r="C695" i="10" l="1"/>
  <c r="C523" i="10"/>
  <c r="G523" i="10" s="1"/>
  <c r="C634" i="10"/>
  <c r="C554" i="10"/>
  <c r="C684" i="10"/>
  <c r="C512" i="10"/>
  <c r="C639" i="10"/>
  <c r="C564" i="10"/>
  <c r="C642" i="10"/>
  <c r="C567" i="10"/>
  <c r="C640" i="10"/>
  <c r="C565" i="10"/>
  <c r="C705" i="10"/>
  <c r="C533" i="10"/>
  <c r="G533" i="10" s="1"/>
  <c r="C497" i="10"/>
  <c r="G497" i="10" s="1"/>
  <c r="C669" i="10"/>
  <c r="C622" i="10"/>
  <c r="C573" i="10"/>
  <c r="C696" i="10"/>
  <c r="C524" i="10"/>
  <c r="C560" i="10"/>
  <c r="C627" i="10"/>
  <c r="C712" i="10"/>
  <c r="C540" i="10"/>
  <c r="G540" i="10" s="1"/>
  <c r="C645" i="10"/>
  <c r="C570" i="10"/>
  <c r="C631" i="10"/>
  <c r="C542" i="10"/>
  <c r="C616" i="10"/>
  <c r="C543" i="10"/>
  <c r="C528" i="10"/>
  <c r="G528" i="10" s="1"/>
  <c r="C700" i="10"/>
  <c r="C638" i="10"/>
  <c r="C558" i="10"/>
  <c r="C694" i="10"/>
  <c r="C522" i="10"/>
  <c r="C702" i="10"/>
  <c r="C530" i="10"/>
  <c r="C682" i="10"/>
  <c r="C510" i="10"/>
  <c r="G510" i="10" s="1"/>
  <c r="C630" i="10"/>
  <c r="C546" i="10"/>
  <c r="C672" i="10"/>
  <c r="C500" i="10"/>
  <c r="C555" i="10"/>
  <c r="C617" i="10"/>
  <c r="C686" i="10"/>
  <c r="C514" i="10"/>
  <c r="C679" i="10"/>
  <c r="C507" i="10"/>
  <c r="G507" i="10" s="1"/>
  <c r="C680" i="10"/>
  <c r="C508" i="10"/>
  <c r="G508" i="10" s="1"/>
  <c r="C647" i="10"/>
  <c r="C572" i="10"/>
  <c r="C691" i="10"/>
  <c r="C519" i="10"/>
  <c r="G519" i="10" s="1"/>
  <c r="C690" i="10"/>
  <c r="C518" i="10"/>
  <c r="C625" i="10"/>
  <c r="C544" i="10"/>
  <c r="C706" i="10"/>
  <c r="C534" i="10"/>
  <c r="G534" i="10" s="1"/>
  <c r="C562" i="10"/>
  <c r="C623" i="10"/>
  <c r="C635" i="10"/>
  <c r="C556" i="10"/>
  <c r="C675" i="10"/>
  <c r="C503" i="10"/>
  <c r="G503" i="10" s="1"/>
  <c r="C701" i="10"/>
  <c r="C529" i="10"/>
  <c r="C636" i="10"/>
  <c r="C553" i="10"/>
  <c r="C703" i="10"/>
  <c r="C531" i="10"/>
  <c r="C676" i="10"/>
  <c r="C504" i="10"/>
  <c r="G504" i="10" s="1"/>
  <c r="C559" i="10"/>
  <c r="C619" i="10"/>
  <c r="C681" i="10"/>
  <c r="C509" i="10"/>
  <c r="G509" i="10" s="1"/>
  <c r="C632" i="10"/>
  <c r="C547" i="10"/>
  <c r="C574" i="10"/>
  <c r="C620" i="10"/>
  <c r="C561" i="10"/>
  <c r="C621" i="10"/>
  <c r="CE62" i="10"/>
  <c r="C711" i="10"/>
  <c r="C539" i="10"/>
  <c r="G539" i="10" s="1"/>
  <c r="C692" i="10"/>
  <c r="C520" i="10"/>
  <c r="G520" i="10" s="1"/>
  <c r="C713" i="10"/>
  <c r="C541" i="10"/>
  <c r="C670" i="10"/>
  <c r="C498" i="10"/>
  <c r="G498" i="10" s="1"/>
  <c r="C687" i="10"/>
  <c r="C515" i="10"/>
  <c r="G515" i="10" s="1"/>
  <c r="C678" i="10"/>
  <c r="C506" i="10"/>
  <c r="G506" i="10" s="1"/>
  <c r="C698" i="10"/>
  <c r="C526" i="10"/>
  <c r="G526" i="10" s="1"/>
  <c r="C551" i="10"/>
  <c r="C629" i="10"/>
  <c r="C674" i="10"/>
  <c r="C502" i="10"/>
  <c r="G502" i="10" s="1"/>
  <c r="C709" i="10"/>
  <c r="C537" i="10"/>
  <c r="G537" i="10" s="1"/>
  <c r="C552" i="10"/>
  <c r="C618" i="10"/>
  <c r="C671" i="10"/>
  <c r="C499" i="10"/>
  <c r="G499" i="10" s="1"/>
  <c r="C685" i="10"/>
  <c r="C513" i="10"/>
  <c r="G513" i="10" s="1"/>
  <c r="C633" i="10"/>
  <c r="C548" i="10"/>
  <c r="C699" i="10"/>
  <c r="C527" i="10"/>
  <c r="G527" i="10" s="1"/>
  <c r="C614" i="10"/>
  <c r="C550" i="10"/>
  <c r="C67" i="10"/>
  <c r="CE67" i="10" s="1"/>
  <c r="C433" i="10" s="1"/>
  <c r="CE52" i="10"/>
  <c r="C689" i="10"/>
  <c r="C517" i="10"/>
  <c r="G517" i="10" s="1"/>
  <c r="C628" i="10"/>
  <c r="C545" i="10"/>
  <c r="C646" i="10"/>
  <c r="C571" i="10"/>
  <c r="C624" i="10"/>
  <c r="C549" i="10"/>
  <c r="C688" i="10"/>
  <c r="C516" i="10"/>
  <c r="G516" i="10" s="1"/>
  <c r="C683" i="10"/>
  <c r="C511" i="10"/>
  <c r="G511" i="10" s="1"/>
  <c r="C641" i="10"/>
  <c r="C566" i="10"/>
  <c r="C501" i="10"/>
  <c r="G501" i="10" s="1"/>
  <c r="C673" i="10"/>
  <c r="C693" i="10"/>
  <c r="C521" i="10"/>
  <c r="C708" i="10"/>
  <c r="C536" i="10"/>
  <c r="G536" i="10" s="1"/>
  <c r="C710" i="10"/>
  <c r="C538" i="10"/>
  <c r="G538" i="10" s="1"/>
  <c r="C563" i="10"/>
  <c r="C626" i="10"/>
  <c r="C704" i="10"/>
  <c r="C532" i="10"/>
  <c r="C697" i="10"/>
  <c r="C525" i="10"/>
  <c r="C505" i="10"/>
  <c r="G505" i="10" s="1"/>
  <c r="C677" i="10"/>
  <c r="C637" i="10"/>
  <c r="C557" i="10"/>
  <c r="C707" i="10"/>
  <c r="C535" i="10"/>
  <c r="C644" i="10"/>
  <c r="C569" i="10"/>
  <c r="G521" i="10" l="1"/>
  <c r="H521" i="10"/>
  <c r="G550" i="10"/>
  <c r="H550" i="10" s="1"/>
  <c r="C428" i="10"/>
  <c r="C441" i="10" s="1"/>
  <c r="CE71" i="10"/>
  <c r="C716" i="10" s="1"/>
  <c r="G544" i="10"/>
  <c r="H544" i="10"/>
  <c r="G514" i="10"/>
  <c r="H514" i="10"/>
  <c r="G500" i="10"/>
  <c r="H500" i="10" s="1"/>
  <c r="G522" i="10"/>
  <c r="H522" i="10" s="1"/>
  <c r="G524" i="10"/>
  <c r="H524" i="10"/>
  <c r="C648" i="10"/>
  <c r="M716" i="10" s="1"/>
  <c r="D615" i="10"/>
  <c r="C71" i="10"/>
  <c r="G535" i="10"/>
  <c r="H535" i="10"/>
  <c r="G532" i="10"/>
  <c r="H532" i="10"/>
  <c r="G525" i="10"/>
  <c r="H525" i="10"/>
  <c r="G545" i="10"/>
  <c r="H545" i="10"/>
  <c r="G531" i="10"/>
  <c r="H531" i="10"/>
  <c r="G529" i="10"/>
  <c r="H529" i="10" s="1"/>
  <c r="G518" i="10"/>
  <c r="H518" i="10"/>
  <c r="G546" i="10"/>
  <c r="H546" i="10"/>
  <c r="G530" i="10"/>
  <c r="H530" i="10" s="1"/>
  <c r="G512" i="10"/>
  <c r="H512" i="10"/>
  <c r="C668" i="10" l="1"/>
  <c r="C715" i="10" s="1"/>
  <c r="C496" i="10"/>
  <c r="G496" i="10" s="1"/>
  <c r="D710" i="10"/>
  <c r="D706" i="10"/>
  <c r="D702" i="10"/>
  <c r="D698" i="10"/>
  <c r="D694" i="10"/>
  <c r="D690" i="10"/>
  <c r="D686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3" i="10"/>
  <c r="D679" i="10"/>
  <c r="D675" i="10"/>
  <c r="D671" i="10"/>
  <c r="D705" i="10"/>
  <c r="D689" i="10"/>
  <c r="D684" i="10"/>
  <c r="D680" i="10"/>
  <c r="D676" i="10"/>
  <c r="D672" i="10"/>
  <c r="D668" i="10"/>
  <c r="D709" i="10"/>
  <c r="D693" i="10"/>
  <c r="D685" i="10"/>
  <c r="D681" i="10"/>
  <c r="D677" i="10"/>
  <c r="D673" i="10"/>
  <c r="D669" i="10"/>
  <c r="D697" i="10"/>
  <c r="D678" i="10"/>
  <c r="D646" i="10"/>
  <c r="D628" i="10"/>
  <c r="D622" i="10"/>
  <c r="D620" i="10"/>
  <c r="D618" i="10"/>
  <c r="D616" i="10"/>
  <c r="D713" i="10"/>
  <c r="D682" i="10"/>
  <c r="D627" i="10"/>
  <c r="D670" i="10"/>
  <c r="D647" i="10"/>
  <c r="D645" i="10"/>
  <c r="D644" i="10"/>
  <c r="D643" i="10"/>
  <c r="D642" i="10"/>
  <c r="D641" i="10"/>
  <c r="D629" i="10"/>
  <c r="D626" i="10"/>
  <c r="D623" i="10"/>
  <c r="D621" i="10"/>
  <c r="D619" i="10"/>
  <c r="D617" i="10"/>
  <c r="D674" i="10"/>
  <c r="D639" i="10"/>
  <c r="D637" i="10"/>
  <c r="D635" i="10"/>
  <c r="D633" i="10"/>
  <c r="D631" i="10"/>
  <c r="D638" i="10"/>
  <c r="D634" i="10"/>
  <c r="D630" i="10"/>
  <c r="D625" i="10"/>
  <c r="D640" i="10"/>
  <c r="D636" i="10"/>
  <c r="D632" i="10"/>
  <c r="D624" i="10"/>
  <c r="D715" i="10" l="1"/>
  <c r="E623" i="10"/>
  <c r="E612" i="10"/>
  <c r="E716" i="10" l="1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98" i="10"/>
  <c r="E684" i="10"/>
  <c r="E680" i="10"/>
  <c r="E676" i="10"/>
  <c r="E672" i="10"/>
  <c r="E668" i="10"/>
  <c r="E702" i="10"/>
  <c r="E686" i="10"/>
  <c r="E685" i="10"/>
  <c r="E681" i="10"/>
  <c r="E677" i="10"/>
  <c r="E673" i="10"/>
  <c r="E669" i="10"/>
  <c r="E706" i="10"/>
  <c r="E690" i="10"/>
  <c r="E682" i="10"/>
  <c r="E678" i="10"/>
  <c r="E674" i="10"/>
  <c r="E670" i="10"/>
  <c r="E647" i="10"/>
  <c r="E646" i="10"/>
  <c r="E645" i="10"/>
  <c r="E675" i="10"/>
  <c r="E627" i="10"/>
  <c r="E679" i="10"/>
  <c r="E644" i="10"/>
  <c r="E643" i="10"/>
  <c r="E642" i="10"/>
  <c r="E641" i="10"/>
  <c r="E629" i="10"/>
  <c r="E626" i="10"/>
  <c r="E694" i="10"/>
  <c r="E683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710" i="10"/>
  <c r="E671" i="10"/>
  <c r="E628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1" i="10"/>
  <c r="F695" i="10"/>
  <c r="F681" i="10"/>
  <c r="F677" i="10"/>
  <c r="F673" i="10"/>
  <c r="F669" i="10"/>
  <c r="F716" i="10"/>
  <c r="F699" i="10"/>
  <c r="F682" i="10"/>
  <c r="F678" i="10"/>
  <c r="F674" i="10"/>
  <c r="F670" i="10"/>
  <c r="F647" i="10"/>
  <c r="F646" i="10"/>
  <c r="F645" i="10"/>
  <c r="F703" i="10"/>
  <c r="F687" i="10"/>
  <c r="F683" i="10"/>
  <c r="F679" i="10"/>
  <c r="F675" i="10"/>
  <c r="F671" i="10"/>
  <c r="F644" i="10"/>
  <c r="F643" i="10"/>
  <c r="F642" i="10"/>
  <c r="F641" i="10"/>
  <c r="F640" i="10"/>
  <c r="F691" i="10"/>
  <c r="F672" i="10"/>
  <c r="F629" i="10"/>
  <c r="F626" i="10"/>
  <c r="F707" i="10"/>
  <c r="F676" i="10"/>
  <c r="F639" i="10"/>
  <c r="F638" i="10"/>
  <c r="F637" i="10"/>
  <c r="F636" i="10"/>
  <c r="F635" i="10"/>
  <c r="F634" i="10"/>
  <c r="F633" i="10"/>
  <c r="F632" i="10"/>
  <c r="F631" i="10"/>
  <c r="F630" i="10"/>
  <c r="F625" i="10"/>
  <c r="F680" i="10"/>
  <c r="F628" i="10"/>
  <c r="F668" i="10"/>
  <c r="F684" i="10"/>
  <c r="F627" i="10"/>
  <c r="F715" i="10" l="1"/>
  <c r="G625" i="10"/>
  <c r="G713" i="10" l="1"/>
  <c r="G709" i="10"/>
  <c r="G705" i="10"/>
  <c r="G701" i="10"/>
  <c r="G697" i="10"/>
  <c r="G693" i="10"/>
  <c r="G689" i="10"/>
  <c r="G685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2" i="10"/>
  <c r="G678" i="10"/>
  <c r="G674" i="10"/>
  <c r="G670" i="10"/>
  <c r="G647" i="10"/>
  <c r="G646" i="10"/>
  <c r="G645" i="10"/>
  <c r="G712" i="10"/>
  <c r="G696" i="10"/>
  <c r="G683" i="10"/>
  <c r="G679" i="10"/>
  <c r="G675" i="10"/>
  <c r="G671" i="10"/>
  <c r="G644" i="10"/>
  <c r="G643" i="10"/>
  <c r="G642" i="10"/>
  <c r="G641" i="10"/>
  <c r="G700" i="10"/>
  <c r="G684" i="10"/>
  <c r="G680" i="10"/>
  <c r="G676" i="10"/>
  <c r="G672" i="10"/>
  <c r="G668" i="10"/>
  <c r="G669" i="10"/>
  <c r="G639" i="10"/>
  <c r="G638" i="10"/>
  <c r="G637" i="10"/>
  <c r="G636" i="10"/>
  <c r="G635" i="10"/>
  <c r="G634" i="10"/>
  <c r="G633" i="10"/>
  <c r="G632" i="10"/>
  <c r="G631" i="10"/>
  <c r="G630" i="10"/>
  <c r="G673" i="10"/>
  <c r="G640" i="10"/>
  <c r="G628" i="10"/>
  <c r="G688" i="10"/>
  <c r="G677" i="10"/>
  <c r="G627" i="10"/>
  <c r="G629" i="10"/>
  <c r="G626" i="10"/>
  <c r="G704" i="10"/>
  <c r="G681" i="10"/>
  <c r="G715" i="10" l="1"/>
  <c r="H628" i="10"/>
  <c r="H710" i="10" l="1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5" i="10"/>
  <c r="H683" i="10"/>
  <c r="H679" i="10"/>
  <c r="H675" i="10"/>
  <c r="H671" i="10"/>
  <c r="H709" i="10"/>
  <c r="H693" i="10"/>
  <c r="H684" i="10"/>
  <c r="H680" i="10"/>
  <c r="H676" i="10"/>
  <c r="H672" i="10"/>
  <c r="H668" i="10"/>
  <c r="H713" i="10"/>
  <c r="H697" i="10"/>
  <c r="H681" i="10"/>
  <c r="H677" i="10"/>
  <c r="H673" i="10"/>
  <c r="H669" i="10"/>
  <c r="H682" i="10"/>
  <c r="H644" i="10"/>
  <c r="H643" i="10"/>
  <c r="H642" i="10"/>
  <c r="H641" i="10"/>
  <c r="H640" i="10"/>
  <c r="H701" i="10"/>
  <c r="H670" i="10"/>
  <c r="H647" i="10"/>
  <c r="H645" i="10"/>
  <c r="H674" i="10"/>
  <c r="H629" i="10"/>
  <c r="H639" i="10"/>
  <c r="H637" i="10"/>
  <c r="H635" i="10"/>
  <c r="H633" i="10"/>
  <c r="H631" i="10"/>
  <c r="H678" i="10"/>
  <c r="H646" i="10"/>
  <c r="H638" i="10"/>
  <c r="H636" i="10"/>
  <c r="H634" i="10"/>
  <c r="H632" i="10"/>
  <c r="H630" i="10"/>
  <c r="H715" i="10" l="1"/>
  <c r="I629" i="10"/>
  <c r="I716" i="10" l="1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702" i="10"/>
  <c r="I686" i="10"/>
  <c r="I684" i="10"/>
  <c r="I680" i="10"/>
  <c r="I676" i="10"/>
  <c r="I672" i="10"/>
  <c r="I668" i="10"/>
  <c r="I706" i="10"/>
  <c r="I690" i="10"/>
  <c r="I681" i="10"/>
  <c r="I677" i="10"/>
  <c r="I673" i="10"/>
  <c r="I669" i="10"/>
  <c r="I710" i="10"/>
  <c r="I694" i="10"/>
  <c r="I682" i="10"/>
  <c r="I678" i="10"/>
  <c r="I674" i="10"/>
  <c r="I670" i="10"/>
  <c r="I647" i="10"/>
  <c r="I646" i="10"/>
  <c r="I645" i="10"/>
  <c r="I685" i="10"/>
  <c r="I679" i="10"/>
  <c r="I683" i="10"/>
  <c r="I671" i="10"/>
  <c r="I639" i="10"/>
  <c r="I638" i="10"/>
  <c r="I637" i="10"/>
  <c r="I636" i="10"/>
  <c r="I635" i="10"/>
  <c r="I634" i="10"/>
  <c r="I633" i="10"/>
  <c r="I632" i="10"/>
  <c r="I631" i="10"/>
  <c r="I630" i="10"/>
  <c r="I642" i="10"/>
  <c r="I641" i="10"/>
  <c r="I698" i="10"/>
  <c r="I644" i="10"/>
  <c r="I640" i="10"/>
  <c r="I675" i="10"/>
  <c r="I643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699" i="10"/>
  <c r="J681" i="10"/>
  <c r="J677" i="10"/>
  <c r="J673" i="10"/>
  <c r="J669" i="10"/>
  <c r="J703" i="10"/>
  <c r="J687" i="10"/>
  <c r="J682" i="10"/>
  <c r="J678" i="10"/>
  <c r="J674" i="10"/>
  <c r="J670" i="10"/>
  <c r="J647" i="10"/>
  <c r="J646" i="10"/>
  <c r="J645" i="10"/>
  <c r="J707" i="10"/>
  <c r="J691" i="10"/>
  <c r="J683" i="10"/>
  <c r="J679" i="10"/>
  <c r="J675" i="10"/>
  <c r="J671" i="10"/>
  <c r="J644" i="10"/>
  <c r="J643" i="10"/>
  <c r="J642" i="10"/>
  <c r="J641" i="10"/>
  <c r="J640" i="10"/>
  <c r="J676" i="10"/>
  <c r="J695" i="10"/>
  <c r="J680" i="10"/>
  <c r="J639" i="10"/>
  <c r="J638" i="10"/>
  <c r="J637" i="10"/>
  <c r="J636" i="10"/>
  <c r="J635" i="10"/>
  <c r="J634" i="10"/>
  <c r="J633" i="10"/>
  <c r="J632" i="10"/>
  <c r="J631" i="10"/>
  <c r="J715" i="10" s="1"/>
  <c r="J711" i="10"/>
  <c r="J684" i="10"/>
  <c r="J668" i="10"/>
  <c r="J672" i="10"/>
  <c r="L647" i="10" l="1"/>
  <c r="K644" i="10"/>
  <c r="K713" i="10" l="1"/>
  <c r="K709" i="10"/>
  <c r="K705" i="10"/>
  <c r="K701" i="10"/>
  <c r="K697" i="10"/>
  <c r="K693" i="10"/>
  <c r="K689" i="10"/>
  <c r="K685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2" i="10"/>
  <c r="K678" i="10"/>
  <c r="K674" i="10"/>
  <c r="K670" i="10"/>
  <c r="K700" i="10"/>
  <c r="K683" i="10"/>
  <c r="K679" i="10"/>
  <c r="K675" i="10"/>
  <c r="K671" i="10"/>
  <c r="K704" i="10"/>
  <c r="K688" i="10"/>
  <c r="K684" i="10"/>
  <c r="K680" i="10"/>
  <c r="K676" i="10"/>
  <c r="K672" i="10"/>
  <c r="K668" i="10"/>
  <c r="K708" i="10"/>
  <c r="K673" i="10"/>
  <c r="K677" i="10"/>
  <c r="K681" i="10"/>
  <c r="K692" i="10"/>
  <c r="K669" i="10"/>
  <c r="L710" i="10"/>
  <c r="M710" i="10" s="1"/>
  <c r="L706" i="10"/>
  <c r="M706" i="10" s="1"/>
  <c r="L702" i="10"/>
  <c r="M702" i="10" s="1"/>
  <c r="L698" i="10"/>
  <c r="L694" i="10"/>
  <c r="M694" i="10" s="1"/>
  <c r="L690" i="10"/>
  <c r="M690" i="10" s="1"/>
  <c r="L686" i="10"/>
  <c r="M686" i="10" s="1"/>
  <c r="L716" i="10"/>
  <c r="L711" i="10"/>
  <c r="M711" i="10" s="1"/>
  <c r="L707" i="10"/>
  <c r="M707" i="10" s="1"/>
  <c r="L703" i="10"/>
  <c r="M703" i="10" s="1"/>
  <c r="L699" i="10"/>
  <c r="L695" i="10"/>
  <c r="M695" i="10" s="1"/>
  <c r="L691" i="10"/>
  <c r="M691" i="10" s="1"/>
  <c r="L687" i="10"/>
  <c r="M687" i="10" s="1"/>
  <c r="L712" i="10"/>
  <c r="L708" i="10"/>
  <c r="M708" i="10" s="1"/>
  <c r="L704" i="10"/>
  <c r="M704" i="10" s="1"/>
  <c r="L700" i="10"/>
  <c r="M700" i="10" s="1"/>
  <c r="L696" i="10"/>
  <c r="M696" i="10" s="1"/>
  <c r="L692" i="10"/>
  <c r="M692" i="10" s="1"/>
  <c r="L688" i="10"/>
  <c r="L709" i="10"/>
  <c r="M709" i="10" s="1"/>
  <c r="L693" i="10"/>
  <c r="M693" i="10" s="1"/>
  <c r="L683" i="10"/>
  <c r="M683" i="10" s="1"/>
  <c r="L679" i="10"/>
  <c r="L675" i="10"/>
  <c r="M675" i="10" s="1"/>
  <c r="L671" i="10"/>
  <c r="M671" i="10" s="1"/>
  <c r="L713" i="10"/>
  <c r="M713" i="10" s="1"/>
  <c r="L697" i="10"/>
  <c r="M697" i="10" s="1"/>
  <c r="L684" i="10"/>
  <c r="M684" i="10" s="1"/>
  <c r="L680" i="10"/>
  <c r="M680" i="10" s="1"/>
  <c r="L676" i="10"/>
  <c r="M676" i="10" s="1"/>
  <c r="L672" i="10"/>
  <c r="L668" i="10"/>
  <c r="L701" i="10"/>
  <c r="L685" i="10"/>
  <c r="M685" i="10" s="1"/>
  <c r="L681" i="10"/>
  <c r="M681" i="10" s="1"/>
  <c r="L677" i="10"/>
  <c r="L673" i="10"/>
  <c r="M673" i="10" s="1"/>
  <c r="L669" i="10"/>
  <c r="M669" i="10" s="1"/>
  <c r="L670" i="10"/>
  <c r="M670" i="10" s="1"/>
  <c r="L689" i="10"/>
  <c r="M689" i="10" s="1"/>
  <c r="L674" i="10"/>
  <c r="L705" i="10"/>
  <c r="M705" i="10" s="1"/>
  <c r="L678" i="10"/>
  <c r="M678" i="10" s="1"/>
  <c r="L682" i="10"/>
  <c r="M682" i="10" s="1"/>
  <c r="M674" i="10" l="1"/>
  <c r="M701" i="10"/>
  <c r="M712" i="10"/>
  <c r="M699" i="10"/>
  <c r="M698" i="10"/>
  <c r="M677" i="10"/>
  <c r="L715" i="10"/>
  <c r="M668" i="10"/>
  <c r="M672" i="10"/>
  <c r="M679" i="10"/>
  <c r="M688" i="10"/>
  <c r="K715" i="10"/>
  <c r="M715" i="10" l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X814" i="10"/>
  <c r="W812" i="10"/>
  <c r="W814" i="10"/>
  <c r="Y812" i="10"/>
  <c r="Y814" i="10" s="1"/>
  <c r="X812" i="10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CE65" i="1"/>
  <c r="C431" i="1" s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/>
  <c r="I75" i="1"/>
  <c r="I26" i="9" s="1"/>
  <c r="H75" i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C473" i="1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W48" i="1"/>
  <c r="W62" i="1" s="1"/>
  <c r="AS48" i="1"/>
  <c r="AS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52" i="1"/>
  <c r="N755" i="1"/>
  <c r="N761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815" i="1" s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L48" i="1"/>
  <c r="L62" i="1" s="1"/>
  <c r="E743" i="1" s="1"/>
  <c r="D48" i="1"/>
  <c r="D62" i="1" s="1"/>
  <c r="D368" i="1"/>
  <c r="D330" i="1"/>
  <c r="C86" i="8" s="1"/>
  <c r="C816" i="1"/>
  <c r="N766" i="1"/>
  <c r="N760" i="1"/>
  <c r="N743" i="1"/>
  <c r="N758" i="1"/>
  <c r="N753" i="1"/>
  <c r="N747" i="1"/>
  <c r="C16" i="8"/>
  <c r="F12" i="6"/>
  <c r="C469" i="1"/>
  <c r="F8" i="6"/>
  <c r="G122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29" i="9"/>
  <c r="C95" i="9"/>
  <c r="CE79" i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G48" i="1"/>
  <c r="G62" i="1" s="1"/>
  <c r="G12" i="9" s="1"/>
  <c r="AU48" i="1"/>
  <c r="AU62" i="1" s="1"/>
  <c r="BS48" i="1"/>
  <c r="BS62" i="1" s="1"/>
  <c r="E802" i="1" s="1"/>
  <c r="AE48" i="1"/>
  <c r="AE62" i="1" s="1"/>
  <c r="O48" i="1"/>
  <c r="O62" i="1" s="1"/>
  <c r="BI48" i="1"/>
  <c r="BI62" i="1" s="1"/>
  <c r="E268" i="9" s="1"/>
  <c r="CD722" i="1"/>
  <c r="CD71" i="1"/>
  <c r="R816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H236" i="9" s="1"/>
  <c r="AW48" i="1"/>
  <c r="AW62" i="1" s="1"/>
  <c r="E780" i="1" s="1"/>
  <c r="AO48" i="1"/>
  <c r="AO62" i="1" s="1"/>
  <c r="AG48" i="1"/>
  <c r="AG62" i="1" s="1"/>
  <c r="E140" i="9" s="1"/>
  <c r="Q48" i="1"/>
  <c r="Q62" i="1" s="1"/>
  <c r="I48" i="1"/>
  <c r="I62" i="1" s="1"/>
  <c r="CC48" i="1"/>
  <c r="CC62" i="1" s="1"/>
  <c r="E81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N765" i="1"/>
  <c r="N757" i="1"/>
  <c r="K816" i="1"/>
  <c r="C615" i="1"/>
  <c r="B440" i="1"/>
  <c r="C48" i="1"/>
  <c r="C62" i="1" s="1"/>
  <c r="E734" i="1" s="1"/>
  <c r="V815" i="1"/>
  <c r="C120" i="8"/>
  <c r="O816" i="1"/>
  <c r="E372" i="9"/>
  <c r="E44" i="9"/>
  <c r="E792" i="1"/>
  <c r="E752" i="1"/>
  <c r="CA48" i="1"/>
  <c r="CA62" i="1" s="1"/>
  <c r="BY48" i="1"/>
  <c r="BY62" i="1" s="1"/>
  <c r="BX48" i="1"/>
  <c r="BX62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E172" i="9" s="1"/>
  <c r="AL48" i="1"/>
  <c r="AL62" i="1" s="1"/>
  <c r="AJ48" i="1"/>
  <c r="AJ62" i="1" s="1"/>
  <c r="E767" i="1" s="1"/>
  <c r="AH48" i="1"/>
  <c r="AH62" i="1" s="1"/>
  <c r="AF48" i="1"/>
  <c r="AF62" i="1" s="1"/>
  <c r="E763" i="1" s="1"/>
  <c r="AD48" i="1"/>
  <c r="AD62" i="1" s="1"/>
  <c r="Z48" i="1"/>
  <c r="Z62" i="1" s="1"/>
  <c r="V48" i="1"/>
  <c r="V62" i="1" s="1"/>
  <c r="R48" i="1"/>
  <c r="R62" i="1" s="1"/>
  <c r="D76" i="9" s="1"/>
  <c r="N48" i="1"/>
  <c r="N62" i="1" s="1"/>
  <c r="J48" i="1"/>
  <c r="J62" i="1" s="1"/>
  <c r="F48" i="1"/>
  <c r="J612" i="1"/>
  <c r="H300" i="9"/>
  <c r="B441" i="1"/>
  <c r="P816" i="1"/>
  <c r="B10" i="4"/>
  <c r="G10" i="4"/>
  <c r="F10" i="4"/>
  <c r="I372" i="9"/>
  <c r="M816" i="1"/>
  <c r="I381" i="9"/>
  <c r="CF77" i="1"/>
  <c r="Q816" i="1"/>
  <c r="G612" i="1"/>
  <c r="E790" i="1"/>
  <c r="F62" i="1"/>
  <c r="E800" i="1" l="1"/>
  <c r="E300" i="9"/>
  <c r="E749" i="1"/>
  <c r="C464" i="1"/>
  <c r="N769" i="1"/>
  <c r="N748" i="1"/>
  <c r="C430" i="1"/>
  <c r="I366" i="9"/>
  <c r="G816" i="1"/>
  <c r="D815" i="1"/>
  <c r="E757" i="1"/>
  <c r="E108" i="9"/>
  <c r="I300" i="9"/>
  <c r="E787" i="1"/>
  <c r="E791" i="1"/>
  <c r="D268" i="9"/>
  <c r="E807" i="1"/>
  <c r="F332" i="9"/>
  <c r="I172" i="9"/>
  <c r="E775" i="1"/>
  <c r="C236" i="9"/>
  <c r="E783" i="1"/>
  <c r="C12" i="9"/>
  <c r="I140" i="9"/>
  <c r="E788" i="1"/>
  <c r="C204" i="9"/>
  <c r="E737" i="1"/>
  <c r="E776" i="1"/>
  <c r="P814" i="10"/>
  <c r="F814" i="10"/>
  <c r="D140" i="9"/>
  <c r="I268" i="9"/>
  <c r="C44" i="9"/>
  <c r="E741" i="1"/>
  <c r="E779" i="1"/>
  <c r="F204" i="9"/>
  <c r="I332" i="9"/>
  <c r="E810" i="1"/>
  <c r="E742" i="1"/>
  <c r="D44" i="9"/>
  <c r="C332" i="9"/>
  <c r="E804" i="1"/>
  <c r="E373" i="9"/>
  <c r="C575" i="1"/>
  <c r="E762" i="1"/>
  <c r="C140" i="9"/>
  <c r="E752" i="10"/>
  <c r="E771" i="1"/>
  <c r="H140" i="9"/>
  <c r="E764" i="1"/>
  <c r="C14" i="5"/>
  <c r="D428" i="1"/>
  <c r="D612" i="1"/>
  <c r="CF76" i="1"/>
  <c r="AH52" i="1" s="1"/>
  <c r="AH67" i="1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E756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H44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AM52" i="1"/>
  <c r="AM67" i="1" s="1"/>
  <c r="BF52" i="1"/>
  <c r="BF67" i="1" s="1"/>
  <c r="BF71" i="1" s="1"/>
  <c r="BQ52" i="1"/>
  <c r="BQ67" i="1" s="1"/>
  <c r="BQ71" i="1" s="1"/>
  <c r="F309" i="9" s="1"/>
  <c r="F52" i="1"/>
  <c r="F67" i="1" s="1"/>
  <c r="F71" i="1" s="1"/>
  <c r="AY52" i="1"/>
  <c r="AY67" i="1" s="1"/>
  <c r="AY71" i="1" s="1"/>
  <c r="BM52" i="1"/>
  <c r="BM67" i="1" s="1"/>
  <c r="BM71" i="1" s="1"/>
  <c r="C638" i="1" s="1"/>
  <c r="AW52" i="1"/>
  <c r="AW67" i="1" s="1"/>
  <c r="AW71" i="1" s="1"/>
  <c r="G213" i="9" s="1"/>
  <c r="T52" i="1"/>
  <c r="T67" i="1" s="1"/>
  <c r="BN52" i="1"/>
  <c r="BN67" i="1" s="1"/>
  <c r="BN71" i="1" s="1"/>
  <c r="M52" i="1"/>
  <c r="M67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C614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H172" i="9" l="1"/>
  <c r="E811" i="1"/>
  <c r="E744" i="1"/>
  <c r="F21" i="9"/>
  <c r="C671" i="1"/>
  <c r="AB52" i="1"/>
  <c r="AB67" i="1" s="1"/>
  <c r="G113" i="9" s="1"/>
  <c r="BY52" i="1"/>
  <c r="BY67" i="1" s="1"/>
  <c r="BY71" i="1" s="1"/>
  <c r="G341" i="9" s="1"/>
  <c r="P52" i="1"/>
  <c r="P67" i="1" s="1"/>
  <c r="V52" i="1"/>
  <c r="V67" i="1" s="1"/>
  <c r="J753" i="1" s="1"/>
  <c r="AF52" i="1"/>
  <c r="AF67" i="1" s="1"/>
  <c r="AF71" i="1" s="1"/>
  <c r="CB52" i="1"/>
  <c r="CB67" i="1" s="1"/>
  <c r="C369" i="9" s="1"/>
  <c r="BD52" i="1"/>
  <c r="BD67" i="1" s="1"/>
  <c r="BD71" i="1" s="1"/>
  <c r="AJ52" i="1"/>
  <c r="AJ67" i="1" s="1"/>
  <c r="AJ71" i="1" s="1"/>
  <c r="F145" i="9"/>
  <c r="AH71" i="1"/>
  <c r="C527" i="1" s="1"/>
  <c r="G527" i="1" s="1"/>
  <c r="I149" i="9"/>
  <c r="BP52" i="1"/>
  <c r="BP67" i="1" s="1"/>
  <c r="AN52" i="1"/>
  <c r="AN67" i="1" s="1"/>
  <c r="C558" i="1"/>
  <c r="D615" i="1"/>
  <c r="D671" i="1" s="1"/>
  <c r="C499" i="1"/>
  <c r="G499" i="1" s="1"/>
  <c r="C550" i="1"/>
  <c r="G550" i="1" s="1"/>
  <c r="AG52" i="1"/>
  <c r="AG67" i="1" s="1"/>
  <c r="BO52" i="1"/>
  <c r="BO67" i="1" s="1"/>
  <c r="BO71" i="1" s="1"/>
  <c r="D309" i="9" s="1"/>
  <c r="C702" i="1"/>
  <c r="M71" i="1"/>
  <c r="AB71" i="1"/>
  <c r="C521" i="1" s="1"/>
  <c r="G521" i="1" s="1"/>
  <c r="H245" i="9"/>
  <c r="BX52" i="1"/>
  <c r="BX67" i="1" s="1"/>
  <c r="BX71" i="1" s="1"/>
  <c r="C644" i="1" s="1"/>
  <c r="BT52" i="1"/>
  <c r="BT67" i="1" s="1"/>
  <c r="C562" i="1"/>
  <c r="H52" i="1"/>
  <c r="H67" i="1" s="1"/>
  <c r="J739" i="1" s="1"/>
  <c r="C623" i="1"/>
  <c r="C631" i="1"/>
  <c r="V71" i="1"/>
  <c r="C687" i="1" s="1"/>
  <c r="J52" i="1"/>
  <c r="J67" i="1" s="1"/>
  <c r="C542" i="1"/>
  <c r="CE48" i="1"/>
  <c r="CE62" i="1"/>
  <c r="D108" i="9"/>
  <c r="I277" i="9"/>
  <c r="F76" i="9"/>
  <c r="E751" i="1"/>
  <c r="T71" i="1"/>
  <c r="C549" i="1"/>
  <c r="G245" i="9"/>
  <c r="C624" i="1"/>
  <c r="I49" i="9"/>
  <c r="J747" i="1"/>
  <c r="J798" i="1"/>
  <c r="H17" i="9"/>
  <c r="J765" i="1"/>
  <c r="J806" i="10"/>
  <c r="J776" i="10"/>
  <c r="J755" i="10"/>
  <c r="N815" i="1"/>
  <c r="J759" i="1"/>
  <c r="F511" i="1"/>
  <c r="H511" i="1"/>
  <c r="H501" i="1"/>
  <c r="F501" i="1"/>
  <c r="F497" i="1"/>
  <c r="H497" i="1"/>
  <c r="E750" i="1"/>
  <c r="E76" i="9"/>
  <c r="AM71" i="1"/>
  <c r="D172" i="9"/>
  <c r="E770" i="1"/>
  <c r="H332" i="9"/>
  <c r="E809" i="1"/>
  <c r="D145" i="9"/>
  <c r="J763" i="1"/>
  <c r="BC52" i="1"/>
  <c r="BC67" i="1" s="1"/>
  <c r="AP52" i="1"/>
  <c r="AP67" i="1" s="1"/>
  <c r="AP71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E117" i="9" s="1"/>
  <c r="BB52" i="1"/>
  <c r="BB67" i="1" s="1"/>
  <c r="BB71" i="1" s="1"/>
  <c r="L52" i="1"/>
  <c r="L67" i="1" s="1"/>
  <c r="L71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C52" i="1"/>
  <c r="CC67" i="1" s="1"/>
  <c r="CC71" i="1" s="1"/>
  <c r="AC52" i="1"/>
  <c r="AC67" i="1" s="1"/>
  <c r="BS52" i="1"/>
  <c r="BS67" i="1" s="1"/>
  <c r="BS71" i="1" s="1"/>
  <c r="AO52" i="1"/>
  <c r="AO67" i="1" s="1"/>
  <c r="AO71" i="1" s="1"/>
  <c r="AI52" i="1"/>
  <c r="AI67" i="1" s="1"/>
  <c r="AI71" i="1" s="1"/>
  <c r="W52" i="1"/>
  <c r="W67" i="1" s="1"/>
  <c r="W71" i="1" s="1"/>
  <c r="I85" i="9" s="1"/>
  <c r="AS52" i="1"/>
  <c r="AS67" i="1" s="1"/>
  <c r="AS71" i="1" s="1"/>
  <c r="AQ52" i="1"/>
  <c r="AQ67" i="1" s="1"/>
  <c r="AQ71" i="1" s="1"/>
  <c r="AR52" i="1"/>
  <c r="AR67" i="1" s="1"/>
  <c r="AR71" i="1" s="1"/>
  <c r="C537" i="1" s="1"/>
  <c r="G537" i="1" s="1"/>
  <c r="AZ52" i="1"/>
  <c r="AZ67" i="1" s="1"/>
  <c r="AZ71" i="1" s="1"/>
  <c r="C628" i="1" s="1"/>
  <c r="N52" i="1"/>
  <c r="N67" i="1" s="1"/>
  <c r="N71" i="1" s="1"/>
  <c r="C679" i="1" s="1"/>
  <c r="CA52" i="1"/>
  <c r="CA67" i="1" s="1"/>
  <c r="CA71" i="1" s="1"/>
  <c r="C647" i="1" s="1"/>
  <c r="BU52" i="1"/>
  <c r="BU67" i="1" s="1"/>
  <c r="BU71" i="1" s="1"/>
  <c r="AD52" i="1"/>
  <c r="AD67" i="1" s="1"/>
  <c r="AD71" i="1" s="1"/>
  <c r="C523" i="1" s="1"/>
  <c r="G523" i="1" s="1"/>
  <c r="AT52" i="1"/>
  <c r="AT67" i="1" s="1"/>
  <c r="AT71" i="1" s="1"/>
  <c r="D213" i="9" s="1"/>
  <c r="E760" i="1"/>
  <c r="F236" i="9"/>
  <c r="E786" i="1"/>
  <c r="BC71" i="1"/>
  <c r="I44" i="9"/>
  <c r="E747" i="1"/>
  <c r="P71" i="1"/>
  <c r="G268" i="9"/>
  <c r="E794" i="1"/>
  <c r="H145" i="9"/>
  <c r="J767" i="1"/>
  <c r="J807" i="1"/>
  <c r="F337" i="9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BW52" i="1"/>
  <c r="BW67" i="1" s="1"/>
  <c r="BW71" i="1" s="1"/>
  <c r="C643" i="1" s="1"/>
  <c r="BI52" i="1"/>
  <c r="BI67" i="1" s="1"/>
  <c r="BI71" i="1" s="1"/>
  <c r="K52" i="1"/>
  <c r="K67" i="1" s="1"/>
  <c r="K71" i="1" s="1"/>
  <c r="H149" i="9"/>
  <c r="C701" i="1"/>
  <c r="C529" i="1"/>
  <c r="G529" i="1" s="1"/>
  <c r="D465" i="1"/>
  <c r="AC71" i="1"/>
  <c r="E177" i="9"/>
  <c r="H81" i="9"/>
  <c r="F505" i="1"/>
  <c r="H505" i="1"/>
  <c r="F499" i="1"/>
  <c r="H499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I52" i="1"/>
  <c r="I67" i="1" s="1"/>
  <c r="I71" i="1" s="1"/>
  <c r="C502" i="1" s="1"/>
  <c r="G502" i="1" s="1"/>
  <c r="BJ52" i="1"/>
  <c r="BJ67" i="1" s="1"/>
  <c r="BJ71" i="1" s="1"/>
  <c r="BZ52" i="1"/>
  <c r="BZ67" i="1" s="1"/>
  <c r="BZ71" i="1" s="1"/>
  <c r="C52" i="1"/>
  <c r="AE52" i="1"/>
  <c r="AE67" i="1" s="1"/>
  <c r="AE71" i="1" s="1"/>
  <c r="BL52" i="1"/>
  <c r="BL67" i="1" s="1"/>
  <c r="BL71" i="1" s="1"/>
  <c r="C697" i="1"/>
  <c r="D149" i="9"/>
  <c r="C525" i="1"/>
  <c r="G525" i="1" s="1"/>
  <c r="E758" i="10"/>
  <c r="E774" i="10"/>
  <c r="E798" i="10"/>
  <c r="J738" i="1"/>
  <c r="G17" i="9"/>
  <c r="I273" i="9"/>
  <c r="J796" i="1"/>
  <c r="D710" i="1"/>
  <c r="D644" i="1"/>
  <c r="D632" i="1"/>
  <c r="D668" i="1"/>
  <c r="D645" i="1"/>
  <c r="D617" i="1"/>
  <c r="D622" i="1"/>
  <c r="D669" i="1"/>
  <c r="D680" i="1"/>
  <c r="D704" i="1"/>
  <c r="D697" i="1"/>
  <c r="D638" i="1"/>
  <c r="D633" i="1"/>
  <c r="D700" i="1"/>
  <c r="D716" i="1"/>
  <c r="D691" i="1"/>
  <c r="D643" i="1"/>
  <c r="D639" i="1"/>
  <c r="D685" i="1"/>
  <c r="D703" i="1"/>
  <c r="D646" i="1"/>
  <c r="D623" i="1"/>
  <c r="D709" i="1"/>
  <c r="D673" i="1"/>
  <c r="D619" i="1"/>
  <c r="D628" i="1"/>
  <c r="D690" i="1"/>
  <c r="D670" i="1"/>
  <c r="D708" i="1"/>
  <c r="D686" i="1"/>
  <c r="D636" i="1"/>
  <c r="D677" i="1"/>
  <c r="D695" i="1"/>
  <c r="D705" i="1"/>
  <c r="D707" i="1"/>
  <c r="D627" i="1"/>
  <c r="D688" i="1"/>
  <c r="D699" i="1"/>
  <c r="D702" i="1"/>
  <c r="D640" i="1"/>
  <c r="D683" i="1"/>
  <c r="D711" i="1"/>
  <c r="D637" i="1"/>
  <c r="D621" i="1"/>
  <c r="D679" i="1"/>
  <c r="D675" i="1"/>
  <c r="D713" i="1"/>
  <c r="D689" i="1"/>
  <c r="D624" i="1"/>
  <c r="D631" i="1"/>
  <c r="D694" i="1"/>
  <c r="D712" i="1"/>
  <c r="D693" i="1"/>
  <c r="D630" i="1"/>
  <c r="D698" i="1"/>
  <c r="D701" i="1"/>
  <c r="D625" i="1"/>
  <c r="D706" i="1"/>
  <c r="D647" i="1"/>
  <c r="D678" i="1"/>
  <c r="D618" i="1"/>
  <c r="D682" i="1"/>
  <c r="D616" i="1"/>
  <c r="D696" i="1"/>
  <c r="D681" i="1"/>
  <c r="D676" i="1"/>
  <c r="D635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H520" i="1"/>
  <c r="Z815" i="10"/>
  <c r="D341" i="1"/>
  <c r="C481" i="1" s="1"/>
  <c r="C50" i="8"/>
  <c r="C62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C522" i="1"/>
  <c r="G522" i="1" s="1"/>
  <c r="C694" i="1"/>
  <c r="H117" i="9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G149" i="9"/>
  <c r="C528" i="1"/>
  <c r="G528" i="1" s="1"/>
  <c r="C700" i="1"/>
  <c r="C520" i="1"/>
  <c r="G520" i="1" s="1"/>
  <c r="C692" i="1"/>
  <c r="F117" i="9"/>
  <c r="C616" i="1"/>
  <c r="C543" i="1"/>
  <c r="H213" i="9"/>
  <c r="C619" i="1"/>
  <c r="C559" i="1"/>
  <c r="C309" i="9"/>
  <c r="E766" i="10"/>
  <c r="E790" i="10"/>
  <c r="C126" i="8"/>
  <c r="D391" i="1"/>
  <c r="F32" i="6"/>
  <c r="C478" i="1"/>
  <c r="C305" i="9"/>
  <c r="J797" i="1"/>
  <c r="C536" i="1"/>
  <c r="G536" i="1" s="1"/>
  <c r="H181" i="9"/>
  <c r="C708" i="1"/>
  <c r="J748" i="10"/>
  <c r="J763" i="10"/>
  <c r="J795" i="10"/>
  <c r="C102" i="8"/>
  <c r="C482" i="1"/>
  <c r="E760" i="10"/>
  <c r="E770" i="10"/>
  <c r="E786" i="10"/>
  <c r="E802" i="10"/>
  <c r="E810" i="10"/>
  <c r="H498" i="1"/>
  <c r="F498" i="1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C645" i="1"/>
  <c r="C711" i="1"/>
  <c r="E782" i="10"/>
  <c r="E806" i="10"/>
  <c r="F516" i="1"/>
  <c r="H516" i="1"/>
  <c r="J735" i="1"/>
  <c r="D17" i="9"/>
  <c r="J800" i="1"/>
  <c r="F305" i="9"/>
  <c r="J771" i="10"/>
  <c r="C181" i="9"/>
  <c r="C703" i="1"/>
  <c r="C531" i="1"/>
  <c r="G531" i="1" s="1"/>
  <c r="C535" i="1"/>
  <c r="G535" i="1" s="1"/>
  <c r="C707" i="1"/>
  <c r="G181" i="9"/>
  <c r="C699" i="1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F524" i="1"/>
  <c r="F550" i="1"/>
  <c r="H550" i="1"/>
  <c r="E815" i="10"/>
  <c r="G305" i="9"/>
  <c r="J801" i="1"/>
  <c r="F113" i="9"/>
  <c r="J758" i="1"/>
  <c r="F49" i="9"/>
  <c r="J744" i="1"/>
  <c r="F17" i="9"/>
  <c r="J737" i="1"/>
  <c r="J787" i="1"/>
  <c r="G241" i="9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68" i="1"/>
  <c r="E341" i="9"/>
  <c r="C506" i="1"/>
  <c r="G506" i="1" s="1"/>
  <c r="F53" i="9"/>
  <c r="C678" i="1"/>
  <c r="C555" i="1"/>
  <c r="C617" i="1"/>
  <c r="F277" i="9"/>
  <c r="C560" i="1" l="1"/>
  <c r="C507" i="1"/>
  <c r="G507" i="1" s="1"/>
  <c r="G53" i="9"/>
  <c r="F149" i="9"/>
  <c r="C627" i="1"/>
  <c r="C570" i="1"/>
  <c r="E815" i="1"/>
  <c r="C245" i="9"/>
  <c r="C693" i="1"/>
  <c r="H85" i="9"/>
  <c r="G117" i="9"/>
  <c r="CB71" i="1"/>
  <c r="C695" i="1"/>
  <c r="J811" i="1"/>
  <c r="C515" i="1"/>
  <c r="G515" i="1" s="1"/>
  <c r="I117" i="9"/>
  <c r="C688" i="1"/>
  <c r="D620" i="1"/>
  <c r="D629" i="1"/>
  <c r="D674" i="1"/>
  <c r="D642" i="1"/>
  <c r="D684" i="1"/>
  <c r="D692" i="1"/>
  <c r="D687" i="1"/>
  <c r="D641" i="1"/>
  <c r="D626" i="1"/>
  <c r="D672" i="1"/>
  <c r="D634" i="1"/>
  <c r="C670" i="1"/>
  <c r="E21" i="9"/>
  <c r="F213" i="9"/>
  <c r="C539" i="1"/>
  <c r="G539" i="1" s="1"/>
  <c r="C713" i="1"/>
  <c r="C545" i="1"/>
  <c r="G545" i="1" s="1"/>
  <c r="F341" i="9"/>
  <c r="C518" i="1"/>
  <c r="G518" i="1" s="1"/>
  <c r="D117" i="9"/>
  <c r="C690" i="1"/>
  <c r="C637" i="1"/>
  <c r="H277" i="9"/>
  <c r="C557" i="1"/>
  <c r="I341" i="9"/>
  <c r="C519" i="1"/>
  <c r="G519" i="1" s="1"/>
  <c r="C524" i="1"/>
  <c r="C696" i="1"/>
  <c r="C149" i="9"/>
  <c r="C510" i="1"/>
  <c r="G510" i="1" s="1"/>
  <c r="C682" i="1"/>
  <c r="C85" i="9"/>
  <c r="C710" i="1"/>
  <c r="C213" i="9"/>
  <c r="C538" i="1"/>
  <c r="G538" i="1" s="1"/>
  <c r="G85" i="9"/>
  <c r="C686" i="1"/>
  <c r="C514" i="1"/>
  <c r="G514" i="1" s="1"/>
  <c r="C572" i="1"/>
  <c r="C709" i="1"/>
  <c r="C691" i="1"/>
  <c r="J771" i="1"/>
  <c r="AN71" i="1"/>
  <c r="I21" i="9"/>
  <c r="C277" i="9"/>
  <c r="C618" i="1"/>
  <c r="C552" i="1"/>
  <c r="C546" i="1"/>
  <c r="G546" i="1" s="1"/>
  <c r="D245" i="9"/>
  <c r="C630" i="1"/>
  <c r="C540" i="1"/>
  <c r="G540" i="1" s="1"/>
  <c r="C712" i="1"/>
  <c r="E213" i="9"/>
  <c r="I181" i="9"/>
  <c r="J799" i="1"/>
  <c r="BP71" i="1"/>
  <c r="E305" i="9"/>
  <c r="C674" i="1"/>
  <c r="C641" i="1"/>
  <c r="C566" i="1"/>
  <c r="C341" i="9"/>
  <c r="C677" i="1"/>
  <c r="E53" i="9"/>
  <c r="C505" i="1"/>
  <c r="G505" i="1" s="1"/>
  <c r="H71" i="1"/>
  <c r="C676" i="1"/>
  <c r="D53" i="9"/>
  <c r="C504" i="1"/>
  <c r="G504" i="1" s="1"/>
  <c r="F181" i="9"/>
  <c r="C534" i="1"/>
  <c r="G534" i="1" s="1"/>
  <c r="C706" i="1"/>
  <c r="J803" i="1"/>
  <c r="I305" i="9"/>
  <c r="BT71" i="1"/>
  <c r="J764" i="1"/>
  <c r="AG71" i="1"/>
  <c r="E145" i="9"/>
  <c r="C554" i="1"/>
  <c r="C634" i="1"/>
  <c r="E277" i="9"/>
  <c r="C639" i="1"/>
  <c r="H309" i="9"/>
  <c r="C564" i="1"/>
  <c r="C636" i="1"/>
  <c r="C553" i="1"/>
  <c r="D277" i="9"/>
  <c r="C511" i="1"/>
  <c r="G511" i="1" s="1"/>
  <c r="C683" i="1"/>
  <c r="D85" i="9"/>
  <c r="C49" i="9"/>
  <c r="J71" i="1"/>
  <c r="J741" i="1"/>
  <c r="C689" i="1"/>
  <c r="C117" i="9"/>
  <c r="C517" i="1"/>
  <c r="G517" i="1" s="1"/>
  <c r="D305" i="9"/>
  <c r="C569" i="1"/>
  <c r="I364" i="9"/>
  <c r="C428" i="1"/>
  <c r="E816" i="1"/>
  <c r="H544" i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C704" i="1"/>
  <c r="D181" i="9"/>
  <c r="F515" i="1"/>
  <c r="H515" i="1"/>
  <c r="F522" i="1"/>
  <c r="H522" i="1"/>
  <c r="F510" i="1"/>
  <c r="H510" i="1"/>
  <c r="F513" i="1"/>
  <c r="H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H503" i="1"/>
  <c r="H508" i="1"/>
  <c r="F508" i="1"/>
  <c r="F514" i="1"/>
  <c r="H507" i="1"/>
  <c r="F507" i="1"/>
  <c r="H518" i="1"/>
  <c r="F518" i="1"/>
  <c r="F546" i="1"/>
  <c r="F506" i="1"/>
  <c r="H506" i="1"/>
  <c r="H500" i="1"/>
  <c r="F500" i="1"/>
  <c r="F509" i="1"/>
  <c r="H509" i="1"/>
  <c r="H514" i="1" l="1"/>
  <c r="C373" i="9"/>
  <c r="C573" i="1"/>
  <c r="C622" i="1"/>
  <c r="D715" i="1"/>
  <c r="H546" i="1"/>
  <c r="C561" i="1"/>
  <c r="C621" i="1"/>
  <c r="E623" i="1" s="1"/>
  <c r="E716" i="1" s="1"/>
  <c r="E309" i="9"/>
  <c r="C496" i="1"/>
  <c r="G496" i="1" s="1"/>
  <c r="C668" i="1"/>
  <c r="C21" i="9"/>
  <c r="C698" i="1"/>
  <c r="C526" i="1"/>
  <c r="G526" i="1" s="1"/>
  <c r="E149" i="9"/>
  <c r="C675" i="1"/>
  <c r="C53" i="9"/>
  <c r="C503" i="1"/>
  <c r="G503" i="1" s="1"/>
  <c r="C565" i="1"/>
  <c r="I309" i="9"/>
  <c r="C640" i="1"/>
  <c r="C705" i="1"/>
  <c r="E181" i="9"/>
  <c r="C533" i="1"/>
  <c r="G533" i="1" s="1"/>
  <c r="G524" i="1"/>
  <c r="H524" i="1"/>
  <c r="H21" i="9"/>
  <c r="C673" i="1"/>
  <c r="C501" i="1"/>
  <c r="G501" i="1" s="1"/>
  <c r="G532" i="1"/>
  <c r="H532" i="1"/>
  <c r="J734" i="1"/>
  <c r="J815" i="1" s="1"/>
  <c r="CE67" i="1"/>
  <c r="CE71" i="1" s="1"/>
  <c r="C716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648" i="1" l="1"/>
  <c r="M716" i="1" s="1"/>
  <c r="Y816" i="1" s="1"/>
  <c r="E612" i="1"/>
  <c r="E707" i="1" s="1"/>
  <c r="C715" i="1"/>
  <c r="I373" i="9"/>
  <c r="C433" i="1"/>
  <c r="C441" i="1" s="1"/>
  <c r="J816" i="1"/>
  <c r="I369" i="9"/>
  <c r="J815" i="10"/>
  <c r="E669" i="1" l="1"/>
  <c r="E629" i="1"/>
  <c r="E634" i="1"/>
  <c r="E625" i="1"/>
  <c r="E672" i="1"/>
  <c r="E680" i="1"/>
  <c r="E645" i="1"/>
  <c r="E694" i="1"/>
  <c r="E683" i="1"/>
  <c r="E639" i="1"/>
  <c r="E647" i="1"/>
  <c r="E713" i="1"/>
  <c r="E638" i="1"/>
  <c r="E628" i="1"/>
  <c r="E677" i="1"/>
  <c r="E681" i="1"/>
  <c r="E687" i="1"/>
  <c r="E631" i="1"/>
  <c r="E646" i="1"/>
  <c r="E690" i="1"/>
  <c r="E671" i="1"/>
  <c r="E682" i="1"/>
  <c r="E705" i="1"/>
  <c r="E686" i="1"/>
  <c r="E696" i="1"/>
  <c r="E688" i="1"/>
  <c r="E641" i="1"/>
  <c r="E642" i="1"/>
  <c r="E706" i="1"/>
  <c r="E684" i="1"/>
  <c r="E685" i="1"/>
  <c r="E698" i="1"/>
  <c r="E673" i="1"/>
  <c r="E709" i="1"/>
  <c r="E636" i="1"/>
  <c r="E691" i="1"/>
  <c r="E637" i="1"/>
  <c r="E679" i="1"/>
  <c r="E626" i="1"/>
  <c r="E675" i="1"/>
  <c r="E689" i="1"/>
  <c r="E624" i="1"/>
  <c r="F624" i="1" s="1"/>
  <c r="E678" i="1"/>
  <c r="E697" i="1"/>
  <c r="E704" i="1"/>
  <c r="E699" i="1"/>
  <c r="E712" i="1"/>
  <c r="E693" i="1"/>
  <c r="E676" i="1"/>
  <c r="E644" i="1"/>
  <c r="E632" i="1"/>
  <c r="E700" i="1"/>
  <c r="E711" i="1"/>
  <c r="E630" i="1"/>
  <c r="E710" i="1"/>
  <c r="E692" i="1"/>
  <c r="E674" i="1"/>
  <c r="E627" i="1"/>
  <c r="E703" i="1"/>
  <c r="E695" i="1"/>
  <c r="E702" i="1"/>
  <c r="E633" i="1"/>
  <c r="E635" i="1"/>
  <c r="E640" i="1"/>
  <c r="E701" i="1"/>
  <c r="E708" i="1"/>
  <c r="E670" i="1"/>
  <c r="E668" i="1"/>
  <c r="E643" i="1"/>
  <c r="E715" i="1" l="1"/>
  <c r="F707" i="1"/>
  <c r="F688" i="1"/>
  <c r="F679" i="1"/>
  <c r="F630" i="1"/>
  <c r="F712" i="1"/>
  <c r="F633" i="1"/>
  <c r="F690" i="1"/>
  <c r="F647" i="1"/>
  <c r="F669" i="1"/>
  <c r="F643" i="1"/>
  <c r="F632" i="1"/>
  <c r="F693" i="1"/>
  <c r="F642" i="1"/>
  <c r="F672" i="1"/>
  <c r="F644" i="1"/>
  <c r="F694" i="1"/>
  <c r="F639" i="1"/>
  <c r="F673" i="1"/>
  <c r="F685" i="1"/>
  <c r="F689" i="1"/>
  <c r="F711" i="1"/>
  <c r="F676" i="1"/>
  <c r="F627" i="1"/>
  <c r="F674" i="1"/>
  <c r="F709" i="1"/>
  <c r="F625" i="1"/>
  <c r="F681" i="1"/>
  <c r="F703" i="1"/>
  <c r="F631" i="1"/>
  <c r="F696" i="1"/>
  <c r="F646" i="1"/>
  <c r="F695" i="1"/>
  <c r="F691" i="1"/>
  <c r="F638" i="1"/>
  <c r="F670" i="1"/>
  <c r="F697" i="1"/>
  <c r="F628" i="1"/>
  <c r="F671" i="1"/>
  <c r="F708" i="1"/>
  <c r="F682" i="1"/>
  <c r="F692" i="1"/>
  <c r="F701" i="1"/>
  <c r="F686" i="1"/>
  <c r="F698" i="1"/>
  <c r="F702" i="1"/>
  <c r="F699" i="1"/>
  <c r="F683" i="1"/>
  <c r="F641" i="1"/>
  <c r="F629" i="1"/>
  <c r="F626" i="1"/>
  <c r="F637" i="1"/>
  <c r="F678" i="1"/>
  <c r="F677" i="1"/>
  <c r="F635" i="1"/>
  <c r="F705" i="1"/>
  <c r="F716" i="1"/>
  <c r="F675" i="1"/>
  <c r="F713" i="1"/>
  <c r="F634" i="1"/>
  <c r="F704" i="1"/>
  <c r="F700" i="1"/>
  <c r="F680" i="1"/>
  <c r="F687" i="1"/>
  <c r="F640" i="1"/>
  <c r="F645" i="1"/>
  <c r="F706" i="1"/>
  <c r="F636" i="1"/>
  <c r="F710" i="1"/>
  <c r="F684" i="1"/>
  <c r="F668" i="1"/>
  <c r="F715" i="1" l="1"/>
  <c r="G625" i="1"/>
  <c r="G668" i="1" l="1"/>
  <c r="G675" i="1"/>
  <c r="G704" i="1"/>
  <c r="G635" i="1"/>
  <c r="G713" i="1"/>
  <c r="G643" i="1"/>
  <c r="G641" i="1"/>
  <c r="G708" i="1"/>
  <c r="G644" i="1"/>
  <c r="G638" i="1"/>
  <c r="G702" i="1"/>
  <c r="G669" i="1"/>
  <c r="G645" i="1"/>
  <c r="G640" i="1"/>
  <c r="G626" i="1"/>
  <c r="G715" i="1" s="1"/>
  <c r="G689" i="1"/>
  <c r="G628" i="1"/>
  <c r="G674" i="1"/>
  <c r="M674" i="1" s="1"/>
  <c r="G696" i="1"/>
  <c r="G632" i="1"/>
  <c r="G705" i="1"/>
  <c r="G686" i="1"/>
  <c r="G671" i="1"/>
  <c r="G629" i="1"/>
  <c r="I629" i="1" s="1"/>
  <c r="G681" i="1"/>
  <c r="G712" i="1"/>
  <c r="G642" i="1"/>
  <c r="G693" i="1"/>
  <c r="G630" i="1"/>
  <c r="G691" i="1"/>
  <c r="G673" i="1"/>
  <c r="G692" i="1"/>
  <c r="G677" i="1"/>
  <c r="G683" i="1"/>
  <c r="G647" i="1"/>
  <c r="G684" i="1"/>
  <c r="G637" i="1"/>
  <c r="G678" i="1"/>
  <c r="G685" i="1"/>
  <c r="G716" i="1"/>
  <c r="G633" i="1"/>
  <c r="G697" i="1"/>
  <c r="G699" i="1"/>
  <c r="G688" i="1"/>
  <c r="G711" i="1"/>
  <c r="G690" i="1"/>
  <c r="G695" i="1"/>
  <c r="G710" i="1"/>
  <c r="G646" i="1"/>
  <c r="G636" i="1"/>
  <c r="G634" i="1"/>
  <c r="G706" i="1"/>
  <c r="G707" i="1"/>
  <c r="G676" i="1"/>
  <c r="G709" i="1"/>
  <c r="G639" i="1"/>
  <c r="G687" i="1"/>
  <c r="G700" i="1"/>
  <c r="G682" i="1"/>
  <c r="G694" i="1"/>
  <c r="G672" i="1"/>
  <c r="G679" i="1"/>
  <c r="G680" i="1"/>
  <c r="G670" i="1"/>
  <c r="G698" i="1"/>
  <c r="G631" i="1"/>
  <c r="K644" i="1" s="1"/>
  <c r="G703" i="1"/>
  <c r="G701" i="1"/>
  <c r="M701" i="1" s="1"/>
  <c r="G627" i="1"/>
  <c r="I669" i="1" l="1"/>
  <c r="I705" i="1"/>
  <c r="I674" i="1"/>
  <c r="I689" i="1"/>
  <c r="I641" i="1"/>
  <c r="I694" i="1"/>
  <c r="I702" i="1"/>
  <c r="I673" i="1"/>
  <c r="I700" i="1"/>
  <c r="I699" i="1"/>
  <c r="I691" i="1"/>
  <c r="I688" i="1"/>
  <c r="I698" i="1"/>
  <c r="I701" i="1"/>
  <c r="I679" i="1"/>
  <c r="I632" i="1"/>
  <c r="I635" i="1"/>
  <c r="I696" i="1"/>
  <c r="I644" i="1"/>
  <c r="I680" i="1"/>
  <c r="I695" i="1"/>
  <c r="I713" i="1"/>
  <c r="I643" i="1"/>
  <c r="I678" i="1"/>
  <c r="I633" i="1"/>
  <c r="I645" i="1"/>
  <c r="I670" i="1"/>
  <c r="I642" i="1"/>
  <c r="I681" i="1"/>
  <c r="I684" i="1"/>
  <c r="I711" i="1"/>
  <c r="I693" i="1"/>
  <c r="I634" i="1"/>
  <c r="I636" i="1"/>
  <c r="I716" i="1"/>
  <c r="I677" i="1"/>
  <c r="I683" i="1"/>
  <c r="I697" i="1"/>
  <c r="I704" i="1"/>
  <c r="I712" i="1"/>
  <c r="I708" i="1"/>
  <c r="I646" i="1"/>
  <c r="I685" i="1"/>
  <c r="I675" i="1"/>
  <c r="I690" i="1"/>
  <c r="I686" i="1"/>
  <c r="I639" i="1"/>
  <c r="I631" i="1"/>
  <c r="I638" i="1"/>
  <c r="I668" i="1"/>
  <c r="I703" i="1"/>
  <c r="I682" i="1"/>
  <c r="I687" i="1"/>
  <c r="I710" i="1"/>
  <c r="I671" i="1"/>
  <c r="I706" i="1"/>
  <c r="I707" i="1"/>
  <c r="I637" i="1"/>
  <c r="I692" i="1"/>
  <c r="I647" i="1"/>
  <c r="I676" i="1"/>
  <c r="I672" i="1"/>
  <c r="I640" i="1"/>
  <c r="I709" i="1"/>
  <c r="I630" i="1"/>
  <c r="H151" i="9"/>
  <c r="Y767" i="1"/>
  <c r="K716" i="1"/>
  <c r="K687" i="1"/>
  <c r="K676" i="1"/>
  <c r="K689" i="1"/>
  <c r="K696" i="1"/>
  <c r="K677" i="1"/>
  <c r="K698" i="1"/>
  <c r="K670" i="1"/>
  <c r="K679" i="1"/>
  <c r="K703" i="1"/>
  <c r="K713" i="1"/>
  <c r="K708" i="1"/>
  <c r="K681" i="1"/>
  <c r="K688" i="1"/>
  <c r="K704" i="1"/>
  <c r="K684" i="1"/>
  <c r="K675" i="1"/>
  <c r="K669" i="1"/>
  <c r="K682" i="1"/>
  <c r="K668" i="1"/>
  <c r="K715" i="1" s="1"/>
  <c r="K705" i="1"/>
  <c r="K710" i="1"/>
  <c r="K697" i="1"/>
  <c r="K683" i="1"/>
  <c r="K695" i="1"/>
  <c r="K685" i="1"/>
  <c r="K701" i="1"/>
  <c r="K706" i="1"/>
  <c r="K673" i="1"/>
  <c r="K709" i="1"/>
  <c r="K671" i="1"/>
  <c r="K672" i="1"/>
  <c r="K711" i="1"/>
  <c r="K700" i="1"/>
  <c r="K699" i="1"/>
  <c r="K694" i="1"/>
  <c r="K686" i="1"/>
  <c r="K702" i="1"/>
  <c r="K712" i="1"/>
  <c r="K691" i="1"/>
  <c r="K692" i="1"/>
  <c r="K693" i="1"/>
  <c r="K680" i="1"/>
  <c r="K690" i="1"/>
  <c r="K707" i="1"/>
  <c r="K674" i="1"/>
  <c r="K678" i="1"/>
  <c r="Y740" i="1"/>
  <c r="I23" i="9"/>
  <c r="H628" i="1"/>
  <c r="H643" i="1" l="1"/>
  <c r="H668" i="1"/>
  <c r="H634" i="1"/>
  <c r="H687" i="1"/>
  <c r="H684" i="1"/>
  <c r="H631" i="1"/>
  <c r="H677" i="1"/>
  <c r="H638" i="1"/>
  <c r="H699" i="1"/>
  <c r="H646" i="1"/>
  <c r="H669" i="1"/>
  <c r="H689" i="1"/>
  <c r="H674" i="1"/>
  <c r="H705" i="1"/>
  <c r="H681" i="1"/>
  <c r="H713" i="1"/>
  <c r="H703" i="1"/>
  <c r="H701" i="1"/>
  <c r="H639" i="1"/>
  <c r="H630" i="1"/>
  <c r="H706" i="1"/>
  <c r="H710" i="1"/>
  <c r="H690" i="1"/>
  <c r="H708" i="1"/>
  <c r="H683" i="1"/>
  <c r="H641" i="1"/>
  <c r="H670" i="1"/>
  <c r="H711" i="1"/>
  <c r="H712" i="1"/>
  <c r="H688" i="1"/>
  <c r="H691" i="1"/>
  <c r="H637" i="1"/>
  <c r="H693" i="1"/>
  <c r="H633" i="1"/>
  <c r="H629" i="1"/>
  <c r="H679" i="1"/>
  <c r="H636" i="1"/>
  <c r="H671" i="1"/>
  <c r="H642" i="1"/>
  <c r="H695" i="1"/>
  <c r="H692" i="1"/>
  <c r="H680" i="1"/>
  <c r="H704" i="1"/>
  <c r="H686" i="1"/>
  <c r="H707" i="1"/>
  <c r="H672" i="1"/>
  <c r="H696" i="1"/>
  <c r="H644" i="1"/>
  <c r="H716" i="1"/>
  <c r="H675" i="1"/>
  <c r="H635" i="1"/>
  <c r="H632" i="1"/>
  <c r="H698" i="1"/>
  <c r="H697" i="1"/>
  <c r="H678" i="1"/>
  <c r="H709" i="1"/>
  <c r="H640" i="1"/>
  <c r="H647" i="1"/>
  <c r="H673" i="1"/>
  <c r="H676" i="1"/>
  <c r="H685" i="1"/>
  <c r="H694" i="1"/>
  <c r="H702" i="1"/>
  <c r="H645" i="1"/>
  <c r="H700" i="1"/>
  <c r="H682" i="1"/>
  <c r="I715" i="1"/>
  <c r="J630" i="1"/>
  <c r="J683" i="1" l="1"/>
  <c r="J635" i="1"/>
  <c r="J681" i="1"/>
  <c r="J710" i="1"/>
  <c r="J708" i="1"/>
  <c r="J670" i="1"/>
  <c r="J687" i="1"/>
  <c r="J707" i="1"/>
  <c r="J684" i="1"/>
  <c r="J713" i="1"/>
  <c r="J673" i="1"/>
  <c r="J642" i="1"/>
  <c r="J676" i="1"/>
  <c r="J696" i="1"/>
  <c r="J704" i="1"/>
  <c r="J694" i="1"/>
  <c r="J705" i="1"/>
  <c r="J647" i="1"/>
  <c r="L647" i="1" s="1"/>
  <c r="J677" i="1"/>
  <c r="J672" i="1"/>
  <c r="J639" i="1"/>
  <c r="J636" i="1"/>
  <c r="J643" i="1"/>
  <c r="J700" i="1"/>
  <c r="J680" i="1"/>
  <c r="J637" i="1"/>
  <c r="J671" i="1"/>
  <c r="J634" i="1"/>
  <c r="J685" i="1"/>
  <c r="J638" i="1"/>
  <c r="J693" i="1"/>
  <c r="J678" i="1"/>
  <c r="J633" i="1"/>
  <c r="J686" i="1"/>
  <c r="J640" i="1"/>
  <c r="J679" i="1"/>
  <c r="J632" i="1"/>
  <c r="J646" i="1"/>
  <c r="J668" i="1"/>
  <c r="J669" i="1"/>
  <c r="J697" i="1"/>
  <c r="J641" i="1"/>
  <c r="J688" i="1"/>
  <c r="J690" i="1"/>
  <c r="J674" i="1"/>
  <c r="J644" i="1"/>
  <c r="J691" i="1"/>
  <c r="J682" i="1"/>
  <c r="J703" i="1"/>
  <c r="J645" i="1"/>
  <c r="J711" i="1"/>
  <c r="J712" i="1"/>
  <c r="J698" i="1"/>
  <c r="J699" i="1"/>
  <c r="J706" i="1"/>
  <c r="J709" i="1"/>
  <c r="J631" i="1"/>
  <c r="J689" i="1"/>
  <c r="J702" i="1"/>
  <c r="J692" i="1"/>
  <c r="J695" i="1"/>
  <c r="J675" i="1"/>
  <c r="J701" i="1"/>
  <c r="J716" i="1"/>
  <c r="H715" i="1"/>
  <c r="J715" i="1" l="1"/>
  <c r="L685" i="1"/>
  <c r="M685" i="1" s="1"/>
  <c r="L701" i="1"/>
  <c r="L696" i="1"/>
  <c r="M696" i="1" s="1"/>
  <c r="L681" i="1"/>
  <c r="M681" i="1" s="1"/>
  <c r="L671" i="1"/>
  <c r="M671" i="1" s="1"/>
  <c r="L708" i="1"/>
  <c r="M708" i="1" s="1"/>
  <c r="L712" i="1"/>
  <c r="M712" i="1" s="1"/>
  <c r="L698" i="1"/>
  <c r="M698" i="1" s="1"/>
  <c r="L668" i="1"/>
  <c r="L690" i="1"/>
  <c r="M690" i="1" s="1"/>
  <c r="L682" i="1"/>
  <c r="M682" i="1" s="1"/>
  <c r="L699" i="1"/>
  <c r="M699" i="1" s="1"/>
  <c r="L710" i="1"/>
  <c r="M710" i="1" s="1"/>
  <c r="L678" i="1"/>
  <c r="M678" i="1" s="1"/>
  <c r="L691" i="1"/>
  <c r="M691" i="1" s="1"/>
  <c r="L669" i="1"/>
  <c r="M669" i="1" s="1"/>
  <c r="L683" i="1"/>
  <c r="M683" i="1" s="1"/>
  <c r="L705" i="1"/>
  <c r="M705" i="1" s="1"/>
  <c r="L716" i="1"/>
  <c r="L702" i="1"/>
  <c r="M702" i="1" s="1"/>
  <c r="L688" i="1"/>
  <c r="M688" i="1" s="1"/>
  <c r="L709" i="1"/>
  <c r="M709" i="1" s="1"/>
  <c r="L689" i="1"/>
  <c r="M689" i="1" s="1"/>
  <c r="L672" i="1"/>
  <c r="M672" i="1" s="1"/>
  <c r="L686" i="1"/>
  <c r="M686" i="1" s="1"/>
  <c r="L706" i="1"/>
  <c r="M706" i="1" s="1"/>
  <c r="L697" i="1"/>
  <c r="M697" i="1" s="1"/>
  <c r="L687" i="1"/>
  <c r="M687" i="1" s="1"/>
  <c r="L677" i="1"/>
  <c r="M677" i="1" s="1"/>
  <c r="L704" i="1"/>
  <c r="M704" i="1" s="1"/>
  <c r="L684" i="1"/>
  <c r="M684" i="1" s="1"/>
  <c r="L694" i="1"/>
  <c r="M694" i="1" s="1"/>
  <c r="L700" i="1"/>
  <c r="M700" i="1" s="1"/>
  <c r="L707" i="1"/>
  <c r="M707" i="1" s="1"/>
  <c r="L703" i="1"/>
  <c r="M703" i="1" s="1"/>
  <c r="L675" i="1"/>
  <c r="M675" i="1" s="1"/>
  <c r="L680" i="1"/>
  <c r="M680" i="1" s="1"/>
  <c r="L693" i="1"/>
  <c r="M693" i="1" s="1"/>
  <c r="L713" i="1"/>
  <c r="M713" i="1" s="1"/>
  <c r="L670" i="1"/>
  <c r="M670" i="1" s="1"/>
  <c r="L695" i="1"/>
  <c r="M695" i="1" s="1"/>
  <c r="L679" i="1"/>
  <c r="M679" i="1" s="1"/>
  <c r="L673" i="1"/>
  <c r="M673" i="1" s="1"/>
  <c r="L711" i="1"/>
  <c r="M711" i="1" s="1"/>
  <c r="L674" i="1"/>
  <c r="L676" i="1"/>
  <c r="M676" i="1" s="1"/>
  <c r="L692" i="1"/>
  <c r="M692" i="1" s="1"/>
  <c r="Y761" i="1" l="1"/>
  <c r="I119" i="9"/>
  <c r="Y752" i="1"/>
  <c r="G87" i="9"/>
  <c r="Y749" i="1"/>
  <c r="D87" i="9"/>
  <c r="L715" i="1"/>
  <c r="M668" i="1"/>
  <c r="F87" i="9"/>
  <c r="Y751" i="1"/>
  <c r="E23" i="9"/>
  <c r="Y736" i="1"/>
  <c r="H119" i="9"/>
  <c r="Y760" i="1"/>
  <c r="G23" i="9"/>
  <c r="Y738" i="1"/>
  <c r="Y735" i="1"/>
  <c r="D23" i="9"/>
  <c r="E151" i="9"/>
  <c r="Y764" i="1"/>
  <c r="Y745" i="1"/>
  <c r="G55" i="9"/>
  <c r="Y766" i="1"/>
  <c r="G151" i="9"/>
  <c r="Y758" i="1"/>
  <c r="F119" i="9"/>
  <c r="F215" i="9"/>
  <c r="Y779" i="1"/>
  <c r="Y750" i="1"/>
  <c r="E87" i="9"/>
  <c r="Y755" i="1"/>
  <c r="C119" i="9"/>
  <c r="Y757" i="1"/>
  <c r="E119" i="9"/>
  <c r="E215" i="9"/>
  <c r="Y778" i="1"/>
  <c r="D55" i="9"/>
  <c r="Y742" i="1"/>
  <c r="Y770" i="1"/>
  <c r="D183" i="9"/>
  <c r="Y775" i="1"/>
  <c r="I183" i="9"/>
  <c r="Y744" i="1"/>
  <c r="F55" i="9"/>
  <c r="Y774" i="1"/>
  <c r="H183" i="9"/>
  <c r="Y746" i="1"/>
  <c r="H55" i="9"/>
  <c r="Y743" i="1"/>
  <c r="E55" i="9"/>
  <c r="I87" i="9"/>
  <c r="Y754" i="1"/>
  <c r="Y776" i="1"/>
  <c r="C215" i="9"/>
  <c r="F23" i="9"/>
  <c r="Y737" i="1"/>
  <c r="Y777" i="1"/>
  <c r="D215" i="9"/>
  <c r="C55" i="9"/>
  <c r="Y741" i="1"/>
  <c r="H87" i="9"/>
  <c r="Y753" i="1"/>
  <c r="I151" i="9"/>
  <c r="Y768" i="1"/>
  <c r="Y765" i="1"/>
  <c r="F151" i="9"/>
  <c r="Y747" i="1"/>
  <c r="I55" i="9"/>
  <c r="G119" i="9"/>
  <c r="Y759" i="1"/>
  <c r="Y739" i="1"/>
  <c r="H23" i="9"/>
  <c r="C183" i="9"/>
  <c r="Y769" i="1"/>
  <c r="D151" i="9"/>
  <c r="Y763" i="1"/>
  <c r="Y748" i="1"/>
  <c r="C87" i="9"/>
  <c r="C151" i="9"/>
  <c r="Y762" i="1"/>
  <c r="Y773" i="1"/>
  <c r="G183" i="9"/>
  <c r="Y772" i="1"/>
  <c r="F183" i="9"/>
  <c r="E183" i="9"/>
  <c r="Y771" i="1"/>
  <c r="D119" i="9"/>
  <c r="Y756" i="1"/>
  <c r="Y734" i="1" l="1"/>
  <c r="Y815" i="1" s="1"/>
  <c r="M715" i="1"/>
  <c r="C23" i="9"/>
</calcChain>
</file>

<file path=xl/sharedStrings.xml><?xml version="1.0" encoding="utf-8"?>
<sst xmlns="http://schemas.openxmlformats.org/spreadsheetml/2006/main" count="4941" uniqueCount="1281">
  <si>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</si>
  <si>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</si>
  <si>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</si>
  <si>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</si>
  <si>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</si>
  <si>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</si>
  <si>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</si>
  <si>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</si>
  <si>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</si>
  <si>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</si>
  <si>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</si>
  <si>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</si>
  <si>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</si>
  <si>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</si>
  <si>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</si>
  <si>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</si>
  <si>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</si>
  <si>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</si>
  <si>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</si>
  <si>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</si>
  <si>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</si>
  <si>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</si>
  <si>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</si>
  <si>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</si>
  <si>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</si>
  <si>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</si>
  <si>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</si>
  <si>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</si>
  <si>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</si>
  <si>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</si>
  <si>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</si>
  <si>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</si>
  <si>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</si>
  <si>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</si>
  <si>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</si>
  <si>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</si>
  <si>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</si>
  <si>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</si>
  <si>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</si>
  <si>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</si>
  <si>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</si>
  <si>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</si>
  <si>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</si>
  <si>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</si>
  <si>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</si>
  <si>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</si>
  <si>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</si>
  <si>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</si>
  <si>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</si>
  <si>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</si>
  <si>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</si>
  <si>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</si>
  <si>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</si>
  <si>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</si>
  <si>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</si>
  <si>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</si>
  <si>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</si>
  <si>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</si>
  <si>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</si>
  <si>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</si>
  <si>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</si>
  <si>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</si>
  <si>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</si>
  <si>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</si>
  <si>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</si>
  <si>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</si>
  <si>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</si>
  <si>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</si>
  <si>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</si>
  <si>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</si>
  <si>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</si>
  <si>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</si>
  <si>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</si>
  <si>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</si>
  <si>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</si>
  <si>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</si>
  <si>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</si>
  <si>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</si>
  <si>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</si>
  <si>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</si>
  <si>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</si>
  <si>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</si>
  <si>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</si>
  <si>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</si>
  <si>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</si>
  <si>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</si>
  <si>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</si>
  <si>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</si>
  <si>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</si>
  <si>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</si>
  <si>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</si>
  <si>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</si>
  <si>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</si>
  <si>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</si>
  <si>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</si>
  <si>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</si>
  <si>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</si>
  <si>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</si>
  <si>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</si>
  <si>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</si>
  <si>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</si>
  <si>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</si>
  <si>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</si>
  <si>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</si>
  <si>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</si>
  <si>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</si>
  <si>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</si>
  <si>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</si>
  <si>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</si>
  <si>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</si>
  <si>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</si>
  <si>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</si>
  <si>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</si>
  <si>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</si>
  <si>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</si>
  <si>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</si>
  <si>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</si>
  <si>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</si>
  <si>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</si>
  <si>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</si>
  <si>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</si>
  <si>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</si>
  <si>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</si>
  <si>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</si>
  <si>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</si>
  <si>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</si>
  <si>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</si>
  <si>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</si>
  <si>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</si>
  <si>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</si>
  <si>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</si>
  <si>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</si>
  <si>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</si>
  <si>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</si>
  <si>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</si>
  <si>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</si>
  <si>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</si>
  <si>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</si>
  <si>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</si>
  <si>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</si>
  <si>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</si>
  <si>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</si>
  <si>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</si>
  <si>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</si>
  <si>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</si>
  <si>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</si>
  <si>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</si>
  <si>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</si>
  <si>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</si>
  <si>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</si>
  <si>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</si>
  <si>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</si>
  <si>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</si>
  <si>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</si>
  <si>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</si>
  <si>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</si>
  <si>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</si>
  <si>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</si>
  <si>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</si>
  <si>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</si>
  <si>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</si>
  <si>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</si>
  <si>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</si>
  <si>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</si>
  <si>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</si>
  <si>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</si>
  <si>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</si>
  <si>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</si>
  <si>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</si>
  <si>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</si>
  <si>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</si>
  <si>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</si>
  <si>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</si>
  <si>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</si>
  <si>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</si>
  <si>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</si>
  <si>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</si>
  <si>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</si>
  <si>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</si>
  <si>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</si>
  <si>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</si>
  <si>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</si>
  <si>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</si>
  <si>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</si>
  <si>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</si>
  <si>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</si>
  <si>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</si>
  <si>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</si>
  <si>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</si>
  <si>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</si>
  <si>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</si>
  <si>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</si>
  <si>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</si>
  <si>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</si>
  <si>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</si>
  <si>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</si>
  <si>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</si>
  <si>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</si>
  <si>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</si>
  <si>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</si>
  <si>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</si>
  <si>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</si>
  <si>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</si>
  <si>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</si>
  <si>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</si>
  <si>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</si>
  <si>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</si>
  <si>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</si>
  <si>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</si>
  <si>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</si>
  <si>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</si>
  <si>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</si>
  <si>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</si>
  <si>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</si>
  <si>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</si>
  <si>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</si>
  <si>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</si>
  <si>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</si>
  <si>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</si>
  <si>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</si>
  <si>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</si>
  <si>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</si>
  <si>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</si>
  <si>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</si>
  <si>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</si>
  <si>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</si>
  <si>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</si>
  <si>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</si>
  <si>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</si>
  <si>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</si>
  <si>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</si>
  <si>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</si>
  <si>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</si>
  <si>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</si>
  <si>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</si>
  <si>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</si>
  <si>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</si>
  <si>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</si>
  <si>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</si>
  <si>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</si>
  <si>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</si>
  <si>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</si>
  <si>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</si>
  <si>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</si>
  <si>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</si>
  <si>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</si>
  <si>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</si>
  <si>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</si>
  <si>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</si>
  <si>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</si>
  <si>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</si>
  <si>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</si>
  <si>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</si>
  <si>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</si>
  <si>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</si>
  <si>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</si>
  <si>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</si>
  <si>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</si>
  <si>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</si>
  <si>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</si>
  <si>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</si>
  <si>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</si>
  <si>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</si>
  <si>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</si>
  <si>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</si>
  <si>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</si>
  <si>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</si>
  <si>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</si>
  <si>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</si>
  <si>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</si>
  <si>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</si>
  <si>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</si>
  <si>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</si>
  <si>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</si>
  <si>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</si>
  <si>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</si>
  <si>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</si>
  <si>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</si>
  <si>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</si>
  <si>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</si>
  <si>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</si>
  <si>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</si>
  <si>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</si>
  <si>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</si>
  <si>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</si>
  <si>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</si>
  <si>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</si>
  <si>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</si>
  <si>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</si>
  <si>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</si>
  <si>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</si>
  <si>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</si>
  <si>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</si>
  <si>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</si>
  <si>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</si>
  <si>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</si>
  <si>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</si>
  <si>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</si>
  <si>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</si>
  <si>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</si>
  <si>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</si>
  <si>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</si>
  <si>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</si>
  <si>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</si>
  <si>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</si>
  <si>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</si>
  <si>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</si>
  <si>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</si>
  <si>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</si>
  <si>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</si>
  <si>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</si>
  <si>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</si>
  <si>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</si>
  <si>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</si>
  <si>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</si>
  <si>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</si>
  <si>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</si>
  <si>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</si>
  <si>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</si>
  <si>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</si>
  <si>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</si>
  <si>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</si>
  <si>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</si>
  <si>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</si>
  <si>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</si>
  <si>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</si>
  <si>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</si>
  <si>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</si>
  <si>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</si>
  <si>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</si>
  <si>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</si>
  <si>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</si>
  <si>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</si>
  <si>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</si>
  <si>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</si>
  <si>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</si>
  <si>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</si>
  <si>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</si>
  <si>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</si>
  <si>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</si>
  <si>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</si>
  <si>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</si>
  <si>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</si>
  <si>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</si>
  <si>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</si>
  <si>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</si>
  <si>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</si>
  <si>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</si>
  <si>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</si>
  <si>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</si>
  <si>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</si>
  <si>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</si>
  <si>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</si>
  <si>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</si>
  <si>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</si>
  <si>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</si>
  <si>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</si>
  <si>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</si>
  <si>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</si>
  <si>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</si>
  <si>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</si>
  <si>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</si>
  <si>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</si>
  <si>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</si>
  <si>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</si>
  <si>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</si>
  <si>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</si>
  <si>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</si>
  <si>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</si>
  <si>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</si>
  <si>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</si>
  <si>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</si>
  <si>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</si>
  <si>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</si>
  <si>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</si>
  <si>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</si>
  <si>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</si>
  <si>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</si>
  <si>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</si>
  <si>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</si>
  <si>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</si>
  <si>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</si>
  <si>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</si>
  <si>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</si>
  <si>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</si>
  <si>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</si>
  <si>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</si>
  <si>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</si>
  <si>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</si>
  <si>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</si>
  <si>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</si>
  <si>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</si>
  <si>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</si>
  <si>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</si>
  <si>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</si>
  <si>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</si>
  <si>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</si>
  <si>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</si>
  <si>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</si>
  <si>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</si>
  <si>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</si>
  <si>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</si>
  <si>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</si>
  <si>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</si>
  <si>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</si>
  <si>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</si>
  <si>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</si>
  <si>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</si>
  <si>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</si>
  <si>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</si>
  <si>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</si>
  <si>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</si>
  <si>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</si>
  <si>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</si>
  <si>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</si>
  <si>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</si>
  <si>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</si>
  <si>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</si>
  <si>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</si>
  <si>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</si>
  <si>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</si>
  <si>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</si>
  <si>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</si>
  <si>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</si>
  <si>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</si>
  <si>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</si>
  <si>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</si>
  <si>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</si>
  <si>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</si>
  <si>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</si>
  <si>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</si>
  <si>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</si>
  <si>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</si>
  <si>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</si>
  <si>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</si>
  <si>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</si>
  <si>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</si>
  <si>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</si>
  <si>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</si>
  <si>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</si>
  <si>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</si>
  <si>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</si>
  <si>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</si>
  <si>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</si>
  <si>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</si>
  <si>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</si>
  <si>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</si>
  <si>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</si>
  <si>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</si>
  <si>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</si>
  <si>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</si>
  <si>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</si>
  <si>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</si>
  <si>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</si>
  <si>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</si>
  <si>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</si>
  <si>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</si>
  <si>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</si>
  <si>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</si>
  <si>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</si>
  <si>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</si>
  <si>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</si>
  <si>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</si>
  <si>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</si>
  <si>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</si>
  <si>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</si>
  <si>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</si>
  <si>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</si>
  <si>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</si>
  <si>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</si>
  <si>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</si>
  <si>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</si>
  <si>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</si>
  <si>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</si>
  <si>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</si>
  <si>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</si>
  <si>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</si>
  <si>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</si>
  <si>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</si>
  <si>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</si>
  <si>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</si>
  <si>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</si>
  <si>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</si>
  <si>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</si>
  <si>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</si>
  <si>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</si>
  <si>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</si>
  <si>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</si>
  <si>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</si>
  <si>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</si>
  <si>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</si>
  <si>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</si>
  <si>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</si>
  <si>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</si>
  <si>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</si>
  <si>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</si>
  <si>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</si>
  <si>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</si>
  <si>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</si>
  <si>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</si>
  <si>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</si>
  <si>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</si>
  <si>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</si>
  <si>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</si>
  <si>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</si>
  <si>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</si>
  <si>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</si>
  <si>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</si>
  <si>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</si>
  <si>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</si>
  <si>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</si>
  <si>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</si>
  <si>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</si>
  <si>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</si>
  <si>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</si>
  <si>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</si>
  <si>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</si>
  <si>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</si>
  <si>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</si>
  <si>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</si>
  <si>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</si>
  <si>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</si>
  <si>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</si>
  <si>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</si>
  <si>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</si>
  <si>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</si>
  <si>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</si>
  <si>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</si>
  <si>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</si>
  <si>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</si>
  <si>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</si>
  <si>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</si>
  <si>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</si>
  <si>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</si>
  <si>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</si>
  <si>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</si>
  <si>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</si>
  <si>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</si>
  <si>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</si>
  <si>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</si>
  <si>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</si>
  <si>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</si>
  <si>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</si>
  <si>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</si>
  <si>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</si>
  <si>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</si>
  <si>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</si>
  <si>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</si>
  <si>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</si>
  <si>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</si>
  <si>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</si>
  <si>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</si>
  <si>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</si>
  <si>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</si>
  <si>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</si>
  <si>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</si>
  <si>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</si>
  <si>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</si>
  <si>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</si>
  <si>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</si>
  <si>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</si>
  <si>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</si>
  <si>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</si>
  <si>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</si>
  <si>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</si>
  <si>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</si>
  <si>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</si>
  <si>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</si>
  <si>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</si>
  <si>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</si>
  <si>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</si>
  <si>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</si>
  <si>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</si>
  <si>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</si>
  <si>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</si>
  <si>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</si>
  <si>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</si>
  <si>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</si>
  <si>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</si>
  <si>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</si>
  <si>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</si>
  <si>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</si>
  <si>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</si>
  <si>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</si>
  <si>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</si>
  <si>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</si>
  <si>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</si>
  <si>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</si>
  <si>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</si>
  <si>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</si>
  <si>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</si>
  <si>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</si>
  <si>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</si>
  <si>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</si>
  <si>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</si>
  <si>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</si>
  <si>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</si>
  <si>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</si>
  <si>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</si>
  <si>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</si>
  <si>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</si>
  <si>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</si>
  <si>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</si>
  <si>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</si>
  <si>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</si>
  <si>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</si>
  <si>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</si>
  <si>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</si>
  <si>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</si>
  <si>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</si>
  <si>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</si>
  <si>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</si>
  <si>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</si>
  <si>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</si>
  <si>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</si>
  <si>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</si>
  <si>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</si>
  <si>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</si>
  <si>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</si>
  <si>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</si>
  <si>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</si>
  <si>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</si>
  <si>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</si>
  <si>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</si>
  <si>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</si>
  <si>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</si>
  <si>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</si>
  <si>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</si>
  <si>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</si>
  <si>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</si>
  <si>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</si>
  <si>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</si>
  <si>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</si>
  <si>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</si>
  <si>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</si>
  <si>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</si>
  <si>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</si>
  <si>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</si>
  <si>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</si>
  <si>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</si>
  <si>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</si>
  <si>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</si>
  <si>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</si>
  <si>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</si>
  <si>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</si>
  <si>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</si>
  <si>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</si>
  <si>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</si>
  <si>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</si>
  <si>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</si>
  <si>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</si>
  <si>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</si>
  <si>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</si>
  <si>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</si>
  <si>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</si>
  <si>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</si>
  <si>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</si>
  <si>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</si>
  <si>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</si>
  <si>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</si>
  <si>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</si>
  <si>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</si>
  <si>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</si>
  <si>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</si>
  <si>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</si>
  <si>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</si>
  <si>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</si>
  <si>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</si>
  <si>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</si>
  <si>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</si>
  <si>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</si>
  <si>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</si>
  <si>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</si>
  <si>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</si>
  <si>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</si>
  <si>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</si>
  <si>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</si>
  <si>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</si>
  <si>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</si>
  <si>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</si>
  <si>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</si>
  <si>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</si>
  <si>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</si>
  <si>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</si>
  <si>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</si>
  <si>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</si>
  <si>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</si>
  <si>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</si>
  <si>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</si>
  <si>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</si>
  <si>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</si>
  <si>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</si>
  <si>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</si>
  <si>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</si>
  <si>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</si>
  <si>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</si>
  <si>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</si>
  <si>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</si>
  <si>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</si>
  <si>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</si>
  <si>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</si>
  <si>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</si>
  <si>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</si>
  <si>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</si>
  <si>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</si>
  <si>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</si>
  <si>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</si>
  <si>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</si>
  <si>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</si>
  <si>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</si>
  <si>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</si>
  <si>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</si>
  <si>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</si>
  <si>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</si>
  <si>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</si>
  <si>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</si>
  <si>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</si>
  <si>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</si>
  <si>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</si>
  <si>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</si>
  <si>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</si>
  <si>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</si>
  <si>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</si>
  <si>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</si>
  <si>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</si>
  <si>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</si>
  <si>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</si>
  <si>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</si>
  <si>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</si>
  <si>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</si>
  <si>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</si>
  <si>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</si>
  <si>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</si>
  <si>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</si>
  <si>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</si>
  <si>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</si>
  <si>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</si>
  <si>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</si>
  <si>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</si>
  <si>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</si>
  <si>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</si>
  <si>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</si>
  <si>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</si>
  <si>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</si>
  <si>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</si>
  <si>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</si>
  <si>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</si>
  <si>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</si>
  <si>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</si>
  <si>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</si>
  <si>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</si>
  <si>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</si>
  <si>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</si>
  <si>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</si>
  <si>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</si>
  <si>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</si>
  <si>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</si>
  <si>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</si>
  <si>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</si>
  <si>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</si>
  <si>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</si>
  <si>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</si>
  <si>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</si>
  <si>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</si>
  <si>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</si>
  <si>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</si>
  <si>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</si>
  <si>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</si>
  <si>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</si>
  <si>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</si>
  <si>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</si>
  <si>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</si>
  <si>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</si>
  <si>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</si>
  <si>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</si>
  <si>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</si>
  <si>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</si>
  <si>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</si>
  <si>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</si>
  <si>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</si>
  <si>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</si>
  <si>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</si>
  <si>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</si>
  <si>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</si>
  <si>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</si>
  <si>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</si>
  <si>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</si>
  <si>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</si>
  <si>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</si>
  <si>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</si>
  <si>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</si>
  <si>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</si>
  <si>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</si>
  <si>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</si>
  <si>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</si>
  <si>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</si>
  <si>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</si>
  <si>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</si>
  <si>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</si>
  <si>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</si>
  <si>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</si>
  <si>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</si>
  <si>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</si>
  <si>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</si>
  <si>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</si>
  <si>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</si>
  <si>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</si>
  <si>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</si>
  <si>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</si>
  <si>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</si>
  <si>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</si>
  <si>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</si>
  <si>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</si>
  <si>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</si>
  <si>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</si>
  <si>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</si>
  <si>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</si>
  <si>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</si>
  <si>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</si>
  <si>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</si>
  <si>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</si>
  <si>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</si>
  <si>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</si>
  <si>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</si>
  <si>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</si>
  <si>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</si>
  <si>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</si>
  <si>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</si>
  <si>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</si>
  <si>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</si>
  <si>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</si>
  <si>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</si>
  <si>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</si>
  <si>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</si>
  <si>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</si>
  <si>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</si>
  <si>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</si>
  <si>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</si>
  <si>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</si>
  <si>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</si>
  <si>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</si>
  <si>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</si>
  <si>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</si>
  <si>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</si>
  <si>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</si>
  <si>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</si>
  <si>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</si>
  <si>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</si>
  <si>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</si>
  <si>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</si>
  <si>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</si>
  <si>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</si>
  <si>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</si>
  <si>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</si>
  <si>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</si>
  <si>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</si>
  <si>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</si>
  <si>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</si>
  <si>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</si>
  <si>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</si>
  <si>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</si>
  <si>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</si>
  <si>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</si>
  <si>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</si>
  <si>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</si>
  <si>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</si>
  <si>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</si>
  <si>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</si>
  <si>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</si>
  <si>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</si>
  <si>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</si>
  <si>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</si>
  <si>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</si>
  <si>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</si>
  <si>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</si>
  <si>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</si>
  <si>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</si>
  <si>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</si>
  <si>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</si>
  <si>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</si>
  <si>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</si>
  <si>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</si>
  <si>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</si>
  <si>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</si>
  <si>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</si>
  <si>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</si>
  <si>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</si>
  <si>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</si>
  <si>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</si>
  <si>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</si>
  <si>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</si>
  <si>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</si>
  <si>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</si>
  <si>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</si>
  <si>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</si>
  <si>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</si>
  <si>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</si>
  <si>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</si>
  <si>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</si>
  <si>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</si>
  <si>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</si>
  <si>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</si>
  <si>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</si>
  <si>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</si>
  <si>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</si>
  <si>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</si>
  <si>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</si>
  <si>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</si>
  <si>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</si>
  <si>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</si>
  <si>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</si>
  <si>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</si>
  <si>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</si>
  <si>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</si>
  <si>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</si>
  <si>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</si>
  <si>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</si>
  <si>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</si>
  <si>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</si>
  <si>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</si>
  <si>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</si>
  <si>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</si>
  <si>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</si>
  <si>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</si>
  <si>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</si>
  <si>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</si>
  <si>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</si>
  <si>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</si>
  <si>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</si>
  <si>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</si>
  <si>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</si>
  <si>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</si>
  <si>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</si>
  <si>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</si>
  <si>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</si>
  <si>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</si>
  <si>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</si>
  <si>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</si>
  <si>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</si>
  <si>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</si>
  <si>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</si>
  <si>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</si>
  <si>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</si>
  <si>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</si>
  <si>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</si>
  <si>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</si>
  <si>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</si>
  <si>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</si>
  <si>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</si>
  <si>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</si>
  <si>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</si>
  <si>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</si>
  <si>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</si>
  <si>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</si>
  <si>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</si>
  <si>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</si>
  <si>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</si>
  <si>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</si>
  <si>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</si>
  <si>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</si>
  <si>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</si>
  <si>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</si>
  <si>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</si>
  <si>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</si>
  <si>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</si>
  <si>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</si>
  <si>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</si>
  <si>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</si>
  <si>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</si>
  <si>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</si>
  <si>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</si>
  <si>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</si>
  <si>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</si>
  <si>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</si>
  <si>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</si>
  <si>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</si>
  <si>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</si>
  <si>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</si>
  <si>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</si>
  <si>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</si>
  <si>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</si>
  <si>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</si>
  <si>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</si>
  <si>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</si>
  <si>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</si>
  <si>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</si>
  <si>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</si>
  <si>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</si>
  <si>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</si>
  <si>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</si>
  <si>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</si>
  <si>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</si>
  <si>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</si>
  <si>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</si>
  <si>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</si>
  <si>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</si>
  <si>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</si>
  <si>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</si>
  <si>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</si>
  <si>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</si>
  <si>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</si>
  <si>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</si>
  <si>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</si>
  <si>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</si>
  <si>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</si>
  <si>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</si>
  <si>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</si>
  <si>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</si>
  <si>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</si>
  <si>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</si>
  <si>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</si>
  <si>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</si>
  <si>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</si>
  <si>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</si>
  <si>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</si>
  <si>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</si>
  <si>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</si>
  <si>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</si>
  <si>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</si>
  <si>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</si>
  <si>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</si>
  <si>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</si>
  <si>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</si>
  <si>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</si>
  <si>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</si>
  <si>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</si>
  <si>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</si>
  <si>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</si>
  <si>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</si>
  <si>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</si>
  <si>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</si>
  <si>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</si>
  <si>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</si>
  <si>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</si>
  <si>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</si>
  <si>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</si>
  <si>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</si>
  <si>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</si>
  <si>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</si>
  <si>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</si>
  <si>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</si>
  <si>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</si>
  <si>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</si>
  <si>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</si>
  <si>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</si>
  <si>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</si>
  <si>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</si>
  <si>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</si>
  <si>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</si>
  <si>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</si>
  <si>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</si>
  <si>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</si>
  <si>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</si>
  <si>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</si>
  <si>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</si>
  <si>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</si>
  <si>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</si>
  <si>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</si>
  <si>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</si>
  <si>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</si>
  <si>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</si>
  <si>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</si>
  <si>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</si>
  <si>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</si>
  <si>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</si>
  <si>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</si>
  <si>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</si>
  <si>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</si>
  <si>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</si>
  <si>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</si>
  <si>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</si>
  <si>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</si>
  <si>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</si>
  <si>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</si>
  <si>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</si>
  <si>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</si>
  <si>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</si>
  <si>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</si>
  <si>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</si>
  <si>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</si>
  <si>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</si>
  <si>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</si>
  <si>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</si>
  <si>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</si>
  <si>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</si>
  <si>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</si>
  <si>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</si>
  <si>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</si>
  <si>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</si>
  <si>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</si>
  <si>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</si>
  <si>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</si>
  <si>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</si>
  <si>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</si>
  <si>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</si>
  <si>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</si>
  <si>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</si>
  <si>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</si>
  <si>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</si>
  <si>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</si>
  <si>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</si>
  <si>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</si>
  <si>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</si>
  <si>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</si>
  <si>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</si>
  <si>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</si>
  <si>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</si>
  <si>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</si>
  <si>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</si>
  <si>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</si>
  <si>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</si>
  <si>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</si>
  <si>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</si>
  <si>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</si>
  <si>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</si>
  <si>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</si>
  <si>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</si>
  <si>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</si>
  <si>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</si>
  <si>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</si>
  <si>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</si>
  <si>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</si>
  <si>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</si>
  <si>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</si>
  <si>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</si>
  <si>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</si>
  <si>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</si>
  <si>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</si>
  <si>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</si>
  <si>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</si>
  <si>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</si>
  <si>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</si>
  <si>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</si>
  <si>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</si>
  <si>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</si>
  <si>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</si>
  <si>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</si>
  <si>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</si>
  <si>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</si>
  <si>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</si>
  <si>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</si>
  <si>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</si>
  <si>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</si>
  <si>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</si>
  <si>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</si>
  <si>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</si>
  <si>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</si>
  <si>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</si>
  <si>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</si>
  <si>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</si>
  <si>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</si>
  <si>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</si>
  <si>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</si>
  <si>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</si>
  <si>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</si>
  <si>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</si>
  <si>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</si>
  <si>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</si>
  <si>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</si>
  <si>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</si>
  <si>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</si>
  <si>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</si>
  <si>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</si>
  <si>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</si>
  <si>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</si>
  <si>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</si>
  <si>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</si>
  <si>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</si>
  <si>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</si>
  <si>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</si>
  <si>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</si>
  <si>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</si>
  <si>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</si>
  <si>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</si>
  <si>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</si>
  <si>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</si>
  <si>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</si>
  <si>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</si>
  <si>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</si>
  <si>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</si>
  <si>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</si>
  <si>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</si>
  <si>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</si>
  <si>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</si>
  <si>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</si>
  <si>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</si>
  <si>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</si>
  <si>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</si>
  <si>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</si>
  <si>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</si>
  <si>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</si>
  <si>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</si>
  <si>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</si>
  <si>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</si>
  <si>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</si>
  <si>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</si>
  <si>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</si>
  <si>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</si>
  <si>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</si>
  <si>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</si>
  <si>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</si>
  <si>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</si>
  <si>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</si>
  <si>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</si>
  <si>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</si>
  <si>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</si>
  <si>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</si>
  <si>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</si>
  <si>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</si>
  <si>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</si>
  <si>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</si>
  <si>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</si>
  <si>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</si>
  <si>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</si>
  <si>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</si>
  <si>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</si>
  <si>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</si>
  <si>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</si>
  <si>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</si>
  <si>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</si>
  <si>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</si>
  <si>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</si>
  <si>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</si>
  <si>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</si>
  <si>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</si>
  <si>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</si>
  <si>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</si>
  <si>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</si>
  <si>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</si>
  <si>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</si>
  <si>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</si>
  <si>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</si>
  <si>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</si>
  <si>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</si>
  <si>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</si>
  <si>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</si>
  <si>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</si>
  <si>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</si>
  <si>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</si>
  <si>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</si>
  <si>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</si>
  <si>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</si>
  <si>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</si>
  <si>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</si>
  <si>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</si>
  <si>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</si>
  <si>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</si>
  <si>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</si>
  <si>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</si>
  <si>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</si>
  <si>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</si>
  <si>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</si>
  <si>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</si>
  <si>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</si>
  <si>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</si>
  <si>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</si>
  <si>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</si>
  <si>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</si>
  <si>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</si>
  <si>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</si>
  <si>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</si>
  <si>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</si>
  <si>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</si>
  <si>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</si>
  <si>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</si>
  <si>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</si>
  <si>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</si>
  <si>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</si>
  <si>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157</t>
  </si>
  <si>
    <t>St. Luke's Rehabilitation Institute</t>
  </si>
  <si>
    <t>711 S Cowley Street</t>
  </si>
  <si>
    <t>Spokane, WA 99202</t>
  </si>
  <si>
    <t>Spokane</t>
  </si>
  <si>
    <t>Joel Gilbertson</t>
  </si>
  <si>
    <t>Helen Andrus</t>
  </si>
  <si>
    <t xml:space="preserve">Larry Soehren </t>
  </si>
  <si>
    <t>509-473-6000</t>
  </si>
  <si>
    <t>509-392-5688</t>
  </si>
  <si>
    <t>X</t>
  </si>
  <si>
    <t>12/31/2021</t>
  </si>
  <si>
    <t>Nothing to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</si>
</sst>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1" applyNumberFormat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left"/>
    </xf>
    <xf numFmtId="39" fontId="9" fillId="0" borderId="1" xfId="3" quotePrefix="1" applyNumberFormat="1" applyFont="1" applyFill="1" applyBorder="1" applyProtection="1">
      <protection locked="0"/>
    </xf>
    <xf numFmtId="39" fontId="9" fillId="0" borderId="1" xfId="1" quotePrefix="1" applyNumberFormat="1" applyFont="1" applyFill="1" applyBorder="1" applyProtection="1">
      <protection locked="0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165" fontId="9" fillId="0" borderId="1" xfId="1" quotePrefix="1" applyNumberFormat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8" fontId="9" fillId="0" borderId="1" xfId="0" applyNumberFormat="1" applyFont="1" applyBorder="1" applyProtection="1">
      <protection locked="0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157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/>
          <cell r="D59"/>
          <cell r="E59"/>
          <cell r="F59"/>
          <cell r="G59">
            <v>19848</v>
          </cell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U59">
            <v>97213</v>
          </cell>
          <cell r="V59"/>
          <cell r="W59">
            <v>25</v>
          </cell>
          <cell r="X59">
            <v>137</v>
          </cell>
          <cell r="Y59">
            <v>226</v>
          </cell>
          <cell r="Z59"/>
          <cell r="AA59">
            <v>4</v>
          </cell>
          <cell r="AC59">
            <v>8219</v>
          </cell>
          <cell r="AD59"/>
          <cell r="AE59">
            <v>97520</v>
          </cell>
          <cell r="AF59">
            <v>10647</v>
          </cell>
          <cell r="AG59"/>
          <cell r="AH59"/>
          <cell r="AI59"/>
          <cell r="AJ59">
            <v>58575</v>
          </cell>
          <cell r="AK59">
            <v>104962</v>
          </cell>
          <cell r="AL59">
            <v>20781</v>
          </cell>
          <cell r="AM59">
            <v>15749</v>
          </cell>
          <cell r="AN59"/>
          <cell r="AO59"/>
          <cell r="AP59">
            <v>48710</v>
          </cell>
          <cell r="AQ59"/>
          <cell r="AR59"/>
          <cell r="AS59"/>
          <cell r="AT59"/>
          <cell r="AU59"/>
          <cell r="AY59">
            <v>59439</v>
          </cell>
          <cell r="AZ59"/>
          <cell r="BA59"/>
          <cell r="BE59">
            <v>190169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13293480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97379</v>
          </cell>
          <cell r="T71">
            <v>0</v>
          </cell>
          <cell r="U71">
            <v>162001</v>
          </cell>
          <cell r="V71">
            <v>0</v>
          </cell>
          <cell r="W71">
            <v>0</v>
          </cell>
          <cell r="X71">
            <v>0</v>
          </cell>
          <cell r="Y71">
            <v>33826</v>
          </cell>
          <cell r="Z71">
            <v>0</v>
          </cell>
          <cell r="AA71">
            <v>0</v>
          </cell>
          <cell r="AB71">
            <v>1430198</v>
          </cell>
          <cell r="AC71">
            <v>643589</v>
          </cell>
          <cell r="AD71">
            <v>0</v>
          </cell>
          <cell r="AE71">
            <v>3084563</v>
          </cell>
          <cell r="AF71">
            <v>273452</v>
          </cell>
          <cell r="AG71">
            <v>0</v>
          </cell>
          <cell r="AH71">
            <v>0</v>
          </cell>
          <cell r="AI71">
            <v>0</v>
          </cell>
          <cell r="AJ71">
            <v>8813546.2599999998</v>
          </cell>
          <cell r="AK71">
            <v>1771438.5</v>
          </cell>
          <cell r="AL71">
            <v>729363</v>
          </cell>
          <cell r="AM71">
            <v>257228</v>
          </cell>
          <cell r="AN71">
            <v>0</v>
          </cell>
          <cell r="AO71">
            <v>0</v>
          </cell>
          <cell r="AP71">
            <v>4071312.88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152057</v>
          </cell>
          <cell r="AW71">
            <v>160483</v>
          </cell>
          <cell r="AX71">
            <v>0</v>
          </cell>
          <cell r="AY71">
            <v>1896782</v>
          </cell>
          <cell r="AZ71">
            <v>-382506</v>
          </cell>
          <cell r="BA71">
            <v>159313</v>
          </cell>
          <cell r="BB71">
            <v>1059483</v>
          </cell>
          <cell r="BC71">
            <v>104119</v>
          </cell>
          <cell r="BD71">
            <v>0</v>
          </cell>
          <cell r="BE71">
            <v>2305595.21</v>
          </cell>
          <cell r="BF71">
            <v>758376</v>
          </cell>
          <cell r="BG71">
            <v>151594</v>
          </cell>
          <cell r="BH71">
            <v>0</v>
          </cell>
          <cell r="BI71">
            <v>0</v>
          </cell>
          <cell r="BJ71">
            <v>0</v>
          </cell>
          <cell r="BK71">
            <v>707587</v>
          </cell>
          <cell r="BL71">
            <v>1236372</v>
          </cell>
          <cell r="BM71">
            <v>0</v>
          </cell>
          <cell r="BN71">
            <v>4552723.97</v>
          </cell>
          <cell r="BO71">
            <v>2602</v>
          </cell>
          <cell r="BP71">
            <v>16365</v>
          </cell>
          <cell r="BQ71">
            <v>0</v>
          </cell>
          <cell r="BR71">
            <v>0</v>
          </cell>
          <cell r="BS71">
            <v>14848</v>
          </cell>
          <cell r="BT71">
            <v>134545</v>
          </cell>
          <cell r="BU71">
            <v>0</v>
          </cell>
          <cell r="BV71">
            <v>368356.18</v>
          </cell>
          <cell r="BW71">
            <v>970053.3</v>
          </cell>
          <cell r="BX71">
            <v>1505387</v>
          </cell>
          <cell r="BY71">
            <v>66489</v>
          </cell>
          <cell r="BZ71">
            <v>0</v>
          </cell>
          <cell r="CA71">
            <v>5171</v>
          </cell>
          <cell r="CB71">
            <v>-963</v>
          </cell>
          <cell r="CC71">
            <v>32012</v>
          </cell>
          <cell r="CD71">
            <v>951535.37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0" transitionEvaluation="1" transitionEntry="1" codeName="Sheet1">
    <pageSetUpPr autoPageBreaks="0" fitToPage="1"/>
  </sheetPr>
  <dimension ref="A1:CF817"/>
  <sheetViews>
    <sheetView showGridLines="0" tabSelected="1" topLeftCell="A20" zoomScale="75" zoomScaleNormal="75" workbookViewId="0">
      <selection activeCell="C83" sqref="C83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1257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293"/>
      <c r="C15" s="235"/>
    </row>
    <row r="16" spans="1:6" ht="12.75" customHeight="1" x14ac:dyDescent="0.3">
      <c r="A16" s="294" t="s">
        <v>1266</v>
      </c>
      <c r="C16" s="235"/>
      <c r="F16" s="287"/>
    </row>
    <row r="17" spans="1:6" ht="12.75" customHeight="1" x14ac:dyDescent="0.3">
      <c r="A17" s="294" t="s">
        <v>1264</v>
      </c>
      <c r="C17" s="287"/>
    </row>
    <row r="18" spans="1:6" ht="12.75" customHeight="1" x14ac:dyDescent="0.3">
      <c r="A18" s="227"/>
      <c r="C18" s="235"/>
    </row>
    <row r="19" spans="1:6" ht="12.75" customHeight="1" x14ac:dyDescent="0.3">
      <c r="C19" s="235"/>
    </row>
    <row r="20" spans="1:6" ht="12.75" customHeight="1" x14ac:dyDescent="0.3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">
      <c r="A21" s="199"/>
      <c r="C21" s="235"/>
    </row>
    <row r="22" spans="1:6" ht="12.65" customHeight="1" x14ac:dyDescent="0.3">
      <c r="A22" s="237" t="s">
        <v>1253</v>
      </c>
      <c r="B22" s="238"/>
      <c r="C22" s="239"/>
      <c r="D22" s="237"/>
      <c r="E22" s="237"/>
    </row>
    <row r="23" spans="1:6" ht="12.65" customHeight="1" x14ac:dyDescent="0.3">
      <c r="B23" s="199"/>
      <c r="C23" s="235"/>
    </row>
    <row r="24" spans="1:6" ht="12.65" customHeight="1" x14ac:dyDescent="0.3">
      <c r="A24" s="240" t="s">
        <v>3</v>
      </c>
      <c r="C24" s="235"/>
    </row>
    <row r="25" spans="1:6" ht="12.65" customHeight="1" x14ac:dyDescent="0.3">
      <c r="A25" s="198" t="s">
        <v>1234</v>
      </c>
      <c r="C25" s="235"/>
    </row>
    <row r="26" spans="1:6" ht="12.65" customHeight="1" x14ac:dyDescent="0.3">
      <c r="A26" s="199" t="s">
        <v>4</v>
      </c>
      <c r="C26" s="235"/>
    </row>
    <row r="27" spans="1:6" ht="12.65" customHeight="1" x14ac:dyDescent="0.3">
      <c r="A27" s="198" t="s">
        <v>1235</v>
      </c>
      <c r="C27" s="235"/>
    </row>
    <row r="28" spans="1:6" ht="12.65" customHeight="1" x14ac:dyDescent="0.3">
      <c r="A28" s="199" t="s">
        <v>5</v>
      </c>
      <c r="C28" s="235"/>
    </row>
    <row r="29" spans="1:6" ht="12.65" customHeight="1" x14ac:dyDescent="0.3">
      <c r="A29" s="198"/>
      <c r="C29" s="235"/>
    </row>
    <row r="30" spans="1:6" ht="12.65" customHeight="1" x14ac:dyDescent="0.3">
      <c r="A30" s="180" t="s">
        <v>6</v>
      </c>
      <c r="C30" s="235"/>
    </row>
    <row r="31" spans="1:6" ht="12.65" customHeight="1" x14ac:dyDescent="0.3">
      <c r="A31" s="199" t="s">
        <v>7</v>
      </c>
      <c r="C31" s="235"/>
    </row>
    <row r="32" spans="1:6" ht="12.65" customHeight="1" x14ac:dyDescent="0.3">
      <c r="A32" s="199" t="s">
        <v>8</v>
      </c>
      <c r="C32" s="235"/>
    </row>
    <row r="33" spans="1:83" ht="12.65" customHeight="1" x14ac:dyDescent="0.3">
      <c r="A33" s="198" t="s">
        <v>1236</v>
      </c>
      <c r="C33" s="235"/>
    </row>
    <row r="34" spans="1:83" ht="12.65" customHeight="1" x14ac:dyDescent="0.3">
      <c r="A34" s="199" t="s">
        <v>9</v>
      </c>
      <c r="C34" s="235"/>
    </row>
    <row r="35" spans="1:83" ht="12.65" customHeight="1" x14ac:dyDescent="0.3">
      <c r="A35" s="199"/>
      <c r="C35" s="235"/>
    </row>
    <row r="36" spans="1:83" ht="12.65" customHeight="1" x14ac:dyDescent="0.3">
      <c r="A36" s="198" t="s">
        <v>1237</v>
      </c>
      <c r="C36" s="235"/>
    </row>
    <row r="37" spans="1:83" ht="12.65" customHeight="1" x14ac:dyDescent="0.3">
      <c r="A37" s="199" t="s">
        <v>1229</v>
      </c>
      <c r="C37" s="235"/>
    </row>
    <row r="38" spans="1:83" ht="12" customHeight="1" x14ac:dyDescent="0.3">
      <c r="A38" s="198"/>
      <c r="C38" s="235"/>
    </row>
    <row r="39" spans="1:83" ht="12.65" customHeight="1" x14ac:dyDescent="0.3">
      <c r="A39" s="199"/>
      <c r="C39" s="235"/>
    </row>
    <row r="40" spans="1:83" ht="12" customHeight="1" x14ac:dyDescent="0.3">
      <c r="A40" s="199"/>
      <c r="C40" s="235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5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">
      <c r="A48" s="175" t="s">
        <v>205</v>
      </c>
      <c r="B48" s="183">
        <v>4000624.8200000008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2304456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-481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85652</v>
      </c>
      <c r="AC48" s="195">
        <f>ROUND(((B48/CE61)*AC61),0)</f>
        <v>54303</v>
      </c>
      <c r="AD48" s="195">
        <f>ROUND(((B48/CE61)*AD61),0)</f>
        <v>0</v>
      </c>
      <c r="AE48" s="195">
        <f>ROUND(((B48/CE61)*AE61),0)</f>
        <v>249281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5214</v>
      </c>
      <c r="AK48" s="195">
        <f>ROUND(((B48/CE61)*AK61),0)</f>
        <v>169416</v>
      </c>
      <c r="AL48" s="195">
        <f>ROUND(((B48/CE61)*AL61),0)</f>
        <v>62710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17859</v>
      </c>
      <c r="AX48" s="195">
        <f>ROUND(((B48/CE61)*AX61),0)</f>
        <v>0</v>
      </c>
      <c r="AY48" s="195">
        <f>ROUND(((B48/CE61)*AY61),0)</f>
        <v>107945</v>
      </c>
      <c r="AZ48" s="195">
        <f>ROUND(((B48/CE61)*AZ61),0)</f>
        <v>0</v>
      </c>
      <c r="BA48" s="195">
        <f>ROUND(((B48/CE61)*BA61),0)</f>
        <v>4019</v>
      </c>
      <c r="BB48" s="195">
        <f>ROUND(((B48/CE61)*BB61),0)</f>
        <v>77022</v>
      </c>
      <c r="BC48" s="195">
        <f>ROUND(((B48/CE61)*BC61),0)</f>
        <v>6688</v>
      </c>
      <c r="BD48" s="195">
        <f>ROUND(((B48/CE61)*BD61),0)</f>
        <v>0</v>
      </c>
      <c r="BE48" s="195">
        <f>ROUND(((B48/CE61)*BE61),0)</f>
        <v>179460</v>
      </c>
      <c r="BF48" s="195">
        <f>ROUND(((B48/CE61)*BF61),0)</f>
        <v>0</v>
      </c>
      <c r="BG48" s="195">
        <f>ROUND(((B48/CE61)*BG61),0)</f>
        <v>8146</v>
      </c>
      <c r="BH48" s="195">
        <f>ROUND(((B48/CE61)*BH61),0)</f>
        <v>30652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321993</v>
      </c>
      <c r="BO48" s="195">
        <f>ROUND(((B48/CE61)*BO61),0)</f>
        <v>30</v>
      </c>
      <c r="BP48" s="195">
        <f>ROUND(((B48/CE61)*BP61),0)</f>
        <v>-16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11951</v>
      </c>
      <c r="BU48" s="195">
        <f>ROUND(((B48/CE61)*BU61),0)</f>
        <v>0</v>
      </c>
      <c r="BV48" s="195">
        <f>ROUND(((B48/CE61)*BV61),0)</f>
        <v>23841</v>
      </c>
      <c r="BW48" s="195">
        <f>ROUND(((B48/CE61)*BW61),0)</f>
        <v>112</v>
      </c>
      <c r="BX48" s="195">
        <f>ROUND(((B48/CE61)*BX61),0)</f>
        <v>0</v>
      </c>
      <c r="BY48" s="195">
        <f>ROUND(((B48/CE61)*BY61),0)</f>
        <v>192869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87505</v>
      </c>
      <c r="CC48" s="195">
        <f>ROUND(((B48/CE61)*CC61),0)</f>
        <v>0</v>
      </c>
      <c r="CD48" s="195"/>
      <c r="CE48" s="195">
        <f>SUM(C48:CD48)</f>
        <v>4000627</v>
      </c>
    </row>
    <row r="49" spans="1:84" ht="12.65" customHeight="1" x14ac:dyDescent="0.3">
      <c r="A49" s="175" t="s">
        <v>206</v>
      </c>
      <c r="B49" s="195">
        <f>B47+B48</f>
        <v>4000624.8200000008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">
      <c r="A52" s="171" t="s">
        <v>208</v>
      </c>
      <c r="B52" s="184">
        <v>1273194.6599999999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253726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7435</v>
      </c>
      <c r="AC52" s="195">
        <f>ROUND((B52/(CE76+CF76)*AC76),0)</f>
        <v>3939</v>
      </c>
      <c r="AD52" s="195">
        <f>ROUND((B52/(CE76+CF76)*AD76),0)</f>
        <v>0</v>
      </c>
      <c r="AE52" s="195">
        <f>ROUND((B52/(CE76+CF76)*AE76),0)</f>
        <v>69676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135821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133486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24874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32140</v>
      </c>
      <c r="AZ52" s="195">
        <f>ROUND((B52/(CE76+CF76)*AZ76),0)</f>
        <v>12134</v>
      </c>
      <c r="BA52" s="195">
        <f>ROUND((B52/(CE76+CF76)*BA76),0)</f>
        <v>7295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381085</v>
      </c>
      <c r="BF52" s="195">
        <f>ROUND((B52/(CE76+CF76)*BF76),0)</f>
        <v>3644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103632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9708</v>
      </c>
      <c r="BW52" s="195">
        <f>ROUND((B52/(CE76+CF76)*BW76),0)</f>
        <v>65913</v>
      </c>
      <c r="BX52" s="195">
        <f>ROUND((B52/(CE76+CF76)*BX76),0)</f>
        <v>10517</v>
      </c>
      <c r="BY52" s="195">
        <f>ROUND((B52/(CE76+CF76)*BY76),0)</f>
        <v>15497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2673</v>
      </c>
      <c r="CD52" s="195"/>
      <c r="CE52" s="195">
        <f>SUM(C52:CD52)</f>
        <v>1273195</v>
      </c>
    </row>
    <row r="53" spans="1:84" ht="12.65" customHeight="1" x14ac:dyDescent="0.3">
      <c r="A53" s="175" t="s">
        <v>206</v>
      </c>
      <c r="B53" s="195">
        <f>B51+B52</f>
        <v>1273194.6599999999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>
        <v>0</v>
      </c>
      <c r="D59" s="184">
        <v>0</v>
      </c>
      <c r="E59" s="184">
        <v>0</v>
      </c>
      <c r="F59" s="184">
        <v>0</v>
      </c>
      <c r="G59" s="184">
        <f>17036.147027199+278</f>
        <v>17314.147027199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180994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>
        <v>0</v>
      </c>
      <c r="D60" s="187">
        <v>0</v>
      </c>
      <c r="E60" s="187">
        <v>0</v>
      </c>
      <c r="F60" s="223">
        <v>0</v>
      </c>
      <c r="G60" s="187">
        <f>260.67+1.97</f>
        <v>262.64000000000004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0</v>
      </c>
      <c r="Q60" s="221">
        <v>0</v>
      </c>
      <c r="R60" s="221">
        <v>0</v>
      </c>
      <c r="S60" s="221">
        <v>0</v>
      </c>
      <c r="T60" s="221">
        <v>0</v>
      </c>
      <c r="U60" s="221">
        <v>0</v>
      </c>
      <c r="V60" s="221">
        <v>0</v>
      </c>
      <c r="W60" s="221">
        <v>0</v>
      </c>
      <c r="X60" s="221">
        <v>0</v>
      </c>
      <c r="Y60" s="221">
        <v>0</v>
      </c>
      <c r="Z60" s="221">
        <v>0</v>
      </c>
      <c r="AA60" s="221">
        <v>0</v>
      </c>
      <c r="AB60" s="221">
        <v>6.9</v>
      </c>
      <c r="AC60" s="221">
        <v>5.7600000000000007</v>
      </c>
      <c r="AD60" s="221">
        <v>0</v>
      </c>
      <c r="AE60" s="221">
        <v>30.169999999999998</v>
      </c>
      <c r="AF60" s="221">
        <v>0</v>
      </c>
      <c r="AG60" s="221">
        <v>0</v>
      </c>
      <c r="AH60" s="221">
        <v>0</v>
      </c>
      <c r="AI60" s="221">
        <v>0</v>
      </c>
      <c r="AJ60" s="221">
        <v>0.37</v>
      </c>
      <c r="AK60" s="221">
        <v>19.420000000000002</v>
      </c>
      <c r="AL60" s="221">
        <v>6.12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1</v>
      </c>
      <c r="AX60" s="221">
        <v>0</v>
      </c>
      <c r="AY60" s="221">
        <v>20.88</v>
      </c>
      <c r="AZ60" s="221">
        <v>0</v>
      </c>
      <c r="BA60" s="221">
        <v>0.89</v>
      </c>
      <c r="BB60" s="221">
        <v>7.03</v>
      </c>
      <c r="BC60" s="221">
        <v>1.5300000000000002</v>
      </c>
      <c r="BD60" s="221">
        <v>0</v>
      </c>
      <c r="BE60" s="221">
        <v>30.879999999999995</v>
      </c>
      <c r="BF60" s="221">
        <v>0</v>
      </c>
      <c r="BG60" s="221">
        <v>1.61</v>
      </c>
      <c r="BH60" s="221">
        <v>3.8099999999999996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37.880000000000003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1.58</v>
      </c>
      <c r="BU60" s="221">
        <v>0</v>
      </c>
      <c r="BV60" s="221">
        <v>3.91</v>
      </c>
      <c r="BW60" s="221">
        <v>0.02</v>
      </c>
      <c r="BX60" s="221">
        <v>0</v>
      </c>
      <c r="BY60" s="221">
        <v>16.969999999999995</v>
      </c>
      <c r="BZ60" s="221">
        <v>0</v>
      </c>
      <c r="CA60" s="221">
        <v>0</v>
      </c>
      <c r="CB60" s="221">
        <v>11.530000000000001</v>
      </c>
      <c r="CC60" s="221">
        <v>-0.63</v>
      </c>
      <c r="CD60" s="249" t="s">
        <v>221</v>
      </c>
      <c r="CE60" s="251">
        <f t="shared" ref="CE60:CE70" si="0">SUM(C60:CD60)</f>
        <v>470.27</v>
      </c>
    </row>
    <row r="61" spans="1:84" ht="12.65" customHeight="1" x14ac:dyDescent="0.3">
      <c r="A61" s="171" t="s">
        <v>235</v>
      </c>
      <c r="B61" s="175"/>
      <c r="C61" s="184">
        <v>0</v>
      </c>
      <c r="D61" s="184">
        <v>0</v>
      </c>
      <c r="E61" s="184">
        <v>0</v>
      </c>
      <c r="F61" s="185">
        <v>0</v>
      </c>
      <c r="G61" s="184">
        <f>20741540.43+217376</f>
        <v>20958916.43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0</v>
      </c>
      <c r="Q61" s="185">
        <v>0</v>
      </c>
      <c r="R61" s="185">
        <v>0</v>
      </c>
      <c r="S61" s="185">
        <v>-4375.12</v>
      </c>
      <c r="T61" s="185">
        <v>0</v>
      </c>
      <c r="U61" s="185">
        <v>0</v>
      </c>
      <c r="V61" s="185">
        <v>0</v>
      </c>
      <c r="W61" s="185">
        <v>0</v>
      </c>
      <c r="X61" s="185">
        <v>0</v>
      </c>
      <c r="Y61" s="185">
        <v>0</v>
      </c>
      <c r="Z61" s="185">
        <v>0</v>
      </c>
      <c r="AA61" s="185">
        <v>0</v>
      </c>
      <c r="AB61" s="185">
        <v>778997</v>
      </c>
      <c r="AC61" s="185">
        <v>493879.18000000005</v>
      </c>
      <c r="AD61" s="185">
        <v>0</v>
      </c>
      <c r="AE61" s="185">
        <v>2267200.2799999998</v>
      </c>
      <c r="AF61" s="185">
        <v>0</v>
      </c>
      <c r="AG61" s="185">
        <v>0</v>
      </c>
      <c r="AH61" s="185">
        <v>0</v>
      </c>
      <c r="AI61" s="185">
        <v>0</v>
      </c>
      <c r="AJ61" s="185">
        <v>47418.11</v>
      </c>
      <c r="AK61" s="185">
        <v>1540828.1099999999</v>
      </c>
      <c r="AL61" s="185">
        <v>570342.48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162424.75</v>
      </c>
      <c r="AX61" s="185">
        <v>0</v>
      </c>
      <c r="AY61" s="185">
        <v>981758.09999999974</v>
      </c>
      <c r="AZ61" s="185">
        <v>0</v>
      </c>
      <c r="BA61" s="185">
        <v>36550.050000000003</v>
      </c>
      <c r="BB61" s="185">
        <v>700515.53999999992</v>
      </c>
      <c r="BC61" s="185">
        <v>60831.569999999992</v>
      </c>
      <c r="BD61" s="185">
        <v>0</v>
      </c>
      <c r="BE61" s="185">
        <v>1632178.33</v>
      </c>
      <c r="BF61" s="185">
        <v>0</v>
      </c>
      <c r="BG61" s="185">
        <v>74084.38</v>
      </c>
      <c r="BH61" s="185">
        <v>278782.79000000004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2928506.71</v>
      </c>
      <c r="BO61" s="185">
        <v>269.57</v>
      </c>
      <c r="BP61" s="185">
        <v>-148.38999999999999</v>
      </c>
      <c r="BQ61" s="185">
        <v>0</v>
      </c>
      <c r="BR61" s="185">
        <v>0</v>
      </c>
      <c r="BS61" s="185">
        <v>0</v>
      </c>
      <c r="BT61" s="185">
        <v>108697.29999999999</v>
      </c>
      <c r="BU61" s="185">
        <v>0</v>
      </c>
      <c r="BV61" s="185">
        <v>216834.61</v>
      </c>
      <c r="BW61" s="185">
        <v>1015.1200000000001</v>
      </c>
      <c r="BX61" s="185">
        <v>0</v>
      </c>
      <c r="BY61" s="185">
        <v>1754134.9600000002</v>
      </c>
      <c r="BZ61" s="185">
        <v>0</v>
      </c>
      <c r="CA61" s="185">
        <v>0</v>
      </c>
      <c r="CB61" s="185">
        <v>795851.29999999981</v>
      </c>
      <c r="CC61" s="185">
        <v>0</v>
      </c>
      <c r="CD61" s="249" t="s">
        <v>221</v>
      </c>
      <c r="CE61" s="195">
        <f t="shared" si="0"/>
        <v>36385493.159999996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2304456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-481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85652</v>
      </c>
      <c r="AC62" s="195">
        <f t="shared" si="1"/>
        <v>54303</v>
      </c>
      <c r="AD62" s="195">
        <f t="shared" si="1"/>
        <v>0</v>
      </c>
      <c r="AE62" s="195">
        <f t="shared" si="1"/>
        <v>249281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5214</v>
      </c>
      <c r="AK62" s="195">
        <f t="shared" si="1"/>
        <v>169416</v>
      </c>
      <c r="AL62" s="195">
        <f t="shared" si="1"/>
        <v>62710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17859</v>
      </c>
      <c r="AX62" s="195">
        <f t="shared" si="1"/>
        <v>0</v>
      </c>
      <c r="AY62" s="195">
        <f>ROUND(AY47+AY48,0)</f>
        <v>107945</v>
      </c>
      <c r="AZ62" s="195">
        <f>ROUND(AZ47+AZ48,0)</f>
        <v>0</v>
      </c>
      <c r="BA62" s="195">
        <f>ROUND(BA47+BA48,0)</f>
        <v>4019</v>
      </c>
      <c r="BB62" s="195">
        <f t="shared" si="1"/>
        <v>77022</v>
      </c>
      <c r="BC62" s="195">
        <f t="shared" si="1"/>
        <v>6688</v>
      </c>
      <c r="BD62" s="195">
        <f t="shared" si="1"/>
        <v>0</v>
      </c>
      <c r="BE62" s="195">
        <f t="shared" si="1"/>
        <v>179460</v>
      </c>
      <c r="BF62" s="195">
        <f t="shared" si="1"/>
        <v>0</v>
      </c>
      <c r="BG62" s="195">
        <f t="shared" si="1"/>
        <v>8146</v>
      </c>
      <c r="BH62" s="195">
        <f t="shared" si="1"/>
        <v>30652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321993</v>
      </c>
      <c r="BO62" s="195">
        <f t="shared" ref="BO62:CC62" si="2">ROUND(BO47+BO48,0)</f>
        <v>30</v>
      </c>
      <c r="BP62" s="195">
        <f t="shared" si="2"/>
        <v>-16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11951</v>
      </c>
      <c r="BU62" s="195">
        <f t="shared" si="2"/>
        <v>0</v>
      </c>
      <c r="BV62" s="195">
        <f t="shared" si="2"/>
        <v>23841</v>
      </c>
      <c r="BW62" s="195">
        <f t="shared" si="2"/>
        <v>112</v>
      </c>
      <c r="BX62" s="195">
        <f t="shared" si="2"/>
        <v>0</v>
      </c>
      <c r="BY62" s="195">
        <f t="shared" si="2"/>
        <v>192869</v>
      </c>
      <c r="BZ62" s="195">
        <f t="shared" si="2"/>
        <v>0</v>
      </c>
      <c r="CA62" s="195">
        <f t="shared" si="2"/>
        <v>0</v>
      </c>
      <c r="CB62" s="195">
        <f t="shared" si="2"/>
        <v>87505</v>
      </c>
      <c r="CC62" s="195">
        <f t="shared" si="2"/>
        <v>0</v>
      </c>
      <c r="CD62" s="249" t="s">
        <v>221</v>
      </c>
      <c r="CE62" s="195">
        <f t="shared" si="0"/>
        <v>4000627</v>
      </c>
      <c r="CF62" s="252"/>
    </row>
    <row r="63" spans="1:84" ht="12.65" customHeight="1" x14ac:dyDescent="0.3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211655.34999999998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42465.55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9" t="s">
        <v>221</v>
      </c>
      <c r="CE63" s="195">
        <f t="shared" si="0"/>
        <v>254120.89999999997</v>
      </c>
      <c r="CF63" s="252"/>
    </row>
    <row r="64" spans="1:84" ht="12.65" customHeight="1" x14ac:dyDescent="0.3">
      <c r="A64" s="171" t="s">
        <v>237</v>
      </c>
      <c r="B64" s="175"/>
      <c r="C64" s="184">
        <v>0</v>
      </c>
      <c r="D64" s="184">
        <v>0</v>
      </c>
      <c r="E64" s="185">
        <v>0</v>
      </c>
      <c r="F64" s="185">
        <v>0</v>
      </c>
      <c r="G64" s="184">
        <f>470761.85+2082</f>
        <v>472843.85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0</v>
      </c>
      <c r="Q64" s="185">
        <v>0</v>
      </c>
      <c r="R64" s="185">
        <v>0</v>
      </c>
      <c r="S64" s="185">
        <v>33289.17</v>
      </c>
      <c r="T64" s="185">
        <v>0</v>
      </c>
      <c r="U64" s="185">
        <v>23394.01</v>
      </c>
      <c r="V64" s="185">
        <v>0</v>
      </c>
      <c r="W64" s="185">
        <v>0</v>
      </c>
      <c r="X64" s="185">
        <v>0</v>
      </c>
      <c r="Y64" s="185">
        <v>0</v>
      </c>
      <c r="Z64" s="185">
        <v>0</v>
      </c>
      <c r="AA64" s="185">
        <v>0</v>
      </c>
      <c r="AB64" s="185">
        <v>497395.45999999996</v>
      </c>
      <c r="AC64" s="185">
        <v>52803.549999999996</v>
      </c>
      <c r="AD64" s="185">
        <v>0</v>
      </c>
      <c r="AE64" s="185">
        <v>36916.31</v>
      </c>
      <c r="AF64" s="185">
        <v>0</v>
      </c>
      <c r="AG64" s="185">
        <v>0</v>
      </c>
      <c r="AH64" s="185">
        <v>0</v>
      </c>
      <c r="AI64" s="185">
        <v>0</v>
      </c>
      <c r="AJ64" s="185">
        <v>386.14</v>
      </c>
      <c r="AK64" s="185">
        <v>22979.579999999998</v>
      </c>
      <c r="AL64" s="185">
        <v>6036.7599999999993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3989.3900000000003</v>
      </c>
      <c r="AX64" s="185">
        <v>0</v>
      </c>
      <c r="AY64" s="185">
        <v>248985.30000000005</v>
      </c>
      <c r="AZ64" s="185">
        <v>76.25</v>
      </c>
      <c r="BA64" s="185">
        <v>6743.68</v>
      </c>
      <c r="BB64" s="185">
        <v>673</v>
      </c>
      <c r="BC64" s="185">
        <v>1188.8600000000001</v>
      </c>
      <c r="BD64" s="185">
        <v>0</v>
      </c>
      <c r="BE64" s="185">
        <v>82324.220000000016</v>
      </c>
      <c r="BF64" s="185">
        <v>0</v>
      </c>
      <c r="BG64" s="185">
        <v>913.05000000000007</v>
      </c>
      <c r="BH64" s="185">
        <v>94495.319999999992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26713.619999999992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1482.1</v>
      </c>
      <c r="BW64" s="185">
        <v>30.18</v>
      </c>
      <c r="BX64" s="185">
        <v>0</v>
      </c>
      <c r="BY64" s="185">
        <v>40617.799999999996</v>
      </c>
      <c r="BZ64" s="185">
        <v>0</v>
      </c>
      <c r="CA64" s="185">
        <v>0</v>
      </c>
      <c r="CB64" s="185">
        <v>493.46999999999991</v>
      </c>
      <c r="CC64" s="185">
        <v>0</v>
      </c>
      <c r="CD64" s="249" t="s">
        <v>221</v>
      </c>
      <c r="CE64" s="195">
        <f t="shared" si="0"/>
        <v>1654771.0699999998</v>
      </c>
      <c r="CF64" s="252"/>
    </row>
    <row r="65" spans="1:84" ht="12.65" customHeight="1" x14ac:dyDescent="0.3">
      <c r="A65" s="171" t="s">
        <v>238</v>
      </c>
      <c r="B65" s="175"/>
      <c r="C65" s="184">
        <v>0</v>
      </c>
      <c r="D65" s="184">
        <v>0</v>
      </c>
      <c r="E65" s="184">
        <v>0</v>
      </c>
      <c r="F65" s="184">
        <v>0</v>
      </c>
      <c r="G65" s="184">
        <f>53071.73+508</f>
        <v>53579.73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0</v>
      </c>
      <c r="Q65" s="185">
        <v>0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0</v>
      </c>
      <c r="AC65" s="185">
        <v>156.01999999999998</v>
      </c>
      <c r="AD65" s="185">
        <v>0</v>
      </c>
      <c r="AE65" s="185">
        <v>155.66</v>
      </c>
      <c r="AF65" s="185">
        <v>0</v>
      </c>
      <c r="AG65" s="185">
        <v>0</v>
      </c>
      <c r="AH65" s="185">
        <v>0</v>
      </c>
      <c r="AI65" s="185">
        <v>0</v>
      </c>
      <c r="AJ65" s="185">
        <v>0</v>
      </c>
      <c r="AK65" s="185">
        <v>254.19000000000003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250</v>
      </c>
      <c r="BC65" s="185">
        <v>156.01999999999998</v>
      </c>
      <c r="BD65" s="185">
        <v>0</v>
      </c>
      <c r="BE65" s="185">
        <v>455192.97999999992</v>
      </c>
      <c r="BF65" s="185">
        <v>0</v>
      </c>
      <c r="BG65" s="185">
        <v>30928.339999999997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65891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950</v>
      </c>
      <c r="BW65" s="185">
        <v>0</v>
      </c>
      <c r="BX65" s="185">
        <v>0</v>
      </c>
      <c r="BY65" s="185">
        <v>4052.29</v>
      </c>
      <c r="BZ65" s="185">
        <v>0</v>
      </c>
      <c r="CA65" s="185">
        <v>0</v>
      </c>
      <c r="CB65" s="185">
        <v>11490.2</v>
      </c>
      <c r="CC65" s="185">
        <v>0</v>
      </c>
      <c r="CD65" s="249" t="s">
        <v>221</v>
      </c>
      <c r="CE65" s="195">
        <f t="shared" si="0"/>
        <v>623056.42999999993</v>
      </c>
      <c r="CF65" s="252"/>
    </row>
    <row r="66" spans="1:84" ht="12.65" customHeight="1" x14ac:dyDescent="0.3">
      <c r="A66" s="171" t="s">
        <v>239</v>
      </c>
      <c r="B66" s="175"/>
      <c r="C66" s="184">
        <v>0</v>
      </c>
      <c r="D66" s="184">
        <v>0</v>
      </c>
      <c r="E66" s="184">
        <v>0</v>
      </c>
      <c r="F66" s="184">
        <v>0</v>
      </c>
      <c r="G66" s="184">
        <v>283769.75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0</v>
      </c>
      <c r="Q66" s="185">
        <v>0</v>
      </c>
      <c r="R66" s="185">
        <v>0</v>
      </c>
      <c r="S66" s="184">
        <v>9020.5299999999988</v>
      </c>
      <c r="T66" s="184">
        <v>0</v>
      </c>
      <c r="U66" s="185">
        <v>121338.58000000002</v>
      </c>
      <c r="V66" s="185">
        <v>0</v>
      </c>
      <c r="W66" s="185">
        <v>0</v>
      </c>
      <c r="X66" s="185">
        <v>0</v>
      </c>
      <c r="Y66" s="185">
        <v>0</v>
      </c>
      <c r="Z66" s="185">
        <v>0</v>
      </c>
      <c r="AA66" s="185">
        <v>0</v>
      </c>
      <c r="AB66" s="185">
        <v>5936.579999999999</v>
      </c>
      <c r="AC66" s="185">
        <v>56.480000000000004</v>
      </c>
      <c r="AD66" s="185">
        <v>0</v>
      </c>
      <c r="AE66" s="185">
        <v>3079.6099999999997</v>
      </c>
      <c r="AF66" s="185">
        <v>0</v>
      </c>
      <c r="AG66" s="185">
        <v>0</v>
      </c>
      <c r="AH66" s="185">
        <v>0</v>
      </c>
      <c r="AI66" s="185">
        <v>0</v>
      </c>
      <c r="AJ66" s="185">
        <v>0</v>
      </c>
      <c r="AK66" s="185">
        <v>914.63</v>
      </c>
      <c r="AL66" s="185">
        <v>344.58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20.41</v>
      </c>
      <c r="AX66" s="185">
        <v>0</v>
      </c>
      <c r="AY66" s="185">
        <v>214197.12</v>
      </c>
      <c r="AZ66" s="185">
        <v>748.40000000000146</v>
      </c>
      <c r="BA66" s="185">
        <v>89968.2</v>
      </c>
      <c r="BB66" s="185">
        <v>65.13</v>
      </c>
      <c r="BC66" s="185">
        <v>32065.409999999993</v>
      </c>
      <c r="BD66" s="185">
        <v>0</v>
      </c>
      <c r="BE66" s="185">
        <v>449026.18000000005</v>
      </c>
      <c r="BF66" s="185">
        <v>0</v>
      </c>
      <c r="BG66" s="185">
        <v>50482.14</v>
      </c>
      <c r="BH66" s="185">
        <v>71847.990000000005</v>
      </c>
      <c r="BI66" s="185">
        <v>0</v>
      </c>
      <c r="BJ66" s="185">
        <v>476821.87</v>
      </c>
      <c r="BK66" s="185">
        <v>0</v>
      </c>
      <c r="BL66" s="185">
        <v>0</v>
      </c>
      <c r="BM66" s="185">
        <v>0</v>
      </c>
      <c r="BN66" s="185">
        <v>1945664.5299999996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22814.62</v>
      </c>
      <c r="BW66" s="185">
        <v>1024243.4200000002</v>
      </c>
      <c r="BX66" s="185">
        <v>0</v>
      </c>
      <c r="BY66" s="185">
        <v>300552.32000000001</v>
      </c>
      <c r="BZ66" s="185">
        <v>0</v>
      </c>
      <c r="CA66" s="185">
        <v>331135.45</v>
      </c>
      <c r="CB66" s="185">
        <v>17745.930000000004</v>
      </c>
      <c r="CC66" s="185">
        <v>578.54</v>
      </c>
      <c r="CD66" s="249" t="s">
        <v>221</v>
      </c>
      <c r="CE66" s="195">
        <f t="shared" si="0"/>
        <v>5452438.3999999994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253726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7435</v>
      </c>
      <c r="AC67" s="195">
        <f t="shared" si="3"/>
        <v>3939</v>
      </c>
      <c r="AD67" s="195">
        <f t="shared" si="3"/>
        <v>0</v>
      </c>
      <c r="AE67" s="195">
        <f t="shared" si="3"/>
        <v>69676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135821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133486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24874</v>
      </c>
      <c r="AW67" s="195">
        <f t="shared" si="3"/>
        <v>0</v>
      </c>
      <c r="AX67" s="195">
        <f t="shared" si="3"/>
        <v>0</v>
      </c>
      <c r="AY67" s="195">
        <f t="shared" si="3"/>
        <v>32140</v>
      </c>
      <c r="AZ67" s="195">
        <f>ROUND(AZ51+AZ52,0)</f>
        <v>12134</v>
      </c>
      <c r="BA67" s="195">
        <f>ROUND(BA51+BA52,0)</f>
        <v>7295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381085</v>
      </c>
      <c r="BF67" s="195">
        <f t="shared" si="3"/>
        <v>3644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103632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9708</v>
      </c>
      <c r="BW67" s="195">
        <f t="shared" si="4"/>
        <v>65913</v>
      </c>
      <c r="BX67" s="195">
        <f t="shared" si="4"/>
        <v>10517</v>
      </c>
      <c r="BY67" s="195">
        <f t="shared" si="4"/>
        <v>15497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2673</v>
      </c>
      <c r="CD67" s="249" t="s">
        <v>221</v>
      </c>
      <c r="CE67" s="195">
        <f t="shared" si="0"/>
        <v>1273195</v>
      </c>
      <c r="CF67" s="252"/>
    </row>
    <row r="68" spans="1:84" ht="12.65" customHeight="1" x14ac:dyDescent="0.3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354871.76999999996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0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24128.260000000002</v>
      </c>
      <c r="AC68" s="185">
        <v>11533.98</v>
      </c>
      <c r="AD68" s="185">
        <v>0</v>
      </c>
      <c r="AE68" s="185">
        <v>57.52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1401.25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1125792.6699999997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9" t="s">
        <v>221</v>
      </c>
      <c r="CE68" s="195">
        <f t="shared" si="0"/>
        <v>1517785.4499999997</v>
      </c>
      <c r="CF68" s="252"/>
    </row>
    <row r="69" spans="1:84" ht="12.65" customHeight="1" x14ac:dyDescent="0.3">
      <c r="A69" s="171" t="s">
        <v>241</v>
      </c>
      <c r="B69" s="175"/>
      <c r="C69" s="184">
        <v>0</v>
      </c>
      <c r="D69" s="184">
        <v>0</v>
      </c>
      <c r="E69" s="185">
        <v>0</v>
      </c>
      <c r="F69" s="185">
        <v>0</v>
      </c>
      <c r="G69" s="184">
        <f>75899.04+725</f>
        <v>76624.039999999994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0</v>
      </c>
      <c r="Q69" s="185">
        <v>0</v>
      </c>
      <c r="R69" s="224">
        <v>0</v>
      </c>
      <c r="S69" s="185">
        <v>153014.04999999999</v>
      </c>
      <c r="T69" s="184">
        <v>0</v>
      </c>
      <c r="U69" s="185">
        <v>0</v>
      </c>
      <c r="V69" s="185">
        <v>0</v>
      </c>
      <c r="W69" s="184">
        <v>0</v>
      </c>
      <c r="X69" s="185">
        <v>0</v>
      </c>
      <c r="Y69" s="185">
        <v>15339.050000000001</v>
      </c>
      <c r="Z69" s="185">
        <v>0</v>
      </c>
      <c r="AA69" s="185">
        <v>0</v>
      </c>
      <c r="AB69" s="185">
        <v>550.80999999999995</v>
      </c>
      <c r="AC69" s="185">
        <v>2178.88</v>
      </c>
      <c r="AD69" s="185">
        <v>0</v>
      </c>
      <c r="AE69" s="185">
        <v>16233.560000000003</v>
      </c>
      <c r="AF69" s="185">
        <v>0</v>
      </c>
      <c r="AG69" s="185">
        <v>0</v>
      </c>
      <c r="AH69" s="185">
        <v>0</v>
      </c>
      <c r="AI69" s="185">
        <v>0</v>
      </c>
      <c r="AJ69" s="185">
        <v>0</v>
      </c>
      <c r="AK69" s="185">
        <v>26181.449999999997</v>
      </c>
      <c r="AL69" s="185">
        <v>2263.15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1308.1799999999998</v>
      </c>
      <c r="AX69" s="185">
        <v>0</v>
      </c>
      <c r="AY69" s="185">
        <v>15817.66</v>
      </c>
      <c r="AZ69" s="185">
        <v>0</v>
      </c>
      <c r="BA69" s="185">
        <v>0</v>
      </c>
      <c r="BB69" s="185">
        <v>1270.22</v>
      </c>
      <c r="BC69" s="185">
        <v>0</v>
      </c>
      <c r="BD69" s="185">
        <v>0</v>
      </c>
      <c r="BE69" s="185">
        <v>13540.480000000001</v>
      </c>
      <c r="BF69" s="185">
        <v>0</v>
      </c>
      <c r="BG69" s="185">
        <v>0</v>
      </c>
      <c r="BH69" s="224">
        <v>8133.69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384832.51000000007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933.84</v>
      </c>
      <c r="BW69" s="185">
        <v>0</v>
      </c>
      <c r="BX69" s="185">
        <v>0</v>
      </c>
      <c r="BY69" s="185">
        <v>20538.97</v>
      </c>
      <c r="BZ69" s="185">
        <v>0</v>
      </c>
      <c r="CA69" s="185">
        <v>0</v>
      </c>
      <c r="CB69" s="185">
        <v>36822.19</v>
      </c>
      <c r="CC69" s="185">
        <v>0</v>
      </c>
      <c r="CD69" s="188">
        <v>1402912.6800000002</v>
      </c>
      <c r="CE69" s="195">
        <f t="shared" si="0"/>
        <v>2178495.41</v>
      </c>
      <c r="CF69" s="252"/>
    </row>
    <row r="70" spans="1:84" ht="12.65" customHeight="1" x14ac:dyDescent="0.3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8653690.4399999995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10252.67</v>
      </c>
      <c r="AD70" s="185">
        <v>0</v>
      </c>
      <c r="AE70" s="185">
        <v>255868.06000000003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785.44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65428.729999999996</v>
      </c>
      <c r="AZ70" s="185">
        <v>95107.94</v>
      </c>
      <c r="BA70" s="185">
        <v>0</v>
      </c>
      <c r="BB70" s="185">
        <v>6683.57</v>
      </c>
      <c r="BC70" s="185">
        <v>0</v>
      </c>
      <c r="BD70" s="185">
        <v>0</v>
      </c>
      <c r="BE70" s="185">
        <v>161269.24</v>
      </c>
      <c r="BF70" s="185">
        <v>0</v>
      </c>
      <c r="BG70" s="185">
        <v>3127.62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577712.54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13941.64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1423795.9899999998</v>
      </c>
      <c r="CC70" s="185">
        <v>1584103.88</v>
      </c>
      <c r="CD70" s="188">
        <v>0</v>
      </c>
      <c r="CE70" s="195">
        <f t="shared" si="0"/>
        <v>12851767.760000002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16105097.130000001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190467.63</v>
      </c>
      <c r="T71" s="195">
        <f t="shared" si="5"/>
        <v>0</v>
      </c>
      <c r="U71" s="195">
        <f t="shared" si="5"/>
        <v>144732.59000000003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15339.050000000001</v>
      </c>
      <c r="Z71" s="195">
        <f t="shared" si="5"/>
        <v>0</v>
      </c>
      <c r="AA71" s="195">
        <f t="shared" si="5"/>
        <v>0</v>
      </c>
      <c r="AB71" s="195">
        <f t="shared" si="5"/>
        <v>1400095.11</v>
      </c>
      <c r="AC71" s="195">
        <f t="shared" si="5"/>
        <v>608597.42000000004</v>
      </c>
      <c r="AD71" s="195">
        <f t="shared" si="5"/>
        <v>0</v>
      </c>
      <c r="AE71" s="195">
        <f t="shared" si="5"/>
        <v>2386731.88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188839.25</v>
      </c>
      <c r="AK71" s="195">
        <f t="shared" si="6"/>
        <v>1759788.5199999998</v>
      </c>
      <c r="AL71" s="195">
        <f t="shared" si="6"/>
        <v>641696.97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133486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24874</v>
      </c>
      <c r="AW71" s="195">
        <f t="shared" si="6"/>
        <v>185601.73</v>
      </c>
      <c r="AX71" s="195">
        <f t="shared" si="6"/>
        <v>0</v>
      </c>
      <c r="AY71" s="195">
        <f t="shared" si="6"/>
        <v>1535414.4499999995</v>
      </c>
      <c r="AZ71" s="195">
        <f t="shared" si="6"/>
        <v>-82149.290000000008</v>
      </c>
      <c r="BA71" s="195">
        <f t="shared" si="6"/>
        <v>144575.93</v>
      </c>
      <c r="BB71" s="195">
        <f t="shared" si="6"/>
        <v>773112.31999999995</v>
      </c>
      <c r="BC71" s="195">
        <f t="shared" si="6"/>
        <v>100929.85999999999</v>
      </c>
      <c r="BD71" s="195">
        <f t="shared" si="6"/>
        <v>0</v>
      </c>
      <c r="BE71" s="195">
        <f t="shared" si="6"/>
        <v>3032939.2</v>
      </c>
      <c r="BF71" s="195">
        <f t="shared" si="6"/>
        <v>3644</v>
      </c>
      <c r="BG71" s="195">
        <f t="shared" si="6"/>
        <v>161426.29</v>
      </c>
      <c r="BH71" s="195">
        <f t="shared" si="6"/>
        <v>695567.1399999999</v>
      </c>
      <c r="BI71" s="195">
        <f t="shared" si="6"/>
        <v>0</v>
      </c>
      <c r="BJ71" s="195">
        <f t="shared" si="6"/>
        <v>476821.87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6367779.0499999989</v>
      </c>
      <c r="BO71" s="195">
        <f t="shared" si="6"/>
        <v>299.57</v>
      </c>
      <c r="BP71" s="195">
        <f t="shared" ref="BP71:CC71" si="7">SUM(BP61:BP69)-BP70</f>
        <v>-164.39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120648.29999999999</v>
      </c>
      <c r="BU71" s="195">
        <f t="shared" si="7"/>
        <v>0</v>
      </c>
      <c r="BV71" s="195">
        <f t="shared" si="7"/>
        <v>262622.53000000003</v>
      </c>
      <c r="BW71" s="195">
        <f t="shared" si="7"/>
        <v>1091313.7200000002</v>
      </c>
      <c r="BX71" s="195">
        <f t="shared" si="7"/>
        <v>10517</v>
      </c>
      <c r="BY71" s="195">
        <f t="shared" si="7"/>
        <v>2328262.3400000003</v>
      </c>
      <c r="BZ71" s="195">
        <f t="shared" si="7"/>
        <v>0</v>
      </c>
      <c r="CA71" s="195">
        <f t="shared" si="7"/>
        <v>331135.45</v>
      </c>
      <c r="CB71" s="195">
        <f t="shared" si="7"/>
        <v>-473887.89999999991</v>
      </c>
      <c r="CC71" s="195">
        <f t="shared" si="7"/>
        <v>-1580852.3399999999</v>
      </c>
      <c r="CD71" s="245">
        <f>CD69-CD70</f>
        <v>1402912.6800000002</v>
      </c>
      <c r="CE71" s="195">
        <f>SUM(CE61:CE69)-CE70</f>
        <v>40488215.059999987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>
        <v>0</v>
      </c>
      <c r="D73" s="184">
        <v>0</v>
      </c>
      <c r="E73" s="185">
        <v>0</v>
      </c>
      <c r="F73" s="185">
        <v>0</v>
      </c>
      <c r="G73" s="184">
        <f>33004397.1+598314</f>
        <v>33602711.100000001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0</v>
      </c>
      <c r="Q73" s="185">
        <v>0</v>
      </c>
      <c r="R73" s="185">
        <v>0</v>
      </c>
      <c r="S73" s="185">
        <v>234297.74000000002</v>
      </c>
      <c r="T73" s="185">
        <v>0</v>
      </c>
      <c r="U73" s="185">
        <v>4088820.6499999994</v>
      </c>
      <c r="V73" s="185">
        <v>0</v>
      </c>
      <c r="W73" s="185">
        <v>0</v>
      </c>
      <c r="X73" s="185">
        <v>0</v>
      </c>
      <c r="Y73" s="185">
        <v>413889.07</v>
      </c>
      <c r="Z73" s="185">
        <v>0</v>
      </c>
      <c r="AA73" s="185">
        <v>0</v>
      </c>
      <c r="AB73" s="185">
        <v>3824024.2399999998</v>
      </c>
      <c r="AC73" s="185">
        <v>1969048</v>
      </c>
      <c r="AD73" s="185">
        <v>0</v>
      </c>
      <c r="AE73" s="185">
        <v>7729680</v>
      </c>
      <c r="AF73" s="185">
        <v>0</v>
      </c>
      <c r="AG73" s="185">
        <v>0</v>
      </c>
      <c r="AH73" s="185">
        <v>0</v>
      </c>
      <c r="AI73" s="185">
        <v>0</v>
      </c>
      <c r="AJ73" s="185">
        <v>0</v>
      </c>
      <c r="AK73" s="185">
        <v>10133119</v>
      </c>
      <c r="AL73" s="185">
        <v>2338184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64333773.800000004</v>
      </c>
      <c r="CF73" s="252"/>
    </row>
    <row r="74" spans="1:84" ht="12.65" customHeight="1" x14ac:dyDescent="0.3">
      <c r="A74" s="171" t="s">
        <v>246</v>
      </c>
      <c r="B74" s="175"/>
      <c r="C74" s="184">
        <v>0</v>
      </c>
      <c r="D74" s="184">
        <v>0</v>
      </c>
      <c r="E74" s="185">
        <v>0</v>
      </c>
      <c r="F74" s="185">
        <v>0</v>
      </c>
      <c r="G74" s="184">
        <f>24410443.0863381</f>
        <v>24410443.086338099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0</v>
      </c>
      <c r="Q74" s="185">
        <v>0</v>
      </c>
      <c r="R74" s="185">
        <v>0</v>
      </c>
      <c r="S74" s="185">
        <v>0</v>
      </c>
      <c r="T74" s="185">
        <v>0</v>
      </c>
      <c r="U74" s="185">
        <v>511571</v>
      </c>
      <c r="V74" s="185">
        <v>0</v>
      </c>
      <c r="W74" s="185">
        <v>0</v>
      </c>
      <c r="X74" s="185">
        <v>0</v>
      </c>
      <c r="Y74" s="185">
        <v>0</v>
      </c>
      <c r="Z74" s="185">
        <v>0</v>
      </c>
      <c r="AA74" s="185">
        <v>0</v>
      </c>
      <c r="AB74" s="185">
        <v>0</v>
      </c>
      <c r="AC74" s="185">
        <v>0</v>
      </c>
      <c r="AD74" s="185">
        <v>0</v>
      </c>
      <c r="AE74" s="185">
        <v>0</v>
      </c>
      <c r="AF74" s="185">
        <v>0</v>
      </c>
      <c r="AG74" s="185">
        <v>0</v>
      </c>
      <c r="AH74" s="185">
        <v>0</v>
      </c>
      <c r="AI74" s="185">
        <v>0</v>
      </c>
      <c r="AJ74" s="185">
        <v>75288.399999999994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24997302.486338098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58013154.186338097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234297.74000000002</v>
      </c>
      <c r="T75" s="195">
        <f t="shared" si="9"/>
        <v>0</v>
      </c>
      <c r="U75" s="195">
        <f t="shared" si="9"/>
        <v>4600391.6499999994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413889.07</v>
      </c>
      <c r="Z75" s="195">
        <f t="shared" si="9"/>
        <v>0</v>
      </c>
      <c r="AA75" s="195">
        <f t="shared" si="9"/>
        <v>0</v>
      </c>
      <c r="AB75" s="195">
        <f t="shared" si="9"/>
        <v>3824024.2399999998</v>
      </c>
      <c r="AC75" s="195">
        <f t="shared" si="9"/>
        <v>1969048</v>
      </c>
      <c r="AD75" s="195">
        <f t="shared" si="9"/>
        <v>0</v>
      </c>
      <c r="AE75" s="195">
        <f t="shared" si="9"/>
        <v>7729680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75288.399999999994</v>
      </c>
      <c r="AK75" s="195">
        <f t="shared" si="9"/>
        <v>10133119</v>
      </c>
      <c r="AL75" s="195">
        <f t="shared" si="9"/>
        <v>2338184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89331076.286338106</v>
      </c>
      <c r="CF75" s="252"/>
    </row>
    <row r="76" spans="1:84" ht="12.65" customHeight="1" x14ac:dyDescent="0.3">
      <c r="A76" s="171" t="s">
        <v>248</v>
      </c>
      <c r="B76" s="175"/>
      <c r="C76" s="184">
        <v>0</v>
      </c>
      <c r="D76" s="184">
        <v>0</v>
      </c>
      <c r="E76" s="185">
        <v>0</v>
      </c>
      <c r="F76" s="185">
        <v>0</v>
      </c>
      <c r="G76" s="184">
        <v>36069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0</v>
      </c>
      <c r="Q76" s="185">
        <v>0</v>
      </c>
      <c r="R76" s="185">
        <v>0</v>
      </c>
      <c r="S76" s="185">
        <v>0</v>
      </c>
      <c r="T76" s="185">
        <v>0</v>
      </c>
      <c r="U76" s="185">
        <v>0</v>
      </c>
      <c r="V76" s="185">
        <v>0</v>
      </c>
      <c r="W76" s="185">
        <v>0</v>
      </c>
      <c r="X76" s="185">
        <v>0</v>
      </c>
      <c r="Y76" s="185">
        <v>0</v>
      </c>
      <c r="Z76" s="185">
        <v>0</v>
      </c>
      <c r="AA76" s="185">
        <v>0</v>
      </c>
      <c r="AB76" s="185">
        <v>1057</v>
      </c>
      <c r="AC76" s="185">
        <v>560</v>
      </c>
      <c r="AD76" s="185">
        <v>0</v>
      </c>
      <c r="AE76" s="185">
        <v>9905</v>
      </c>
      <c r="AF76" s="185">
        <v>0</v>
      </c>
      <c r="AG76" s="185">
        <v>0</v>
      </c>
      <c r="AH76" s="185">
        <v>0</v>
      </c>
      <c r="AI76" s="185">
        <v>0</v>
      </c>
      <c r="AJ76" s="185">
        <v>19308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18976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3536</v>
      </c>
      <c r="AW76" s="185">
        <v>0</v>
      </c>
      <c r="AX76" s="185">
        <v>0</v>
      </c>
      <c r="AY76" s="185">
        <v>4569</v>
      </c>
      <c r="AZ76" s="185">
        <v>1725</v>
      </c>
      <c r="BA76" s="185">
        <v>1037</v>
      </c>
      <c r="BB76" s="185">
        <v>0</v>
      </c>
      <c r="BC76" s="185">
        <v>0</v>
      </c>
      <c r="BD76" s="185">
        <v>0</v>
      </c>
      <c r="BE76" s="185">
        <v>54174</v>
      </c>
      <c r="BF76" s="185">
        <v>518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14732</v>
      </c>
      <c r="BO76" s="185">
        <v>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1380</v>
      </c>
      <c r="BW76" s="185">
        <v>9370</v>
      </c>
      <c r="BX76" s="185">
        <v>1495</v>
      </c>
      <c r="BY76" s="185">
        <v>2203</v>
      </c>
      <c r="BZ76" s="185">
        <v>0</v>
      </c>
      <c r="CA76" s="185">
        <v>0</v>
      </c>
      <c r="CB76" s="185">
        <v>0</v>
      </c>
      <c r="CC76" s="185">
        <v>380</v>
      </c>
      <c r="CD76" s="249" t="s">
        <v>221</v>
      </c>
      <c r="CE76" s="195">
        <f t="shared" si="8"/>
        <v>180994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v>0</v>
      </c>
      <c r="D77" s="184">
        <v>0</v>
      </c>
      <c r="E77" s="184">
        <v>0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0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>
        <v>0</v>
      </c>
      <c r="D78" s="184">
        <v>0</v>
      </c>
      <c r="E78" s="184">
        <v>0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0</v>
      </c>
      <c r="Q78" s="184">
        <v>0</v>
      </c>
      <c r="R78" s="184">
        <v>0</v>
      </c>
      <c r="S78" s="184">
        <v>0</v>
      </c>
      <c r="T78" s="184">
        <v>0</v>
      </c>
      <c r="U78" s="184">
        <v>0</v>
      </c>
      <c r="V78" s="184">
        <v>0</v>
      </c>
      <c r="W78" s="184">
        <v>0</v>
      </c>
      <c r="X78" s="184">
        <v>0</v>
      </c>
      <c r="Y78" s="184">
        <v>0</v>
      </c>
      <c r="Z78" s="184">
        <v>0</v>
      </c>
      <c r="AA78" s="184">
        <v>0</v>
      </c>
      <c r="AB78" s="184">
        <v>0</v>
      </c>
      <c r="AC78" s="184">
        <v>0</v>
      </c>
      <c r="AD78" s="184">
        <v>0</v>
      </c>
      <c r="AE78" s="184">
        <v>0</v>
      </c>
      <c r="AF78" s="184">
        <v>0</v>
      </c>
      <c r="AG78" s="184">
        <v>0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0</v>
      </c>
      <c r="CF78" s="195"/>
    </row>
    <row r="79" spans="1:84" ht="12.65" customHeight="1" x14ac:dyDescent="0.3">
      <c r="A79" s="171" t="s">
        <v>251</v>
      </c>
      <c r="B79" s="175"/>
      <c r="C79" s="225">
        <v>0</v>
      </c>
      <c r="D79" s="225">
        <v>0</v>
      </c>
      <c r="E79" s="184">
        <v>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0</v>
      </c>
      <c r="D80" s="187">
        <v>0</v>
      </c>
      <c r="E80" s="187">
        <v>0</v>
      </c>
      <c r="F80" s="187">
        <v>0</v>
      </c>
      <c r="G80" s="187">
        <v>41.87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0</v>
      </c>
      <c r="Q80" s="187">
        <v>0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0</v>
      </c>
      <c r="AH80" s="187">
        <v>0</v>
      </c>
      <c r="AI80" s="187">
        <v>0</v>
      </c>
      <c r="AJ80" s="187">
        <v>0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41.87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318" t="s">
        <v>1279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320" t="s">
        <v>1268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">
      <c r="A85" s="173" t="s">
        <v>1250</v>
      </c>
      <c r="B85" s="172"/>
      <c r="C85" s="271" t="s">
        <v>1270</v>
      </c>
      <c r="D85" s="205"/>
      <c r="E85" s="204"/>
    </row>
    <row r="86" spans="1:5" ht="12.65" customHeight="1" x14ac:dyDescent="0.3">
      <c r="A86" s="173" t="s">
        <v>1251</v>
      </c>
      <c r="B86" s="172" t="s">
        <v>256</v>
      </c>
      <c r="C86" s="230" t="s">
        <v>1270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1209</v>
      </c>
      <c r="D111" s="174">
        <v>17314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1238</v>
      </c>
      <c r="B118" s="172" t="s">
        <v>256</v>
      </c>
      <c r="C118" s="189"/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>
        <v>72</v>
      </c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72</v>
      </c>
    </row>
    <row r="128" spans="1:5" ht="12.65" customHeight="1" x14ac:dyDescent="0.3">
      <c r="A128" s="173" t="s">
        <v>292</v>
      </c>
      <c r="B128" s="172" t="s">
        <v>256</v>
      </c>
      <c r="C128" s="189">
        <v>102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1239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0</v>
      </c>
      <c r="C138" s="189">
        <v>0</v>
      </c>
      <c r="D138" s="174">
        <v>1217</v>
      </c>
      <c r="E138" s="175">
        <f>SUM(B138:D138)</f>
        <v>1217</v>
      </c>
    </row>
    <row r="139" spans="1:6" ht="12.65" customHeight="1" x14ac:dyDescent="0.3">
      <c r="A139" s="173" t="s">
        <v>215</v>
      </c>
      <c r="B139" s="174">
        <v>4</v>
      </c>
      <c r="C139" s="189">
        <v>0</v>
      </c>
      <c r="D139" s="174">
        <v>17310.010000000009</v>
      </c>
      <c r="E139" s="175">
        <f>SUM(B139:D139)</f>
        <v>17314.010000000009</v>
      </c>
    </row>
    <row r="140" spans="1:6" ht="12.65" customHeight="1" x14ac:dyDescent="0.3">
      <c r="A140" s="173" t="s">
        <v>298</v>
      </c>
      <c r="B140" s="174">
        <v>8483.1637185027266</v>
      </c>
      <c r="C140" s="174">
        <v>6202.5064023376044</v>
      </c>
      <c r="D140" s="174">
        <v>56060.329879159675</v>
      </c>
      <c r="E140" s="175">
        <f>SUM(B140:D140)</f>
        <v>70746</v>
      </c>
    </row>
    <row r="141" spans="1:6" ht="12.65" customHeight="1" x14ac:dyDescent="0.3">
      <c r="A141" s="173" t="s">
        <v>245</v>
      </c>
      <c r="B141" s="174">
        <v>13617105.489999998</v>
      </c>
      <c r="C141" s="189">
        <v>4946834.5600000005</v>
      </c>
      <c r="D141" s="174">
        <v>45769833.600000001</v>
      </c>
      <c r="E141" s="175">
        <f>SUM(B141:D141)</f>
        <v>64333773.649999999</v>
      </c>
      <c r="F141" s="199"/>
    </row>
    <row r="142" spans="1:6" ht="12.65" customHeight="1" x14ac:dyDescent="0.3">
      <c r="A142" s="173" t="s">
        <v>246</v>
      </c>
      <c r="B142" s="174">
        <v>3037972</v>
      </c>
      <c r="C142" s="189">
        <v>2221228</v>
      </c>
      <c r="D142" s="174">
        <v>20076202.48</v>
      </c>
      <c r="E142" s="175">
        <f>SUM(B142:D142)</f>
        <v>25335402.48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2664455.3699999987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759066.41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-56690.039999999994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596272.24000000011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37520.839999999851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4000624.8199999989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1326162.93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191622.52000000002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1517785.45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/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642135.30999999994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760777.37000000023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1402912.6800000002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622796.66</v>
      </c>
      <c r="C195" s="189"/>
      <c r="D195" s="174"/>
      <c r="E195" s="175">
        <f t="shared" ref="E195:E203" si="10">SUM(B195:C195)-D195</f>
        <v>622796.66</v>
      </c>
    </row>
    <row r="196" spans="1:8" ht="12.65" customHeight="1" x14ac:dyDescent="0.3">
      <c r="A196" s="173" t="s">
        <v>333</v>
      </c>
      <c r="B196" s="174">
        <v>583676.25</v>
      </c>
      <c r="C196" s="189"/>
      <c r="D196" s="174"/>
      <c r="E196" s="175">
        <f t="shared" si="10"/>
        <v>583676.25</v>
      </c>
    </row>
    <row r="197" spans="1:8" ht="12.65" customHeight="1" x14ac:dyDescent="0.3">
      <c r="A197" s="173" t="s">
        <v>334</v>
      </c>
      <c r="B197" s="174">
        <v>42135706.609999999</v>
      </c>
      <c r="C197" s="189">
        <v>-3071035.83</v>
      </c>
      <c r="D197" s="174"/>
      <c r="E197" s="175">
        <f t="shared" si="10"/>
        <v>39064670.780000001</v>
      </c>
    </row>
    <row r="198" spans="1:8" ht="12.65" customHeight="1" x14ac:dyDescent="0.3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">
      <c r="A199" s="173" t="s">
        <v>336</v>
      </c>
      <c r="B199" s="174">
        <v>961862.1</v>
      </c>
      <c r="C199" s="189">
        <v>-17875</v>
      </c>
      <c r="D199" s="174"/>
      <c r="E199" s="175">
        <f t="shared" si="10"/>
        <v>943987.1</v>
      </c>
    </row>
    <row r="200" spans="1:8" ht="12.65" customHeight="1" x14ac:dyDescent="0.3">
      <c r="A200" s="173" t="s">
        <v>337</v>
      </c>
      <c r="B200" s="174">
        <v>4480356.1100000003</v>
      </c>
      <c r="C200" s="189">
        <v>97426.38</v>
      </c>
      <c r="D200" s="174">
        <v>-37000</v>
      </c>
      <c r="E200" s="175">
        <f t="shared" si="10"/>
        <v>4614782.49</v>
      </c>
    </row>
    <row r="201" spans="1:8" ht="12.65" customHeight="1" x14ac:dyDescent="0.3">
      <c r="A201" s="173" t="s">
        <v>338</v>
      </c>
      <c r="B201" s="174">
        <v>128072.27</v>
      </c>
      <c r="C201" s="189"/>
      <c r="D201" s="174"/>
      <c r="E201" s="175">
        <f t="shared" si="10"/>
        <v>128072.27</v>
      </c>
    </row>
    <row r="202" spans="1:8" ht="12.65" customHeight="1" x14ac:dyDescent="0.3">
      <c r="A202" s="173" t="s">
        <v>339</v>
      </c>
      <c r="B202" s="174">
        <v>3780</v>
      </c>
      <c r="C202" s="189">
        <v>-539026.03</v>
      </c>
      <c r="D202" s="174"/>
      <c r="E202" s="175">
        <f t="shared" si="10"/>
        <v>-535246.03</v>
      </c>
    </row>
    <row r="203" spans="1:8" ht="12.65" customHeight="1" x14ac:dyDescent="0.3">
      <c r="A203" s="173" t="s">
        <v>340</v>
      </c>
      <c r="B203" s="174">
        <v>1237590.3</v>
      </c>
      <c r="C203" s="189">
        <v>10093.370000000003</v>
      </c>
      <c r="D203" s="174">
        <v>1229481.6200000001</v>
      </c>
      <c r="E203" s="175">
        <f t="shared" si="10"/>
        <v>18202.050000000047</v>
      </c>
    </row>
    <row r="204" spans="1:8" ht="12.65" customHeight="1" x14ac:dyDescent="0.3">
      <c r="A204" s="173" t="s">
        <v>203</v>
      </c>
      <c r="B204" s="175">
        <f>SUM(B195:B203)</f>
        <v>50153840.299999997</v>
      </c>
      <c r="C204" s="191">
        <f>SUM(C195:C203)</f>
        <v>-3520417.1100000003</v>
      </c>
      <c r="D204" s="175">
        <f>SUM(D195:D203)</f>
        <v>1192481.6200000001</v>
      </c>
      <c r="E204" s="175">
        <f>SUM(E195:E203)</f>
        <v>45440941.57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59"/>
    </row>
    <row r="210" spans="1:8" ht="12.65" customHeight="1" x14ac:dyDescent="0.3">
      <c r="A210" s="173" t="s">
        <v>334</v>
      </c>
      <c r="B210" s="174">
        <v>16458026.710000001</v>
      </c>
      <c r="C210" s="189"/>
      <c r="D210" s="174"/>
      <c r="E210" s="175">
        <f t="shared" si="11"/>
        <v>16458026.710000001</v>
      </c>
      <c r="H210" s="259"/>
    </row>
    <row r="211" spans="1:8" ht="12.65" customHeight="1" x14ac:dyDescent="0.3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">
      <c r="A212" s="173" t="s">
        <v>336</v>
      </c>
      <c r="B212" s="174">
        <v>689643.01</v>
      </c>
      <c r="C212" s="189">
        <v>27043.659999999996</v>
      </c>
      <c r="D212" s="174"/>
      <c r="E212" s="175">
        <f t="shared" si="11"/>
        <v>716686.67</v>
      </c>
      <c r="H212" s="259"/>
    </row>
    <row r="213" spans="1:8" ht="12.65" customHeight="1" x14ac:dyDescent="0.3">
      <c r="A213" s="173" t="s">
        <v>337</v>
      </c>
      <c r="B213" s="174">
        <v>3883114.92</v>
      </c>
      <c r="C213" s="189">
        <v>241342.41</v>
      </c>
      <c r="D213" s="174"/>
      <c r="E213" s="175">
        <f t="shared" si="11"/>
        <v>4124457.33</v>
      </c>
      <c r="H213" s="259"/>
    </row>
    <row r="214" spans="1:8" ht="12.65" customHeight="1" x14ac:dyDescent="0.3">
      <c r="A214" s="173" t="s">
        <v>338</v>
      </c>
      <c r="B214" s="174">
        <v>128072.27</v>
      </c>
      <c r="C214" s="189"/>
      <c r="D214" s="174"/>
      <c r="E214" s="175">
        <f t="shared" si="11"/>
        <v>128072.27</v>
      </c>
      <c r="H214" s="259"/>
    </row>
    <row r="215" spans="1:8" ht="12.65" customHeight="1" x14ac:dyDescent="0.3">
      <c r="A215" s="173" t="s">
        <v>339</v>
      </c>
      <c r="B215" s="174">
        <v>2311139.56</v>
      </c>
      <c r="C215" s="189">
        <v>1004808.59</v>
      </c>
      <c r="D215" s="174"/>
      <c r="E215" s="175">
        <f t="shared" si="11"/>
        <v>3315948.15</v>
      </c>
      <c r="H215" s="259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23469996.469999999</v>
      </c>
      <c r="C217" s="191">
        <f>SUM(C208:C216)</f>
        <v>1273194.6599999999</v>
      </c>
      <c r="D217" s="175">
        <f>SUM(D208:D216)</f>
        <v>0</v>
      </c>
      <c r="E217" s="175">
        <f>SUM(E208:E216)</f>
        <v>24743191.129999999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46" t="s">
        <v>1254</v>
      </c>
      <c r="C220" s="346"/>
      <c r="D220" s="208"/>
      <c r="E220" s="208"/>
    </row>
    <row r="221" spans="1:8" ht="12.65" customHeight="1" x14ac:dyDescent="0.3">
      <c r="A221" s="272" t="s">
        <v>1254</v>
      </c>
      <c r="B221" s="208"/>
      <c r="C221" s="189">
        <v>391991.85</v>
      </c>
      <c r="D221" s="172">
        <f>C221</f>
        <v>391991.85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8217104.3299999991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4290658.67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1381514.4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863699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2684096.4200000004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30480271.430000003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47917344.25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71.17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321005.39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7151.88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328157.27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48637493.370000005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65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65" customHeight="1" x14ac:dyDescent="0.3">
      <c r="A250" s="173" t="s">
        <v>362</v>
      </c>
      <c r="B250" s="172" t="s">
        <v>256</v>
      </c>
      <c r="C250" s="189">
        <v>2512751.09</v>
      </c>
      <c r="D250" s="175"/>
      <c r="E250" s="175"/>
    </row>
    <row r="251" spans="1:5" ht="12.65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">
      <c r="A252" s="173" t="s">
        <v>364</v>
      </c>
      <c r="B252" s="172" t="s">
        <v>256</v>
      </c>
      <c r="C252" s="189">
        <v>17399194.449999999</v>
      </c>
      <c r="D252" s="175"/>
      <c r="E252" s="175"/>
    </row>
    <row r="253" spans="1:5" ht="12.65" customHeight="1" x14ac:dyDescent="0.3">
      <c r="A253" s="173" t="s">
        <v>365</v>
      </c>
      <c r="B253" s="172" t="s">
        <v>256</v>
      </c>
      <c r="C253" s="189">
        <v>11212144.260000002</v>
      </c>
      <c r="D253" s="175"/>
      <c r="E253" s="175"/>
    </row>
    <row r="254" spans="1:5" ht="12.65" customHeight="1" x14ac:dyDescent="0.3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">
      <c r="A255" s="173" t="s">
        <v>366</v>
      </c>
      <c r="B255" s="172" t="s">
        <v>256</v>
      </c>
      <c r="C255" s="189">
        <v>2501073.59</v>
      </c>
      <c r="D255" s="175"/>
      <c r="E255" s="175"/>
    </row>
    <row r="256" spans="1:5" ht="12.65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">
      <c r="A257" s="173" t="s">
        <v>368</v>
      </c>
      <c r="B257" s="172" t="s">
        <v>256</v>
      </c>
      <c r="C257" s="189">
        <v>194423.78999999998</v>
      </c>
      <c r="D257" s="175"/>
      <c r="E257" s="175"/>
    </row>
    <row r="258" spans="1:5" ht="12.65" customHeight="1" x14ac:dyDescent="0.3">
      <c r="A258" s="173" t="s">
        <v>369</v>
      </c>
      <c r="B258" s="172" t="s">
        <v>256</v>
      </c>
      <c r="C258" s="189">
        <v>39828</v>
      </c>
      <c r="D258" s="175"/>
      <c r="E258" s="175"/>
    </row>
    <row r="259" spans="1:5" ht="12.65" customHeight="1" x14ac:dyDescent="0.3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">
      <c r="A260" s="173" t="s">
        <v>371</v>
      </c>
      <c r="B260" s="175"/>
      <c r="C260" s="191"/>
      <c r="D260" s="175">
        <f>SUM(C250:C252)-C253+SUM(C254:C259)</f>
        <v>11435126.659999996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65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">
      <c r="A264" s="173" t="s">
        <v>373</v>
      </c>
      <c r="B264" s="172" t="s">
        <v>256</v>
      </c>
      <c r="C264" s="189">
        <v>6171213.46</v>
      </c>
      <c r="D264" s="175"/>
      <c r="E264" s="175"/>
    </row>
    <row r="265" spans="1:5" ht="12.65" customHeight="1" x14ac:dyDescent="0.3">
      <c r="A265" s="173" t="s">
        <v>374</v>
      </c>
      <c r="B265" s="175"/>
      <c r="C265" s="191"/>
      <c r="D265" s="175">
        <f>SUM(C262:C264)</f>
        <v>6171213.46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65" customHeight="1" x14ac:dyDescent="0.3">
      <c r="A267" s="173" t="s">
        <v>332</v>
      </c>
      <c r="B267" s="172" t="s">
        <v>256</v>
      </c>
      <c r="C267" s="189">
        <v>622796.66</v>
      </c>
      <c r="D267" s="175"/>
      <c r="E267" s="175"/>
    </row>
    <row r="268" spans="1:5" ht="12.65" customHeight="1" x14ac:dyDescent="0.3">
      <c r="A268" s="173" t="s">
        <v>333</v>
      </c>
      <c r="B268" s="172" t="s">
        <v>256</v>
      </c>
      <c r="C268" s="189">
        <v>583676.25</v>
      </c>
      <c r="D268" s="175"/>
      <c r="E268" s="175"/>
    </row>
    <row r="269" spans="1:5" ht="12.65" customHeight="1" x14ac:dyDescent="0.3">
      <c r="A269" s="173" t="s">
        <v>334</v>
      </c>
      <c r="B269" s="172" t="s">
        <v>256</v>
      </c>
      <c r="C269" s="189">
        <v>39064670.780000001</v>
      </c>
      <c r="D269" s="175"/>
      <c r="E269" s="175"/>
    </row>
    <row r="270" spans="1:5" ht="12.65" customHeight="1" x14ac:dyDescent="0.3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">
      <c r="A271" s="173" t="s">
        <v>377</v>
      </c>
      <c r="B271" s="172" t="s">
        <v>256</v>
      </c>
      <c r="C271" s="189">
        <v>943987.1</v>
      </c>
      <c r="D271" s="175"/>
      <c r="E271" s="175"/>
    </row>
    <row r="272" spans="1:5" ht="12.65" customHeight="1" x14ac:dyDescent="0.3">
      <c r="A272" s="173" t="s">
        <v>378</v>
      </c>
      <c r="B272" s="172" t="s">
        <v>256</v>
      </c>
      <c r="C272" s="189">
        <v>4742854.76</v>
      </c>
      <c r="D272" s="175"/>
      <c r="E272" s="175"/>
    </row>
    <row r="273" spans="1:5" ht="12.65" customHeight="1" x14ac:dyDescent="0.3">
      <c r="A273" s="173" t="s">
        <v>339</v>
      </c>
      <c r="B273" s="172" t="s">
        <v>256</v>
      </c>
      <c r="C273" s="189">
        <v>-535246.03</v>
      </c>
      <c r="D273" s="175"/>
      <c r="E273" s="175"/>
    </row>
    <row r="274" spans="1:5" ht="12.65" customHeight="1" x14ac:dyDescent="0.3">
      <c r="A274" s="173" t="s">
        <v>340</v>
      </c>
      <c r="B274" s="172" t="s">
        <v>256</v>
      </c>
      <c r="C274" s="189">
        <v>18202.05</v>
      </c>
      <c r="D274" s="175"/>
      <c r="E274" s="175"/>
    </row>
    <row r="275" spans="1:5" ht="12.65" customHeight="1" x14ac:dyDescent="0.3">
      <c r="A275" s="173" t="s">
        <v>379</v>
      </c>
      <c r="B275" s="175"/>
      <c r="C275" s="191"/>
      <c r="D275" s="175">
        <f>SUM(C267:C274)</f>
        <v>45440941.569999993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24743191.130000003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20697750.43999999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249652.86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249652.86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38553743.419999987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132515.76999999996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2528592.12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2266506.83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4927614.7200000007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>
        <v>3333.33</v>
      </c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3333.33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148000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148000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148000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33474795.36999999</v>
      </c>
      <c r="D332" s="175"/>
      <c r="E332" s="175"/>
    </row>
    <row r="333" spans="1:5" ht="12.65" customHeight="1" x14ac:dyDescent="0.3">
      <c r="A333" s="173"/>
      <c r="B333" s="172"/>
      <c r="C333" s="231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38553743.419999987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38553743.419999987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64333773.650000013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25335402.479999997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89669176.13000001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1254</v>
      </c>
      <c r="B363" s="257"/>
      <c r="C363" s="189">
        <v>391991.85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47917344.25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328157.27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48637493.370000005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41031682.760000005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12851767.759999996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12851767.759999996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53883450.520000003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36385492.909999989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4000624.8200000008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254120.90000000002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1654770.8599999994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623056.80999999994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5452438.4000000013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1273194.6599999999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1517785.45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1402912.6800000002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775582.72999992222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53339980.219999909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543470.30000009388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11485.380000000001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554955.68000009388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554955.68000009388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St. Luke's Rehabilitation Institute   H-0     FYE 12/31/2021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1209</v>
      </c>
      <c r="C414" s="194">
        <f>E138</f>
        <v>1217</v>
      </c>
      <c r="D414" s="179"/>
    </row>
    <row r="415" spans="1:5" ht="12.65" customHeight="1" x14ac:dyDescent="0.3">
      <c r="A415" s="179" t="s">
        <v>464</v>
      </c>
      <c r="B415" s="179">
        <f>D111</f>
        <v>17314</v>
      </c>
      <c r="C415" s="179">
        <f>E139</f>
        <v>17314.010000000009</v>
      </c>
      <c r="D415" s="194">
        <f>SUM(C59:H59)+N59</f>
        <v>17314.147027199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36385492.909999989</v>
      </c>
      <c r="C427" s="179">
        <f t="shared" ref="C427:C434" si="13">CE61</f>
        <v>36385493.159999996</v>
      </c>
      <c r="D427" s="179"/>
    </row>
    <row r="428" spans="1:7" ht="12.65" customHeight="1" x14ac:dyDescent="0.3">
      <c r="A428" s="179" t="s">
        <v>3</v>
      </c>
      <c r="B428" s="179">
        <f t="shared" si="12"/>
        <v>4000624.8200000008</v>
      </c>
      <c r="C428" s="179">
        <f t="shared" si="13"/>
        <v>4000627</v>
      </c>
      <c r="D428" s="179">
        <f>D173</f>
        <v>4000624.8199999989</v>
      </c>
    </row>
    <row r="429" spans="1:7" ht="12.65" customHeight="1" x14ac:dyDescent="0.3">
      <c r="A429" s="179" t="s">
        <v>236</v>
      </c>
      <c r="B429" s="179">
        <f t="shared" si="12"/>
        <v>254120.90000000002</v>
      </c>
      <c r="C429" s="179">
        <f t="shared" si="13"/>
        <v>254120.89999999997</v>
      </c>
      <c r="D429" s="179"/>
    </row>
    <row r="430" spans="1:7" ht="12.65" customHeight="1" x14ac:dyDescent="0.3">
      <c r="A430" s="179" t="s">
        <v>237</v>
      </c>
      <c r="B430" s="179">
        <f t="shared" si="12"/>
        <v>1654770.8599999994</v>
      </c>
      <c r="C430" s="179">
        <f t="shared" si="13"/>
        <v>1654771.0699999998</v>
      </c>
      <c r="D430" s="179"/>
    </row>
    <row r="431" spans="1:7" ht="12.65" customHeight="1" x14ac:dyDescent="0.3">
      <c r="A431" s="179" t="s">
        <v>444</v>
      </c>
      <c r="B431" s="179">
        <f t="shared" si="12"/>
        <v>623056.80999999994</v>
      </c>
      <c r="C431" s="179">
        <f t="shared" si="13"/>
        <v>623056.42999999993</v>
      </c>
      <c r="D431" s="179"/>
    </row>
    <row r="432" spans="1:7" ht="12.65" customHeight="1" x14ac:dyDescent="0.3">
      <c r="A432" s="179" t="s">
        <v>445</v>
      </c>
      <c r="B432" s="179">
        <f t="shared" si="12"/>
        <v>5452438.4000000013</v>
      </c>
      <c r="C432" s="179">
        <f t="shared" si="13"/>
        <v>5452438.3999999994</v>
      </c>
      <c r="D432" s="179"/>
    </row>
    <row r="433" spans="1:7" ht="12.65" customHeight="1" x14ac:dyDescent="0.3">
      <c r="A433" s="179" t="s">
        <v>6</v>
      </c>
      <c r="B433" s="179">
        <f t="shared" si="12"/>
        <v>1273194.6599999999</v>
      </c>
      <c r="C433" s="179">
        <f t="shared" si="13"/>
        <v>1273195</v>
      </c>
      <c r="D433" s="179">
        <f>C217</f>
        <v>1273194.6599999999</v>
      </c>
    </row>
    <row r="434" spans="1:7" ht="12.65" customHeight="1" x14ac:dyDescent="0.3">
      <c r="A434" s="179" t="s">
        <v>474</v>
      </c>
      <c r="B434" s="179">
        <f t="shared" si="12"/>
        <v>1517785.45</v>
      </c>
      <c r="C434" s="179">
        <f t="shared" si="13"/>
        <v>1517785.4499999997</v>
      </c>
      <c r="D434" s="179">
        <f>D177</f>
        <v>1517785.45</v>
      </c>
    </row>
    <row r="435" spans="1:7" ht="12.65" customHeight="1" x14ac:dyDescent="0.3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5" customHeight="1" x14ac:dyDescent="0.3">
      <c r="A436" s="179" t="s">
        <v>475</v>
      </c>
      <c r="B436" s="179">
        <f t="shared" si="12"/>
        <v>1402912.6800000002</v>
      </c>
      <c r="C436" s="179"/>
      <c r="D436" s="179">
        <f>D186</f>
        <v>1402912.6800000002</v>
      </c>
    </row>
    <row r="437" spans="1:7" ht="12.65" customHeight="1" x14ac:dyDescent="0.3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5" customHeight="1" x14ac:dyDescent="0.3">
      <c r="A438" s="194" t="s">
        <v>476</v>
      </c>
      <c r="B438" s="194">
        <f>C386+C387+C388</f>
        <v>1402912.6800000002</v>
      </c>
      <c r="C438" s="194">
        <f>CD69</f>
        <v>1402912.6800000002</v>
      </c>
      <c r="D438" s="194">
        <f>D181+D186+D190</f>
        <v>1402912.6800000002</v>
      </c>
    </row>
    <row r="439" spans="1:7" ht="12.65" customHeight="1" x14ac:dyDescent="0.3">
      <c r="A439" s="179" t="s">
        <v>451</v>
      </c>
      <c r="B439" s="194">
        <f>C389</f>
        <v>775582.72999992222</v>
      </c>
      <c r="C439" s="194">
        <f>SUM(C69:CC69)</f>
        <v>775582.73</v>
      </c>
      <c r="D439" s="179"/>
    </row>
    <row r="440" spans="1:7" ht="12.65" customHeight="1" x14ac:dyDescent="0.3">
      <c r="A440" s="179" t="s">
        <v>477</v>
      </c>
      <c r="B440" s="194">
        <f>B438+B439</f>
        <v>2178495.4099999224</v>
      </c>
      <c r="C440" s="194">
        <f>CE69</f>
        <v>2178495.41</v>
      </c>
      <c r="D440" s="179"/>
    </row>
    <row r="441" spans="1:7" ht="12.65" customHeight="1" x14ac:dyDescent="0.3">
      <c r="A441" s="179" t="s">
        <v>478</v>
      </c>
      <c r="B441" s="179">
        <f>D390</f>
        <v>53339980.219999909</v>
      </c>
      <c r="C441" s="179">
        <f>SUM(C427:C437)+C440</f>
        <v>53339982.819999993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1256</v>
      </c>
      <c r="B444" s="179">
        <f>D221</f>
        <v>391991.85</v>
      </c>
      <c r="C444" s="179">
        <f>C363</f>
        <v>391991.85</v>
      </c>
      <c r="D444" s="179"/>
    </row>
    <row r="445" spans="1:7" ht="12.65" customHeight="1" x14ac:dyDescent="0.3">
      <c r="A445" s="179" t="s">
        <v>343</v>
      </c>
      <c r="B445" s="179">
        <f>D229</f>
        <v>47917344.25</v>
      </c>
      <c r="C445" s="179">
        <f>C364</f>
        <v>47917344.25</v>
      </c>
      <c r="D445" s="179"/>
    </row>
    <row r="446" spans="1:7" ht="12.65" customHeight="1" x14ac:dyDescent="0.3">
      <c r="A446" s="179" t="s">
        <v>351</v>
      </c>
      <c r="B446" s="179">
        <f>D236</f>
        <v>328157.27</v>
      </c>
      <c r="C446" s="179">
        <f>C365</f>
        <v>328157.27</v>
      </c>
      <c r="D446" s="179"/>
    </row>
    <row r="447" spans="1:7" ht="12.65" customHeight="1" x14ac:dyDescent="0.3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48637493.370000005</v>
      </c>
      <c r="C448" s="179">
        <f>D367</f>
        <v>48637493.370000005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71.17</v>
      </c>
    </row>
    <row r="454" spans="1:7" ht="12.65" customHeight="1" x14ac:dyDescent="0.3">
      <c r="A454" s="179" t="s">
        <v>168</v>
      </c>
      <c r="B454" s="179">
        <f>C233</f>
        <v>321005.39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7151.88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12851767.759999996</v>
      </c>
      <c r="C458" s="194">
        <f>CE70</f>
        <v>12851767.760000002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1244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64333773.650000013</v>
      </c>
      <c r="C463" s="194">
        <f>CE73</f>
        <v>64333773.800000004</v>
      </c>
      <c r="D463" s="194">
        <f>E141+E147+E153</f>
        <v>64333773.649999999</v>
      </c>
    </row>
    <row r="464" spans="1:7" ht="12.65" customHeight="1" x14ac:dyDescent="0.3">
      <c r="A464" s="179" t="s">
        <v>246</v>
      </c>
      <c r="B464" s="194">
        <f>C360</f>
        <v>25335402.479999997</v>
      </c>
      <c r="C464" s="194">
        <f>CE74</f>
        <v>24997302.486338098</v>
      </c>
      <c r="D464" s="194">
        <f>E142+E148+E154</f>
        <v>25335402.48</v>
      </c>
    </row>
    <row r="465" spans="1:7" ht="12.65" customHeight="1" x14ac:dyDescent="0.3">
      <c r="A465" s="179" t="s">
        <v>247</v>
      </c>
      <c r="B465" s="194">
        <f>D361</f>
        <v>89669176.13000001</v>
      </c>
      <c r="C465" s="194">
        <f>CE75</f>
        <v>89331076.286338106</v>
      </c>
      <c r="D465" s="194">
        <f>D463+D464</f>
        <v>89669176.129999995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622796.66</v>
      </c>
      <c r="C468" s="179">
        <f>E195</f>
        <v>622796.66</v>
      </c>
      <c r="D468" s="179"/>
    </row>
    <row r="469" spans="1:7" ht="12.65" customHeight="1" x14ac:dyDescent="0.3">
      <c r="A469" s="179" t="s">
        <v>333</v>
      </c>
      <c r="B469" s="179">
        <f t="shared" si="14"/>
        <v>583676.25</v>
      </c>
      <c r="C469" s="179">
        <f>E196</f>
        <v>583676.25</v>
      </c>
      <c r="D469" s="179"/>
    </row>
    <row r="470" spans="1:7" ht="12.65" customHeight="1" x14ac:dyDescent="0.3">
      <c r="A470" s="179" t="s">
        <v>334</v>
      </c>
      <c r="B470" s="179">
        <f t="shared" si="14"/>
        <v>39064670.780000001</v>
      </c>
      <c r="C470" s="179">
        <f>E197</f>
        <v>39064670.780000001</v>
      </c>
      <c r="D470" s="179"/>
    </row>
    <row r="471" spans="1:7" ht="12.65" customHeight="1" x14ac:dyDescent="0.3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4"/>
        <v>943987.1</v>
      </c>
      <c r="C472" s="179">
        <f>E199</f>
        <v>943987.1</v>
      </c>
      <c r="D472" s="179"/>
    </row>
    <row r="473" spans="1:7" ht="12.65" customHeight="1" x14ac:dyDescent="0.3">
      <c r="A473" s="179" t="s">
        <v>495</v>
      </c>
      <c r="B473" s="179">
        <f t="shared" si="14"/>
        <v>4742854.76</v>
      </c>
      <c r="C473" s="179">
        <f>SUM(E200:E201)</f>
        <v>4742854.76</v>
      </c>
      <c r="D473" s="179"/>
    </row>
    <row r="474" spans="1:7" ht="12.65" customHeight="1" x14ac:dyDescent="0.3">
      <c r="A474" s="179" t="s">
        <v>339</v>
      </c>
      <c r="B474" s="179">
        <f t="shared" si="14"/>
        <v>-535246.03</v>
      </c>
      <c r="C474" s="179">
        <f>E202</f>
        <v>-535246.03</v>
      </c>
      <c r="D474" s="179"/>
    </row>
    <row r="475" spans="1:7" ht="12.65" customHeight="1" x14ac:dyDescent="0.3">
      <c r="A475" s="179" t="s">
        <v>340</v>
      </c>
      <c r="B475" s="179">
        <f t="shared" si="14"/>
        <v>18202.05</v>
      </c>
      <c r="C475" s="179">
        <f>E203</f>
        <v>18202.050000000047</v>
      </c>
      <c r="D475" s="179"/>
    </row>
    <row r="476" spans="1:7" ht="12.65" customHeight="1" x14ac:dyDescent="0.3">
      <c r="A476" s="179" t="s">
        <v>203</v>
      </c>
      <c r="B476" s="179">
        <f>D275</f>
        <v>45440941.569999993</v>
      </c>
      <c r="C476" s="179">
        <f>E204</f>
        <v>45440941.57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24743191.130000003</v>
      </c>
      <c r="C478" s="179">
        <f>E217</f>
        <v>24743191.129999999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38553743.419999987</v>
      </c>
    </row>
    <row r="482" spans="1:12" ht="12.65" customHeight="1" x14ac:dyDescent="0.3">
      <c r="A482" s="180" t="s">
        <v>499</v>
      </c>
      <c r="C482" s="180">
        <f>D339</f>
        <v>38553743.419999987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157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0</v>
      </c>
      <c r="C498" s="240">
        <f>E71</f>
        <v>0</v>
      </c>
      <c r="D498" s="240">
        <f>'Prior Year'!E59</f>
        <v>0</v>
      </c>
      <c r="E498" s="180">
        <f>E59</f>
        <v>0</v>
      </c>
      <c r="F498" s="263" t="str">
        <f t="shared" si="15"/>
        <v/>
      </c>
      <c r="G498" s="263" t="str">
        <f t="shared" si="15"/>
        <v/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14088916</v>
      </c>
      <c r="C500" s="240">
        <f>G71</f>
        <v>16105097.130000001</v>
      </c>
      <c r="D500" s="240">
        <f>'Prior Year'!G59</f>
        <v>19870</v>
      </c>
      <c r="E500" s="180">
        <f>G59</f>
        <v>17314.147027199</v>
      </c>
      <c r="F500" s="263">
        <f t="shared" si="15"/>
        <v>709.05465525918476</v>
      </c>
      <c r="G500" s="263">
        <f t="shared" si="15"/>
        <v>930.16982613699145</v>
      </c>
      <c r="H500" s="265">
        <f t="shared" si="16"/>
        <v>0.31184503089819104</v>
      </c>
      <c r="I500" s="267" t="s">
        <v>1280</v>
      </c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0</v>
      </c>
      <c r="C509" s="240">
        <f>P71</f>
        <v>0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65795</v>
      </c>
      <c r="C512" s="240">
        <f>S71</f>
        <v>190467.63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1245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164225</v>
      </c>
      <c r="C514" s="240">
        <f>U71</f>
        <v>144732.59000000003</v>
      </c>
      <c r="D514" s="240">
        <f>'Prior Year'!U59</f>
        <v>94261</v>
      </c>
      <c r="E514" s="180">
        <f>U59</f>
        <v>0</v>
      </c>
      <c r="F514" s="263">
        <f t="shared" si="17"/>
        <v>1.7422369802993816</v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15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0</v>
      </c>
      <c r="C517" s="240">
        <f>X71</f>
        <v>0</v>
      </c>
      <c r="D517" s="240">
        <f>'Prior Year'!X59</f>
        <v>89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25230</v>
      </c>
      <c r="C518" s="240">
        <f>Y71</f>
        <v>15339.050000000001</v>
      </c>
      <c r="D518" s="240">
        <f>'Prior Year'!Y59</f>
        <v>153</v>
      </c>
      <c r="E518" s="180">
        <f>Y59</f>
        <v>0</v>
      </c>
      <c r="F518" s="263">
        <f t="shared" si="17"/>
        <v>164.90196078431373</v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1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1528269</v>
      </c>
      <c r="C521" s="240">
        <f>AB71</f>
        <v>1400095.11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648555</v>
      </c>
      <c r="C522" s="240">
        <f>AC71</f>
        <v>608597.42000000004</v>
      </c>
      <c r="D522" s="240">
        <f>'Prior Year'!AC59</f>
        <v>7195</v>
      </c>
      <c r="E522" s="180">
        <f>AC59</f>
        <v>0</v>
      </c>
      <c r="F522" s="263">
        <f t="shared" si="17"/>
        <v>90.139680333564982</v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2829478</v>
      </c>
      <c r="C524" s="240">
        <f>AE71</f>
        <v>2386731.88</v>
      </c>
      <c r="D524" s="240">
        <f>'Prior Year'!AE59</f>
        <v>87983</v>
      </c>
      <c r="E524" s="180">
        <f>AE59</f>
        <v>0</v>
      </c>
      <c r="F524" s="263">
        <f t="shared" si="17"/>
        <v>32.159371696805067</v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282713</v>
      </c>
      <c r="C525" s="240">
        <f>AF71</f>
        <v>0</v>
      </c>
      <c r="D525" s="240">
        <f>'Prior Year'!AF59</f>
        <v>10977</v>
      </c>
      <c r="E525" s="180">
        <f>AF59</f>
        <v>0</v>
      </c>
      <c r="F525" s="263">
        <f t="shared" si="17"/>
        <v>25.755033251343718</v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0</v>
      </c>
      <c r="C526" s="240">
        <f>AG71</f>
        <v>0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3746904</v>
      </c>
      <c r="C529" s="240">
        <f>AJ71</f>
        <v>188839.25</v>
      </c>
      <c r="D529" s="240">
        <f>'Prior Year'!AJ59</f>
        <v>36494</v>
      </c>
      <c r="E529" s="180">
        <f>AJ59</f>
        <v>0</v>
      </c>
      <c r="F529" s="263">
        <f t="shared" si="18"/>
        <v>102.67178166273908</v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1714739</v>
      </c>
      <c r="C530" s="240">
        <f>AK71</f>
        <v>1759788.5199999998</v>
      </c>
      <c r="D530" s="240">
        <f>'Prior Year'!AK59</f>
        <v>102221</v>
      </c>
      <c r="E530" s="180">
        <f>AK59</f>
        <v>0</v>
      </c>
      <c r="F530" s="263">
        <f t="shared" si="18"/>
        <v>16.774821220688509</v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772161</v>
      </c>
      <c r="C531" s="240">
        <f>AL71</f>
        <v>641696.97</v>
      </c>
      <c r="D531" s="240">
        <f>'Prior Year'!AL59</f>
        <v>20740</v>
      </c>
      <c r="E531" s="180">
        <f>AL59</f>
        <v>0</v>
      </c>
      <c r="F531" s="263">
        <f t="shared" si="18"/>
        <v>37.230520732883321</v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255005</v>
      </c>
      <c r="C532" s="240">
        <f>AM71</f>
        <v>0</v>
      </c>
      <c r="D532" s="240">
        <f>'Prior Year'!AM59</f>
        <v>14990</v>
      </c>
      <c r="E532" s="180">
        <f>AM59</f>
        <v>0</v>
      </c>
      <c r="F532" s="263">
        <f t="shared" si="18"/>
        <v>17.011674449633087</v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2740068</v>
      </c>
      <c r="C535" s="240">
        <f>AP71</f>
        <v>133486</v>
      </c>
      <c r="D535" s="240">
        <f>'Prior Year'!AP59</f>
        <v>27451</v>
      </c>
      <c r="E535" s="180">
        <f>AP59</f>
        <v>0</v>
      </c>
      <c r="F535" s="263">
        <f t="shared" si="18"/>
        <v>99.816691559506026</v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134438</v>
      </c>
      <c r="C541" s="240">
        <f>AV71</f>
        <v>24874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1247</v>
      </c>
      <c r="B542" s="240">
        <f>'Prior Year'!AW71</f>
        <v>163380</v>
      </c>
      <c r="C542" s="240">
        <f>AW71</f>
        <v>185601.73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1823436</v>
      </c>
      <c r="C544" s="240">
        <f>AY71</f>
        <v>1535414.4499999995</v>
      </c>
      <c r="D544" s="240">
        <f>'Prior Year'!AY59</f>
        <v>58849</v>
      </c>
      <c r="E544" s="180">
        <f>AY59</f>
        <v>0</v>
      </c>
      <c r="F544" s="263">
        <f t="shared" ref="F544:G550" si="19">IF(B544=0,"",IF(D544=0,"",B544/D544))</f>
        <v>30.984995496949821</v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-237031</v>
      </c>
      <c r="C545" s="240">
        <f>AZ71</f>
        <v>-82149.290000000008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141252</v>
      </c>
      <c r="C546" s="240">
        <f>BA71</f>
        <v>144575.93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997873</v>
      </c>
      <c r="C547" s="240">
        <f>BB71</f>
        <v>773112.31999999995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103046</v>
      </c>
      <c r="C548" s="240">
        <f>BC71</f>
        <v>100929.85999999999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2481582</v>
      </c>
      <c r="C550" s="240">
        <f>BE71</f>
        <v>3032939.2</v>
      </c>
      <c r="D550" s="240">
        <f>'Prior Year'!BE59</f>
        <v>180994</v>
      </c>
      <c r="E550" s="180">
        <f>BE59</f>
        <v>180994</v>
      </c>
      <c r="F550" s="263">
        <f t="shared" si="19"/>
        <v>13.710852293446191</v>
      </c>
      <c r="G550" s="263">
        <f t="shared" si="19"/>
        <v>16.757125650574054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767470</v>
      </c>
      <c r="C551" s="240">
        <f>BF71</f>
        <v>3644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166799</v>
      </c>
      <c r="C552" s="240">
        <f>BG71</f>
        <v>161426.29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0</v>
      </c>
      <c r="C553" s="240">
        <f>BH71</f>
        <v>695567.1399999999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8602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0</v>
      </c>
      <c r="C555" s="240">
        <f>BJ71</f>
        <v>476821.87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866271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975614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2905013</v>
      </c>
      <c r="C559" s="240">
        <f>BN71</f>
        <v>6367779.0499999989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271</v>
      </c>
      <c r="C560" s="240">
        <f>BO71</f>
        <v>299.57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71622</v>
      </c>
      <c r="C561" s="240">
        <f>BP71</f>
        <v>-164.39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1248</v>
      </c>
      <c r="B564" s="240">
        <f>'Prior Year'!BS71</f>
        <v>1466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119906</v>
      </c>
      <c r="C565" s="240">
        <f>BT71</f>
        <v>120648.29999999999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347592</v>
      </c>
      <c r="C567" s="240">
        <f>BV71</f>
        <v>262622.53000000003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606079</v>
      </c>
      <c r="C568" s="240">
        <f>BW71</f>
        <v>1091313.7200000002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2169513</v>
      </c>
      <c r="C569" s="240">
        <f>BX71</f>
        <v>10517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28594</v>
      </c>
      <c r="C570" s="240">
        <f>BY71</f>
        <v>2328262.3400000003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15</v>
      </c>
      <c r="C572" s="240">
        <f>CA71</f>
        <v>331135.45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0</v>
      </c>
      <c r="C573" s="240">
        <f>CB71</f>
        <v>-473887.89999999991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3302</v>
      </c>
      <c r="C574" s="240">
        <f>CC71</f>
        <v>-1580852.3399999999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-44966</v>
      </c>
      <c r="C575" s="240">
        <f>CD71</f>
        <v>1402912.6800000002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126820</v>
      </c>
      <c r="E612" s="180">
        <f>SUM(C624:D647)+SUM(C668:D713)</f>
        <v>35008511.864871785</v>
      </c>
      <c r="F612" s="180">
        <f>CE64-(AX64+BD64+BE64+BG64+BJ64+BN64+BP64+BQ64+CB64+CC64+CD64)</f>
        <v>1544326.7099999997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368.12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89331076.286338106</v>
      </c>
      <c r="L612" s="197">
        <f>CE80-(AW80+AX80+AY80+AZ80+BA80+BB80+BC80+BD80+BE80+BF80+BG80+BH80+BI80+BJ80+BK80+BL80+BM80+BN80+BO80+BP80+BQ80+BR80+BS80+BT80+BU80+BV80+BW80+BX80+BY80+BZ80+CA80+CB80+CC80+CD80)</f>
        <v>41.87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3032939.2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1402912.6800000002</v>
      </c>
      <c r="D615" s="266">
        <f>SUM(C614:C615)</f>
        <v>4435851.8800000008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476821.87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161426.29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6367779.0499999989</v>
      </c>
      <c r="D619" s="180">
        <f>(D615/D612)*BN76</f>
        <v>515289.14915754623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-1580852.3399999999</v>
      </c>
      <c r="D620" s="180">
        <f>(D615/D612)*CC76</f>
        <v>13291.46597066709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-164.39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-473887.89999999991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5479703.1951282136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1535414.4499999995</v>
      </c>
      <c r="D625" s="180">
        <f>(D615/D612)*AY76</f>
        <v>159812.38952625773</v>
      </c>
      <c r="E625" s="180">
        <f>(E623/E612)*SUM(C625:D625)</f>
        <v>265345.18133403547</v>
      </c>
      <c r="F625" s="180">
        <f>(F624/F612)*AY64</f>
        <v>0</v>
      </c>
      <c r="G625" s="180">
        <f>SUM(C625:F625)</f>
        <v>1960572.0208602927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 t="e">
        <f>(G625/G612)*BR77</f>
        <v>#DIV/0!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299.57</v>
      </c>
      <c r="D627" s="180">
        <f>(D615/D612)*BO76</f>
        <v>0</v>
      </c>
      <c r="E627" s="180">
        <f>(E623/E612)*SUM(C627:D627)</f>
        <v>46.890158956220205</v>
      </c>
      <c r="F627" s="180">
        <f>(F624/F612)*BO64</f>
        <v>0</v>
      </c>
      <c r="G627" s="180" t="e">
        <f>(G625/G612)*BO77</f>
        <v>#DIV/0!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-82149.290000000008</v>
      </c>
      <c r="D628" s="180">
        <f>(D615/D612)*AZ76</f>
        <v>60336.259998422975</v>
      </c>
      <c r="E628" s="180">
        <f>(E623/E612)*SUM(C628:D628)</f>
        <v>-3414.2819510990666</v>
      </c>
      <c r="F628" s="180">
        <f>(F624/F612)*AZ64</f>
        <v>0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3644</v>
      </c>
      <c r="D629" s="180">
        <f>(D615/D612)*BF76</f>
        <v>18118.366770540928</v>
      </c>
      <c r="E629" s="180">
        <f>(E623/E612)*SUM(C629:D629)</f>
        <v>3406.3518948300189</v>
      </c>
      <c r="F629" s="180">
        <f>(F624/F612)*BF64</f>
        <v>0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144575.93</v>
      </c>
      <c r="D630" s="180">
        <f>(D615/D612)*BA76</f>
        <v>36271.711083109927</v>
      </c>
      <c r="E630" s="180">
        <f>(E623/E612)*SUM(C630:D630)</f>
        <v>28307.155714005021</v>
      </c>
      <c r="F630" s="180">
        <f>(F624/F612)*BA64</f>
        <v>0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185601.73</v>
      </c>
      <c r="D631" s="180">
        <f>(D615/D612)*AW76</f>
        <v>0</v>
      </c>
      <c r="E631" s="180">
        <f>(E623/E612)*SUM(C631:D631)</f>
        <v>29051.288921619205</v>
      </c>
      <c r="F631" s="180">
        <f>(F624/F612)*AW64</f>
        <v>0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773112.31999999995</v>
      </c>
      <c r="D632" s="180">
        <f>(D615/D612)*BB76</f>
        <v>0</v>
      </c>
      <c r="E632" s="180">
        <f>(E623/E612)*SUM(C632:D632)</f>
        <v>121011.31480392623</v>
      </c>
      <c r="F632" s="180">
        <f>(F624/F612)*BB64</f>
        <v>0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100929.85999999999</v>
      </c>
      <c r="D633" s="180">
        <f>(D615/D612)*BC76</f>
        <v>0</v>
      </c>
      <c r="E633" s="180">
        <f>(E623/E612)*SUM(C633:D633)</f>
        <v>15798.034445468675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695567.1399999999</v>
      </c>
      <c r="D636" s="180">
        <f>(D615/D612)*BH76</f>
        <v>0</v>
      </c>
      <c r="E636" s="180">
        <f>(E623/E612)*SUM(C636:D636)</f>
        <v>108873.56464039613</v>
      </c>
      <c r="F636" s="180">
        <f>(F624/F612)*BH64</f>
        <v>0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120648.29999999999</v>
      </c>
      <c r="D640" s="180">
        <f>(D615/D612)*BT76</f>
        <v>0</v>
      </c>
      <c r="E640" s="180">
        <f>(E623/E612)*SUM(C640:D640)</f>
        <v>18884.460943344598</v>
      </c>
      <c r="F640" s="180">
        <f>(F624/F612)*BT64</f>
        <v>0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262622.53000000003</v>
      </c>
      <c r="D642" s="180">
        <f>(D615/D612)*BV76</f>
        <v>48269.00799873838</v>
      </c>
      <c r="E642" s="180">
        <f>(E623/E612)*SUM(C642:D642)</f>
        <v>48662.261357627991</v>
      </c>
      <c r="F642" s="180">
        <f>(F624/F612)*BV64</f>
        <v>0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1091313.7200000002</v>
      </c>
      <c r="D643" s="180">
        <f>(D615/D612)*BW76</f>
        <v>327739.56880302797</v>
      </c>
      <c r="E643" s="180">
        <f>(E623/E612)*SUM(C643:D643)</f>
        <v>222117.14884441384</v>
      </c>
      <c r="F643" s="180">
        <f>(F624/F612)*BW64</f>
        <v>0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10517</v>
      </c>
      <c r="D644" s="180">
        <f>(D615/D612)*BX76</f>
        <v>52291.42533196658</v>
      </c>
      <c r="E644" s="180">
        <f>(E623/E612)*SUM(C644:D644)</f>
        <v>9831.0813753239672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2328262.3400000003</v>
      </c>
      <c r="D645" s="180">
        <f>(D615/D612)*BY76</f>
        <v>77055.525087841059</v>
      </c>
      <c r="E645" s="180">
        <f>(E623/E612)*SUM(C645:D645)</f>
        <v>376492.09545082983</v>
      </c>
      <c r="F645" s="180">
        <f>(F624/F612)*BY64</f>
        <v>0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331135.45</v>
      </c>
      <c r="D647" s="180">
        <f>(D615/D612)*CA76</f>
        <v>0</v>
      </c>
      <c r="E647" s="180">
        <f>(E623/E612)*SUM(C647:D647)</f>
        <v>51830.937298593009</v>
      </c>
      <c r="F647" s="180">
        <f>(F624/F612)*CA64</f>
        <v>0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16888469.510000002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16105097.130000001</v>
      </c>
      <c r="D672" s="180">
        <f>(D615/D612)*G76</f>
        <v>1261604.9634105035</v>
      </c>
      <c r="E672" s="180">
        <f>(E623/E612)*SUM(C672:D672)</f>
        <v>2718320.9991165362</v>
      </c>
      <c r="F672" s="180">
        <f>(F624/F612)*G64</f>
        <v>0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190467.63</v>
      </c>
      <c r="D684" s="180">
        <f>(D615/D612)*S76</f>
        <v>0</v>
      </c>
      <c r="E684" s="180">
        <f>(E623/E612)*SUM(C684:D684)</f>
        <v>29812.923345844167</v>
      </c>
      <c r="F684" s="180">
        <f>(F624/F612)*S64</f>
        <v>0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144732.59000000003</v>
      </c>
      <c r="D686" s="180">
        <f>(D615/D612)*U76</f>
        <v>0</v>
      </c>
      <c r="E686" s="180">
        <f>(E623/E612)*SUM(C686:D686)</f>
        <v>22654.251598108782</v>
      </c>
      <c r="F686" s="180">
        <f>(F624/F612)*U64</f>
        <v>0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">
      <c r="A690" s="196">
        <v>7140</v>
      </c>
      <c r="B690" s="198" t="s">
        <v>1249</v>
      </c>
      <c r="C690" s="180">
        <f>Y71</f>
        <v>15339.050000000001</v>
      </c>
      <c r="D690" s="180">
        <f>(D615/D612)*Y76</f>
        <v>0</v>
      </c>
      <c r="E690" s="180">
        <f>(E623/E612)*SUM(C690:D690)</f>
        <v>2400.9429940828841</v>
      </c>
      <c r="F690" s="180">
        <f>(F624/F612)*Y64</f>
        <v>0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1400095.11</v>
      </c>
      <c r="D693" s="180">
        <f>(D615/D612)*AB76</f>
        <v>36971.261923671351</v>
      </c>
      <c r="E693" s="180">
        <f>(E623/E612)*SUM(C693:D693)</f>
        <v>224936.64455766472</v>
      </c>
      <c r="F693" s="180">
        <f>(F624/F612)*AB64</f>
        <v>0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608597.42000000004</v>
      </c>
      <c r="D694" s="180">
        <f>(D615/D612)*AC76</f>
        <v>19587.423535719921</v>
      </c>
      <c r="E694" s="180">
        <f>(E623/E612)*SUM(C694:D694)</f>
        <v>98326.558624956524</v>
      </c>
      <c r="F694" s="180">
        <f>(F624/F612)*AC64</f>
        <v>0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2386731.88</v>
      </c>
      <c r="D696" s="180">
        <f>(D615/D612)*AE76</f>
        <v>346452.55378804612</v>
      </c>
      <c r="E696" s="180">
        <f>(E623/E612)*SUM(C696:D696)</f>
        <v>427811.37148909504</v>
      </c>
      <c r="F696" s="180">
        <f>(F624/F612)*AE64</f>
        <v>0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188839.25</v>
      </c>
      <c r="D701" s="180">
        <f>(D615/D612)*AJ76</f>
        <v>675346.38147800043</v>
      </c>
      <c r="E701" s="180">
        <f>(E623/E612)*SUM(C701:D701)</f>
        <v>135266.55415323621</v>
      </c>
      <c r="F701" s="180">
        <f>(F624/F612)*AJ64</f>
        <v>0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1759788.5199999998</v>
      </c>
      <c r="D702" s="180">
        <f>(D615/D612)*AK76</f>
        <v>0</v>
      </c>
      <c r="E702" s="180">
        <f>(E623/E612)*SUM(C702:D702)</f>
        <v>275450.69076386653</v>
      </c>
      <c r="F702" s="180">
        <f>(F624/F612)*AK64</f>
        <v>0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641696.97</v>
      </c>
      <c r="D703" s="180">
        <f>(D615/D612)*AL76</f>
        <v>0</v>
      </c>
      <c r="E703" s="180">
        <f>(E623/E612)*SUM(C703:D703)</f>
        <v>100441.54262784947</v>
      </c>
      <c r="F703" s="180">
        <f>(F624/F612)*AL64</f>
        <v>0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133486</v>
      </c>
      <c r="D707" s="180">
        <f>(D615/D612)*AP76</f>
        <v>663733.83752468077</v>
      </c>
      <c r="E707" s="180">
        <f>(E623/E612)*SUM(C707:D707)</f>
        <v>124784.74114425453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24874</v>
      </c>
      <c r="D713" s="180">
        <f>(D615/D612)*AV76</f>
        <v>123680.58861126009</v>
      </c>
      <c r="E713" s="180">
        <f>(E623/E612)*SUM(C713:D713)</f>
        <v>23252.489480448261</v>
      </c>
      <c r="F713" s="180">
        <f>(F624/F612)*AV64</f>
        <v>0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">
      <c r="C715" s="180">
        <f>SUM(C614:C647)+SUM(C668:C713)</f>
        <v>40488215.060000002</v>
      </c>
      <c r="D715" s="180">
        <f>SUM(D616:D647)+SUM(D668:D713)</f>
        <v>4435851.8800000008</v>
      </c>
      <c r="E715" s="180">
        <f>SUM(E624:E647)+SUM(E668:E713)</f>
        <v>5479703.1951282145</v>
      </c>
      <c r="F715" s="180">
        <f>SUM(F625:F648)+SUM(F668:F713)</f>
        <v>0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">
      <c r="C716" s="180">
        <f>CE71</f>
        <v>40488215.059999987</v>
      </c>
      <c r="D716" s="180">
        <f>D615</f>
        <v>4435851.8800000008</v>
      </c>
      <c r="E716" s="180">
        <f>E623</f>
        <v>5479703.1951282136</v>
      </c>
      <c r="F716" s="180">
        <f>F624</f>
        <v>0</v>
      </c>
      <c r="G716" s="180">
        <f>G625</f>
        <v>1960572.0208602927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16888469.510000002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">
      <c r="A722" s="202" t="str">
        <f>RIGHT(C83,3)&amp;"*"&amp;RIGHT(C82,4)&amp;"*"&amp;"A"</f>
        <v>157*2021*A</v>
      </c>
      <c r="B722" s="276">
        <f>ROUND(C165,0)</f>
        <v>2664455</v>
      </c>
      <c r="C722" s="276">
        <f>ROUND(C166,0)</f>
        <v>759066</v>
      </c>
      <c r="D722" s="276">
        <f>ROUND(C167,0)</f>
        <v>-56690</v>
      </c>
      <c r="E722" s="276">
        <f>ROUND(C168,0)</f>
        <v>0</v>
      </c>
      <c r="F722" s="276">
        <f>ROUND(C169,0)</f>
        <v>0</v>
      </c>
      <c r="G722" s="276">
        <f>ROUND(C170,0)</f>
        <v>596272</v>
      </c>
      <c r="H722" s="276">
        <f>ROUND(C171+C172,0)</f>
        <v>37521</v>
      </c>
      <c r="I722" s="276">
        <f>ROUND(C175,0)</f>
        <v>1326163</v>
      </c>
      <c r="J722" s="276">
        <f>ROUND(C176,0)</f>
        <v>191623</v>
      </c>
      <c r="K722" s="276">
        <f>ROUND(C179,0)</f>
        <v>0</v>
      </c>
      <c r="L722" s="276">
        <f>ROUND(C180,0)</f>
        <v>0</v>
      </c>
      <c r="M722" s="276">
        <f>ROUND(C183,0)</f>
        <v>642135</v>
      </c>
      <c r="N722" s="276">
        <f>ROUND(C184,0)</f>
        <v>760777</v>
      </c>
      <c r="O722" s="276">
        <f>ROUND(C185,0)</f>
        <v>0</v>
      </c>
      <c r="P722" s="276">
        <f>ROUND(C188,0)</f>
        <v>0</v>
      </c>
      <c r="Q722" s="276">
        <f>ROUND(C189,0)</f>
        <v>0</v>
      </c>
      <c r="R722" s="276">
        <f>ROUND(B195,0)</f>
        <v>622797</v>
      </c>
      <c r="S722" s="276">
        <f>ROUND(C195,0)</f>
        <v>0</v>
      </c>
      <c r="T722" s="276">
        <f>ROUND(D195,0)</f>
        <v>0</v>
      </c>
      <c r="U722" s="276">
        <f>ROUND(B196,0)</f>
        <v>583676</v>
      </c>
      <c r="V722" s="276">
        <f>ROUND(C196,0)</f>
        <v>0</v>
      </c>
      <c r="W722" s="276">
        <f>ROUND(D196,0)</f>
        <v>0</v>
      </c>
      <c r="X722" s="276">
        <f>ROUND(B197,0)</f>
        <v>42135707</v>
      </c>
      <c r="Y722" s="276">
        <f>ROUND(C197,0)</f>
        <v>-3071036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961862</v>
      </c>
      <c r="AE722" s="276">
        <f>ROUND(C199,0)</f>
        <v>-17875</v>
      </c>
      <c r="AF722" s="276">
        <f>ROUND(D199,0)</f>
        <v>0</v>
      </c>
      <c r="AG722" s="276">
        <f>ROUND(B200,0)</f>
        <v>4480356</v>
      </c>
      <c r="AH722" s="276">
        <f>ROUND(C200,0)</f>
        <v>97426</v>
      </c>
      <c r="AI722" s="276">
        <f>ROUND(D200,0)</f>
        <v>-37000</v>
      </c>
      <c r="AJ722" s="276">
        <f>ROUND(B201,0)</f>
        <v>128072</v>
      </c>
      <c r="AK722" s="276">
        <f>ROUND(C201,0)</f>
        <v>0</v>
      </c>
      <c r="AL722" s="276">
        <f>ROUND(D201,0)</f>
        <v>0</v>
      </c>
      <c r="AM722" s="276">
        <f>ROUND(B202,0)</f>
        <v>3780</v>
      </c>
      <c r="AN722" s="276">
        <f>ROUND(C202,0)</f>
        <v>-539026</v>
      </c>
      <c r="AO722" s="276">
        <f>ROUND(D202,0)</f>
        <v>0</v>
      </c>
      <c r="AP722" s="276">
        <f>ROUND(B203,0)</f>
        <v>1237590</v>
      </c>
      <c r="AQ722" s="276">
        <f>ROUND(C203,0)</f>
        <v>10093</v>
      </c>
      <c r="AR722" s="276">
        <f>ROUND(D203,0)</f>
        <v>1229482</v>
      </c>
      <c r="AS722" s="276"/>
      <c r="AT722" s="276"/>
      <c r="AU722" s="276"/>
      <c r="AV722" s="276">
        <f>ROUND(B209,0)</f>
        <v>0</v>
      </c>
      <c r="AW722" s="276">
        <f>ROUND(C209,0)</f>
        <v>0</v>
      </c>
      <c r="AX722" s="276">
        <f>ROUND(D209,0)</f>
        <v>0</v>
      </c>
      <c r="AY722" s="276">
        <f>ROUND(B210,0)</f>
        <v>16458027</v>
      </c>
      <c r="AZ722" s="276">
        <f>ROUND(C210,0)</f>
        <v>0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689643</v>
      </c>
      <c r="BF722" s="276">
        <f>ROUND(C212,0)</f>
        <v>27044</v>
      </c>
      <c r="BG722" s="276">
        <f>ROUND(D212,0)</f>
        <v>0</v>
      </c>
      <c r="BH722" s="276">
        <f>ROUND(B213,0)</f>
        <v>3883115</v>
      </c>
      <c r="BI722" s="276">
        <f>ROUND(C213,0)</f>
        <v>241342</v>
      </c>
      <c r="BJ722" s="276">
        <f>ROUND(D213,0)</f>
        <v>0</v>
      </c>
      <c r="BK722" s="276">
        <f>ROUND(B214,0)</f>
        <v>128072</v>
      </c>
      <c r="BL722" s="276">
        <f>ROUND(C214,0)</f>
        <v>0</v>
      </c>
      <c r="BM722" s="276">
        <f>ROUND(D214,0)</f>
        <v>0</v>
      </c>
      <c r="BN722" s="276">
        <f>ROUND(B215,0)</f>
        <v>2311140</v>
      </c>
      <c r="BO722" s="276">
        <f>ROUND(C215,0)</f>
        <v>1004809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8217104</v>
      </c>
      <c r="BU722" s="276">
        <f>ROUND(C224,0)</f>
        <v>4290659</v>
      </c>
      <c r="BV722" s="276">
        <f>ROUND(C225,0)</f>
        <v>1381514</v>
      </c>
      <c r="BW722" s="276">
        <f>ROUND(C226,0)</f>
        <v>863699</v>
      </c>
      <c r="BX722" s="276">
        <f>ROUND(C227,0)</f>
        <v>2684096</v>
      </c>
      <c r="BY722" s="276">
        <f>ROUND(C228,0)</f>
        <v>30480271</v>
      </c>
      <c r="BZ722" s="276">
        <f>ROUND(C231,0)</f>
        <v>71</v>
      </c>
      <c r="CA722" s="276">
        <f>ROUND(C233,0)</f>
        <v>321005</v>
      </c>
      <c r="CB722" s="276">
        <f>ROUND(C234,0)</f>
        <v>7152</v>
      </c>
      <c r="CC722" s="276">
        <f>ROUND(C238+C239,0)</f>
        <v>0</v>
      </c>
      <c r="CD722" s="276">
        <f>D221</f>
        <v>391991.85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157*2021*A</v>
      </c>
      <c r="B726" s="276">
        <f>ROUND(C111,0)</f>
        <v>1209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17314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0</v>
      </c>
      <c r="M726" s="276">
        <f>ROUND(C119,0)</f>
        <v>0</v>
      </c>
      <c r="N726" s="276">
        <f>ROUND(C120,0)</f>
        <v>0</v>
      </c>
      <c r="O726" s="276">
        <f>ROUND(C121,0)</f>
        <v>72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102</v>
      </c>
      <c r="W726" s="276">
        <f>ROUND(C129,0)</f>
        <v>0</v>
      </c>
      <c r="X726" s="276">
        <f>ROUND(B138,0)</f>
        <v>0</v>
      </c>
      <c r="Y726" s="276">
        <f>ROUND(B139,0)</f>
        <v>4</v>
      </c>
      <c r="Z726" s="276">
        <f>ROUND(B140,0)</f>
        <v>8483</v>
      </c>
      <c r="AA726" s="276">
        <f>ROUND(B141,0)</f>
        <v>13617105</v>
      </c>
      <c r="AB726" s="276">
        <f>ROUND(B142,0)</f>
        <v>3037972</v>
      </c>
      <c r="AC726" s="276">
        <f>ROUND(C138,0)</f>
        <v>0</v>
      </c>
      <c r="AD726" s="276">
        <f>ROUND(C139,0)</f>
        <v>0</v>
      </c>
      <c r="AE726" s="276">
        <f>ROUND(C140,0)</f>
        <v>6203</v>
      </c>
      <c r="AF726" s="276">
        <f>ROUND(C141,0)</f>
        <v>4946835</v>
      </c>
      <c r="AG726" s="276">
        <f>ROUND(C142,0)</f>
        <v>2221228</v>
      </c>
      <c r="AH726" s="276">
        <f>ROUND(D138,0)</f>
        <v>1217</v>
      </c>
      <c r="AI726" s="276">
        <f>ROUND(D139,0)</f>
        <v>17310</v>
      </c>
      <c r="AJ726" s="276">
        <f>ROUND(D140,0)</f>
        <v>56060</v>
      </c>
      <c r="AK726" s="276">
        <f>ROUND(D141,0)</f>
        <v>45769834</v>
      </c>
      <c r="AL726" s="276">
        <f>ROUND(D142,0)</f>
        <v>20076202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157*2021*A</v>
      </c>
      <c r="B730" s="276">
        <f>ROUND(C250,0)</f>
        <v>2512751</v>
      </c>
      <c r="C730" s="276">
        <f>ROUND(C251,0)</f>
        <v>0</v>
      </c>
      <c r="D730" s="276">
        <f>ROUND(C252,0)</f>
        <v>17399194</v>
      </c>
      <c r="E730" s="276">
        <f>ROUND(C253,0)</f>
        <v>11212144</v>
      </c>
      <c r="F730" s="276">
        <f>ROUND(C254,0)</f>
        <v>0</v>
      </c>
      <c r="G730" s="276">
        <f>ROUND(C255,0)</f>
        <v>2501074</v>
      </c>
      <c r="H730" s="276">
        <f>ROUND(C256,0)</f>
        <v>0</v>
      </c>
      <c r="I730" s="276">
        <f>ROUND(C257,0)</f>
        <v>194424</v>
      </c>
      <c r="J730" s="276">
        <f>ROUND(C258,0)</f>
        <v>39828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6171213</v>
      </c>
      <c r="O730" s="276">
        <f>ROUND(C267,0)</f>
        <v>622797</v>
      </c>
      <c r="P730" s="276">
        <f>ROUND(C268,0)</f>
        <v>583676</v>
      </c>
      <c r="Q730" s="276">
        <f>ROUND(C269,0)</f>
        <v>39064671</v>
      </c>
      <c r="R730" s="276">
        <f>ROUND(C270,0)</f>
        <v>0</v>
      </c>
      <c r="S730" s="276">
        <f>ROUND(C271,0)</f>
        <v>943987</v>
      </c>
      <c r="T730" s="276">
        <f>ROUND(C272,0)</f>
        <v>4742855</v>
      </c>
      <c r="U730" s="276">
        <f>ROUND(C273,0)</f>
        <v>-535246</v>
      </c>
      <c r="V730" s="276">
        <f>ROUND(C274,0)</f>
        <v>18202</v>
      </c>
      <c r="W730" s="276">
        <f>ROUND(C275,0)</f>
        <v>0</v>
      </c>
      <c r="X730" s="276">
        <f>ROUND(C276,0)</f>
        <v>24743191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249653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132516</v>
      </c>
      <c r="AI730" s="276">
        <f>ROUND(C306,0)</f>
        <v>2528592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2266507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3333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148000</v>
      </c>
      <c r="BA730" s="276">
        <f>ROUND(C328,0)</f>
        <v>0</v>
      </c>
      <c r="BB730" s="276">
        <f>ROUND(C332,0)</f>
        <v>33474795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470.27</v>
      </c>
      <c r="BJ730" s="276">
        <f>ROUND(C359,0)</f>
        <v>64333774</v>
      </c>
      <c r="BK730" s="276">
        <f>ROUND(C360,0)</f>
        <v>25335402</v>
      </c>
      <c r="BL730" s="276">
        <f>ROUND(C364,0)</f>
        <v>47917344</v>
      </c>
      <c r="BM730" s="276">
        <f>ROUND(C365,0)</f>
        <v>328157</v>
      </c>
      <c r="BN730" s="276">
        <f>ROUND(C366,0)</f>
        <v>0</v>
      </c>
      <c r="BO730" s="276">
        <f>ROUND(C370,0)</f>
        <v>12851768</v>
      </c>
      <c r="BP730" s="276">
        <f>ROUND(C371,0)</f>
        <v>0</v>
      </c>
      <c r="BQ730" s="276">
        <f>ROUND(C378,0)</f>
        <v>36385493</v>
      </c>
      <c r="BR730" s="276">
        <f>ROUND(C379,0)</f>
        <v>4000625</v>
      </c>
      <c r="BS730" s="276">
        <f>ROUND(C380,0)</f>
        <v>254121</v>
      </c>
      <c r="BT730" s="276">
        <f>ROUND(C381,0)</f>
        <v>1654771</v>
      </c>
      <c r="BU730" s="276">
        <f>ROUND(C382,0)</f>
        <v>623057</v>
      </c>
      <c r="BV730" s="276">
        <f>ROUND(C383,0)</f>
        <v>5452438</v>
      </c>
      <c r="BW730" s="276">
        <f>ROUND(C384,0)</f>
        <v>1273195</v>
      </c>
      <c r="BX730" s="276">
        <f>ROUND(C385,0)</f>
        <v>1517785</v>
      </c>
      <c r="BY730" s="276">
        <f>ROUND(C386,0)</f>
        <v>0</v>
      </c>
      <c r="BZ730" s="276">
        <f>ROUND(C387,0)</f>
        <v>1402913</v>
      </c>
      <c r="CA730" s="276">
        <f>ROUND(C388,0)</f>
        <v>0</v>
      </c>
      <c r="CB730" s="276">
        <f>C363</f>
        <v>391991.85</v>
      </c>
      <c r="CC730" s="276">
        <f>ROUND(C389,0)</f>
        <v>775583</v>
      </c>
      <c r="CD730" s="276">
        <f>ROUND(C392,0)</f>
        <v>11485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157*2021*6010*A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157*2021*6030*A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157*2021*6070*A</v>
      </c>
      <c r="B736" s="276">
        <f>ROUND(E59,0)</f>
        <v>0</v>
      </c>
      <c r="C736" s="278">
        <f>ROUND(E60,2)</f>
        <v>0</v>
      </c>
      <c r="D736" s="276">
        <f>ROUND(E61,0)</f>
        <v>0</v>
      </c>
      <c r="E736" s="276">
        <f>ROUND(E62,0)</f>
        <v>0</v>
      </c>
      <c r="F736" s="276">
        <f>ROUND(E63,0)</f>
        <v>0</v>
      </c>
      <c r="G736" s="276">
        <f>ROUND(E64,0)</f>
        <v>0</v>
      </c>
      <c r="H736" s="276">
        <f>ROUND(E65,0)</f>
        <v>0</v>
      </c>
      <c r="I736" s="276">
        <f>ROUND(E66,0)</f>
        <v>0</v>
      </c>
      <c r="J736" s="276">
        <f>ROUND(E67,0)</f>
        <v>0</v>
      </c>
      <c r="K736" s="276">
        <f>ROUND(E68,0)</f>
        <v>0</v>
      </c>
      <c r="L736" s="276">
        <f>ROUND(E69,0)</f>
        <v>0</v>
      </c>
      <c r="M736" s="276">
        <f>ROUND(E70,0)</f>
        <v>0</v>
      </c>
      <c r="N736" s="276">
        <f>ROUND(E75,0)</f>
        <v>0</v>
      </c>
      <c r="O736" s="276">
        <f>ROUND(E73,0)</f>
        <v>0</v>
      </c>
      <c r="P736" s="276">
        <f>IF(E76&gt;0,ROUND(E76,0),0)</f>
        <v>0</v>
      </c>
      <c r="Q736" s="276">
        <f>IF(E77&gt;0,ROUND(E77,0),0)</f>
        <v>0</v>
      </c>
      <c r="R736" s="276">
        <f>IF(E78&gt;0,ROUND(E78,0),0)</f>
        <v>0</v>
      </c>
      <c r="S736" s="276">
        <f>IF(E79&gt;0,ROUND(E79,0),0)</f>
        <v>0</v>
      </c>
      <c r="T736" s="278">
        <f>IF(E80&gt;0,ROUND(E80,2),0)</f>
        <v>0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157*2021*6100*A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157*2021*6120*A</v>
      </c>
      <c r="B738" s="276">
        <f>ROUND(G59,0)</f>
        <v>17314</v>
      </c>
      <c r="C738" s="278">
        <f>ROUND(G60,2)</f>
        <v>262.64</v>
      </c>
      <c r="D738" s="276">
        <f>ROUND(G61,0)</f>
        <v>20958916</v>
      </c>
      <c r="E738" s="276">
        <f>ROUND(G62,0)</f>
        <v>2304456</v>
      </c>
      <c r="F738" s="276">
        <f>ROUND(G63,0)</f>
        <v>0</v>
      </c>
      <c r="G738" s="276">
        <f>ROUND(G64,0)</f>
        <v>472844</v>
      </c>
      <c r="H738" s="276">
        <f>ROUND(G65,0)</f>
        <v>53580</v>
      </c>
      <c r="I738" s="276">
        <f>ROUND(G66,0)</f>
        <v>283770</v>
      </c>
      <c r="J738" s="276">
        <f>ROUND(G67,0)</f>
        <v>253726</v>
      </c>
      <c r="K738" s="276">
        <f>ROUND(G68,0)</f>
        <v>354872</v>
      </c>
      <c r="L738" s="276">
        <f>ROUND(G69,0)</f>
        <v>76624</v>
      </c>
      <c r="M738" s="276">
        <f>ROUND(G70,0)</f>
        <v>8653690</v>
      </c>
      <c r="N738" s="276">
        <f>ROUND(G75,0)</f>
        <v>58013154</v>
      </c>
      <c r="O738" s="276">
        <f>ROUND(G73,0)</f>
        <v>33602711</v>
      </c>
      <c r="P738" s="276">
        <f>IF(G76&gt;0,ROUND(G76,0),0)</f>
        <v>36069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41.87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157*2021*6140*A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157*2021*6150*A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157*2021*6170*A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157*2021*6200*A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157*2021*6210*A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157*2021*6330*A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157*2021*6400*A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157*2021*7010*A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157*2021*7020*A</v>
      </c>
      <c r="B747" s="276">
        <f>ROUND(P59,0)</f>
        <v>0</v>
      </c>
      <c r="C747" s="278">
        <f>ROUND(P60,2)</f>
        <v>0</v>
      </c>
      <c r="D747" s="276">
        <f>ROUND(P61,0)</f>
        <v>0</v>
      </c>
      <c r="E747" s="276">
        <f>ROUND(P62,0)</f>
        <v>0</v>
      </c>
      <c r="F747" s="276">
        <f>ROUND(P63,0)</f>
        <v>0</v>
      </c>
      <c r="G747" s="276">
        <f>ROUND(P64,0)</f>
        <v>0</v>
      </c>
      <c r="H747" s="276">
        <f>ROUND(P65,0)</f>
        <v>0</v>
      </c>
      <c r="I747" s="276">
        <f>ROUND(P66,0)</f>
        <v>0</v>
      </c>
      <c r="J747" s="276">
        <f>ROUND(P67,0)</f>
        <v>0</v>
      </c>
      <c r="K747" s="276">
        <f>ROUND(P68,0)</f>
        <v>0</v>
      </c>
      <c r="L747" s="276">
        <f>ROUND(P69,0)</f>
        <v>0</v>
      </c>
      <c r="M747" s="276">
        <f>ROUND(P70,0)</f>
        <v>0</v>
      </c>
      <c r="N747" s="276">
        <f>ROUND(P75,0)</f>
        <v>0</v>
      </c>
      <c r="O747" s="276">
        <f>ROUND(P73,0)</f>
        <v>0</v>
      </c>
      <c r="P747" s="276">
        <f>IF(P76&gt;0,ROUND(P76,0),0)</f>
        <v>0</v>
      </c>
      <c r="Q747" s="276">
        <f>IF(P77&gt;0,ROUND(P77,0),0)</f>
        <v>0</v>
      </c>
      <c r="R747" s="276">
        <f>IF(P78&gt;0,ROUND(P78,0),0)</f>
        <v>0</v>
      </c>
      <c r="S747" s="276">
        <f>IF(P79&gt;0,ROUND(P79,0),0)</f>
        <v>0</v>
      </c>
      <c r="T747" s="278">
        <f>IF(P80&gt;0,ROUND(P80,2),0)</f>
        <v>0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157*2021*7030*A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157*2021*7040*A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157*2021*7050*A</v>
      </c>
      <c r="B750" s="276"/>
      <c r="C750" s="278">
        <f>ROUND(S60,2)</f>
        <v>0</v>
      </c>
      <c r="D750" s="276">
        <f>ROUND(S61,0)</f>
        <v>-4375</v>
      </c>
      <c r="E750" s="276">
        <f>ROUND(S62,0)</f>
        <v>-481</v>
      </c>
      <c r="F750" s="276">
        <f>ROUND(S63,0)</f>
        <v>0</v>
      </c>
      <c r="G750" s="276">
        <f>ROUND(S64,0)</f>
        <v>33289</v>
      </c>
      <c r="H750" s="276">
        <f>ROUND(S65,0)</f>
        <v>0</v>
      </c>
      <c r="I750" s="276">
        <f>ROUND(S66,0)</f>
        <v>9021</v>
      </c>
      <c r="J750" s="276">
        <f>ROUND(S67,0)</f>
        <v>0</v>
      </c>
      <c r="K750" s="276">
        <f>ROUND(S68,0)</f>
        <v>0</v>
      </c>
      <c r="L750" s="276">
        <f>ROUND(S69,0)</f>
        <v>153014</v>
      </c>
      <c r="M750" s="276">
        <f>ROUND(S70,0)</f>
        <v>0</v>
      </c>
      <c r="N750" s="276">
        <f>ROUND(S75,0)</f>
        <v>234298</v>
      </c>
      <c r="O750" s="276">
        <f>ROUND(S73,0)</f>
        <v>234298</v>
      </c>
      <c r="P750" s="276">
        <f>IF(S76&gt;0,ROUND(S76,0),0)</f>
        <v>0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157*2021*7060*A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157*2021*7070*A</v>
      </c>
      <c r="B752" s="276">
        <f>ROUND(U59,0)</f>
        <v>0</v>
      </c>
      <c r="C752" s="278">
        <f>ROUND(U60,2)</f>
        <v>0</v>
      </c>
      <c r="D752" s="276">
        <f>ROUND(U61,0)</f>
        <v>0</v>
      </c>
      <c r="E752" s="276">
        <f>ROUND(U62,0)</f>
        <v>0</v>
      </c>
      <c r="F752" s="276">
        <f>ROUND(U63,0)</f>
        <v>0</v>
      </c>
      <c r="G752" s="276">
        <f>ROUND(U64,0)</f>
        <v>23394</v>
      </c>
      <c r="H752" s="276">
        <f>ROUND(U65,0)</f>
        <v>0</v>
      </c>
      <c r="I752" s="276">
        <f>ROUND(U66,0)</f>
        <v>121339</v>
      </c>
      <c r="J752" s="276">
        <f>ROUND(U67,0)</f>
        <v>0</v>
      </c>
      <c r="K752" s="276">
        <f>ROUND(U68,0)</f>
        <v>0</v>
      </c>
      <c r="L752" s="276">
        <f>ROUND(U69,0)</f>
        <v>0</v>
      </c>
      <c r="M752" s="276">
        <f>ROUND(U70,0)</f>
        <v>0</v>
      </c>
      <c r="N752" s="276">
        <f>ROUND(U75,0)</f>
        <v>4600392</v>
      </c>
      <c r="O752" s="276">
        <f>ROUND(U73,0)</f>
        <v>4088821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157*2021*7110*A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157*2021*7120*A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157*2021*7130*A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0</v>
      </c>
      <c r="K755" s="276">
        <f>ROUND(X68,0)</f>
        <v>0</v>
      </c>
      <c r="L755" s="276">
        <f>ROUND(X69,0)</f>
        <v>0</v>
      </c>
      <c r="M755" s="276">
        <f>ROUND(X70,0)</f>
        <v>0</v>
      </c>
      <c r="N755" s="276">
        <f>ROUND(X75,0)</f>
        <v>0</v>
      </c>
      <c r="O755" s="276">
        <f>ROUND(X73,0)</f>
        <v>0</v>
      </c>
      <c r="P755" s="276">
        <f>IF(X76&gt;0,ROUND(X76,0),0)</f>
        <v>0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157*2021*7140*A</v>
      </c>
      <c r="B756" s="276">
        <f>ROUND(Y59,0)</f>
        <v>0</v>
      </c>
      <c r="C756" s="278">
        <f>ROUND(Y60,2)</f>
        <v>0</v>
      </c>
      <c r="D756" s="276">
        <f>ROUND(Y61,0)</f>
        <v>0</v>
      </c>
      <c r="E756" s="276">
        <f>ROUND(Y62,0)</f>
        <v>0</v>
      </c>
      <c r="F756" s="276">
        <f>ROUND(Y63,0)</f>
        <v>0</v>
      </c>
      <c r="G756" s="276">
        <f>ROUND(Y64,0)</f>
        <v>0</v>
      </c>
      <c r="H756" s="276">
        <f>ROUND(Y65,0)</f>
        <v>0</v>
      </c>
      <c r="I756" s="276">
        <f>ROUND(Y66,0)</f>
        <v>0</v>
      </c>
      <c r="J756" s="276">
        <f>ROUND(Y67,0)</f>
        <v>0</v>
      </c>
      <c r="K756" s="276">
        <f>ROUND(Y68,0)</f>
        <v>0</v>
      </c>
      <c r="L756" s="276">
        <f>ROUND(Y69,0)</f>
        <v>15339</v>
      </c>
      <c r="M756" s="276">
        <f>ROUND(Y70,0)</f>
        <v>0</v>
      </c>
      <c r="N756" s="276">
        <f>ROUND(Y75,0)</f>
        <v>413889</v>
      </c>
      <c r="O756" s="276">
        <f>ROUND(Y73,0)</f>
        <v>413889</v>
      </c>
      <c r="P756" s="276">
        <f>IF(Y76&gt;0,ROUND(Y76,0),0)</f>
        <v>0</v>
      </c>
      <c r="Q756" s="276">
        <f>IF(Y77&gt;0,ROUND(Y77,0),0)</f>
        <v>0</v>
      </c>
      <c r="R756" s="276">
        <f>IF(Y78&gt;0,ROUND(Y78,0),0)</f>
        <v>0</v>
      </c>
      <c r="S756" s="276">
        <f>IF(Y79&gt;0,ROUND(Y79,0),0)</f>
        <v>0</v>
      </c>
      <c r="T756" s="278">
        <f>IF(Y80&gt;0,ROUND(Y80,2),0)</f>
        <v>0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157*2021*7150*A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157*2021*7160*A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157*2021*7170*A</v>
      </c>
      <c r="B759" s="276"/>
      <c r="C759" s="278">
        <f>ROUND(AB60,2)</f>
        <v>6.9</v>
      </c>
      <c r="D759" s="276">
        <f>ROUND(AB61,0)</f>
        <v>778997</v>
      </c>
      <c r="E759" s="276">
        <f>ROUND(AB62,0)</f>
        <v>85652</v>
      </c>
      <c r="F759" s="276">
        <f>ROUND(AB63,0)</f>
        <v>0</v>
      </c>
      <c r="G759" s="276">
        <f>ROUND(AB64,0)</f>
        <v>497395</v>
      </c>
      <c r="H759" s="276">
        <f>ROUND(AB65,0)</f>
        <v>0</v>
      </c>
      <c r="I759" s="276">
        <f>ROUND(AB66,0)</f>
        <v>5937</v>
      </c>
      <c r="J759" s="276">
        <f>ROUND(AB67,0)</f>
        <v>7435</v>
      </c>
      <c r="K759" s="276">
        <f>ROUND(AB68,0)</f>
        <v>24128</v>
      </c>
      <c r="L759" s="276">
        <f>ROUND(AB69,0)</f>
        <v>551</v>
      </c>
      <c r="M759" s="276">
        <f>ROUND(AB70,0)</f>
        <v>0</v>
      </c>
      <c r="N759" s="276">
        <f>ROUND(AB75,0)</f>
        <v>3824024</v>
      </c>
      <c r="O759" s="276">
        <f>ROUND(AB73,0)</f>
        <v>3824024</v>
      </c>
      <c r="P759" s="276">
        <f>IF(AB76&gt;0,ROUND(AB76,0),0)</f>
        <v>1057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157*2021*7180*A</v>
      </c>
      <c r="B760" s="276">
        <f>ROUND(AC59,0)</f>
        <v>0</v>
      </c>
      <c r="C760" s="278">
        <f>ROUND(AC60,2)</f>
        <v>5.76</v>
      </c>
      <c r="D760" s="276">
        <f>ROUND(AC61,0)</f>
        <v>493879</v>
      </c>
      <c r="E760" s="276">
        <f>ROUND(AC62,0)</f>
        <v>54303</v>
      </c>
      <c r="F760" s="276">
        <f>ROUND(AC63,0)</f>
        <v>0</v>
      </c>
      <c r="G760" s="276">
        <f>ROUND(AC64,0)</f>
        <v>52804</v>
      </c>
      <c r="H760" s="276">
        <f>ROUND(AC65,0)</f>
        <v>156</v>
      </c>
      <c r="I760" s="276">
        <f>ROUND(AC66,0)</f>
        <v>56</v>
      </c>
      <c r="J760" s="276">
        <f>ROUND(AC67,0)</f>
        <v>3939</v>
      </c>
      <c r="K760" s="276">
        <f>ROUND(AC68,0)</f>
        <v>11534</v>
      </c>
      <c r="L760" s="276">
        <f>ROUND(AC69,0)</f>
        <v>2179</v>
      </c>
      <c r="M760" s="276">
        <f>ROUND(AC70,0)</f>
        <v>10253</v>
      </c>
      <c r="N760" s="276">
        <f>ROUND(AC75,0)</f>
        <v>1969048</v>
      </c>
      <c r="O760" s="276">
        <f>ROUND(AC73,0)</f>
        <v>1969048</v>
      </c>
      <c r="P760" s="276">
        <f>IF(AC76&gt;0,ROUND(AC76,0),0)</f>
        <v>560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157*2021*7190*A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157*2021*7200*A</v>
      </c>
      <c r="B762" s="276">
        <f>ROUND(AE59,0)</f>
        <v>0</v>
      </c>
      <c r="C762" s="278">
        <f>ROUND(AE60,2)</f>
        <v>30.17</v>
      </c>
      <c r="D762" s="276">
        <f>ROUND(AE61,0)</f>
        <v>2267200</v>
      </c>
      <c r="E762" s="276">
        <f>ROUND(AE62,0)</f>
        <v>249281</v>
      </c>
      <c r="F762" s="276">
        <f>ROUND(AE63,0)</f>
        <v>0</v>
      </c>
      <c r="G762" s="276">
        <f>ROUND(AE64,0)</f>
        <v>36916</v>
      </c>
      <c r="H762" s="276">
        <f>ROUND(AE65,0)</f>
        <v>156</v>
      </c>
      <c r="I762" s="276">
        <f>ROUND(AE66,0)</f>
        <v>3080</v>
      </c>
      <c r="J762" s="276">
        <f>ROUND(AE67,0)</f>
        <v>69676</v>
      </c>
      <c r="K762" s="276">
        <f>ROUND(AE68,0)</f>
        <v>58</v>
      </c>
      <c r="L762" s="276">
        <f>ROUND(AE69,0)</f>
        <v>16234</v>
      </c>
      <c r="M762" s="276">
        <f>ROUND(AE70,0)</f>
        <v>255868</v>
      </c>
      <c r="N762" s="276">
        <f>ROUND(AE75,0)</f>
        <v>7729680</v>
      </c>
      <c r="O762" s="276">
        <f>ROUND(AE73,0)</f>
        <v>7729680</v>
      </c>
      <c r="P762" s="276">
        <f>IF(AE76&gt;0,ROUND(AE76,0),0)</f>
        <v>9905</v>
      </c>
      <c r="Q762" s="276">
        <f>IF(AE77&gt;0,ROUND(AE77,0),0)</f>
        <v>0</v>
      </c>
      <c r="R762" s="276">
        <f>IF(AE78&gt;0,ROUND(AE78,0),0)</f>
        <v>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157*2021*7220*A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157*2021*7230*A</v>
      </c>
      <c r="B764" s="276">
        <f>ROUND(AG59,0)</f>
        <v>0</v>
      </c>
      <c r="C764" s="278">
        <f>ROUND(AG60,2)</f>
        <v>0</v>
      </c>
      <c r="D764" s="276">
        <f>ROUND(AG61,0)</f>
        <v>0</v>
      </c>
      <c r="E764" s="276">
        <f>ROUND(AG62,0)</f>
        <v>0</v>
      </c>
      <c r="F764" s="276">
        <f>ROUND(AG63,0)</f>
        <v>0</v>
      </c>
      <c r="G764" s="276">
        <f>ROUND(AG64,0)</f>
        <v>0</v>
      </c>
      <c r="H764" s="276">
        <f>ROUND(AG65,0)</f>
        <v>0</v>
      </c>
      <c r="I764" s="276">
        <f>ROUND(AG66,0)</f>
        <v>0</v>
      </c>
      <c r="J764" s="276">
        <f>ROUND(AG67,0)</f>
        <v>0</v>
      </c>
      <c r="K764" s="276">
        <f>ROUND(AG68,0)</f>
        <v>0</v>
      </c>
      <c r="L764" s="276">
        <f>ROUND(AG69,0)</f>
        <v>0</v>
      </c>
      <c r="M764" s="276">
        <f>ROUND(AG70,0)</f>
        <v>0</v>
      </c>
      <c r="N764" s="276">
        <f>ROUND(AG75,0)</f>
        <v>0</v>
      </c>
      <c r="O764" s="276">
        <f>ROUND(AG73,0)</f>
        <v>0</v>
      </c>
      <c r="P764" s="276">
        <f>IF(AG76&gt;0,ROUND(AG76,0),0)</f>
        <v>0</v>
      </c>
      <c r="Q764" s="276">
        <f>IF(AG77&gt;0,ROUND(AG77,0),0)</f>
        <v>0</v>
      </c>
      <c r="R764" s="276">
        <f>IF(AG78&gt;0,ROUND(AG78,0),0)</f>
        <v>0</v>
      </c>
      <c r="S764" s="276">
        <f>IF(AG79&gt;0,ROUND(AG79,0),0)</f>
        <v>0</v>
      </c>
      <c r="T764" s="278">
        <f>IF(AG80&gt;0,ROUND(AG80,2),0)</f>
        <v>0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157*2021*7240*A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157*2021*7250*A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157*2021*7260*A</v>
      </c>
      <c r="B767" s="276">
        <f>ROUND(AJ59,0)</f>
        <v>0</v>
      </c>
      <c r="C767" s="278">
        <f>ROUND(AJ60,2)</f>
        <v>0.37</v>
      </c>
      <c r="D767" s="276">
        <f>ROUND(AJ61,0)</f>
        <v>47418</v>
      </c>
      <c r="E767" s="276">
        <f>ROUND(AJ62,0)</f>
        <v>5214</v>
      </c>
      <c r="F767" s="276">
        <f>ROUND(AJ63,0)</f>
        <v>0</v>
      </c>
      <c r="G767" s="276">
        <f>ROUND(AJ64,0)</f>
        <v>386</v>
      </c>
      <c r="H767" s="276">
        <f>ROUND(AJ65,0)</f>
        <v>0</v>
      </c>
      <c r="I767" s="276">
        <f>ROUND(AJ66,0)</f>
        <v>0</v>
      </c>
      <c r="J767" s="276">
        <f>ROUND(AJ67,0)</f>
        <v>135821</v>
      </c>
      <c r="K767" s="276">
        <f>ROUND(AJ68,0)</f>
        <v>0</v>
      </c>
      <c r="L767" s="276">
        <f>ROUND(AJ69,0)</f>
        <v>0</v>
      </c>
      <c r="M767" s="276">
        <f>ROUND(AJ70,0)</f>
        <v>0</v>
      </c>
      <c r="N767" s="276">
        <f>ROUND(AJ75,0)</f>
        <v>75288</v>
      </c>
      <c r="O767" s="276">
        <f>ROUND(AJ73,0)</f>
        <v>0</v>
      </c>
      <c r="P767" s="276">
        <f>IF(AJ76&gt;0,ROUND(AJ76,0),0)</f>
        <v>19308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0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157*2021*7310*A</v>
      </c>
      <c r="B768" s="276">
        <f>ROUND(AK59,0)</f>
        <v>0</v>
      </c>
      <c r="C768" s="278">
        <f>ROUND(AK60,2)</f>
        <v>19.420000000000002</v>
      </c>
      <c r="D768" s="276">
        <f>ROUND(AK61,0)</f>
        <v>1540828</v>
      </c>
      <c r="E768" s="276">
        <f>ROUND(AK62,0)</f>
        <v>169416</v>
      </c>
      <c r="F768" s="276">
        <f>ROUND(AK63,0)</f>
        <v>0</v>
      </c>
      <c r="G768" s="276">
        <f>ROUND(AK64,0)</f>
        <v>22980</v>
      </c>
      <c r="H768" s="276">
        <f>ROUND(AK65,0)</f>
        <v>254</v>
      </c>
      <c r="I768" s="276">
        <f>ROUND(AK66,0)</f>
        <v>915</v>
      </c>
      <c r="J768" s="276">
        <f>ROUND(AK67,0)</f>
        <v>0</v>
      </c>
      <c r="K768" s="276">
        <f>ROUND(AK68,0)</f>
        <v>0</v>
      </c>
      <c r="L768" s="276">
        <f>ROUND(AK69,0)</f>
        <v>26181</v>
      </c>
      <c r="M768" s="276">
        <f>ROUND(AK70,0)</f>
        <v>785</v>
      </c>
      <c r="N768" s="276">
        <f>ROUND(AK75,0)</f>
        <v>10133119</v>
      </c>
      <c r="O768" s="276">
        <f>ROUND(AK73,0)</f>
        <v>10133119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157*2021*7320*A</v>
      </c>
      <c r="B769" s="276">
        <f>ROUND(AL59,0)</f>
        <v>0</v>
      </c>
      <c r="C769" s="278">
        <f>ROUND(AL60,2)</f>
        <v>6.12</v>
      </c>
      <c r="D769" s="276">
        <f>ROUND(AL61,0)</f>
        <v>570342</v>
      </c>
      <c r="E769" s="276">
        <f>ROUND(AL62,0)</f>
        <v>62710</v>
      </c>
      <c r="F769" s="276">
        <f>ROUND(AL63,0)</f>
        <v>0</v>
      </c>
      <c r="G769" s="276">
        <f>ROUND(AL64,0)</f>
        <v>6037</v>
      </c>
      <c r="H769" s="276">
        <f>ROUND(AL65,0)</f>
        <v>0</v>
      </c>
      <c r="I769" s="276">
        <f>ROUND(AL66,0)</f>
        <v>345</v>
      </c>
      <c r="J769" s="276">
        <f>ROUND(AL67,0)</f>
        <v>0</v>
      </c>
      <c r="K769" s="276">
        <f>ROUND(AL68,0)</f>
        <v>0</v>
      </c>
      <c r="L769" s="276">
        <f>ROUND(AL69,0)</f>
        <v>2263</v>
      </c>
      <c r="M769" s="276">
        <f>ROUND(AL70,0)</f>
        <v>0</v>
      </c>
      <c r="N769" s="276">
        <f>ROUND(AL75,0)</f>
        <v>2338184</v>
      </c>
      <c r="O769" s="276">
        <f>ROUND(AL73,0)</f>
        <v>2338184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157*2021*7330*A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157*2021*7340*A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157*2021*7350*A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157*2021*7380*A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133486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18976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157*2021*7390*A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157*2021*7400*A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157*2021*7410*A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157*2021*7420*A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157*2021*7430*A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157*2021*7490*A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24874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0</v>
      </c>
      <c r="O779" s="276">
        <f>ROUND(AV73,0)</f>
        <v>0</v>
      </c>
      <c r="P779" s="276">
        <f>IF(AV76&gt;0,ROUND(AV76,0),0)</f>
        <v>3536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157*2021*8200*A</v>
      </c>
      <c r="B780" s="276"/>
      <c r="C780" s="278">
        <f>ROUND(AW60,2)</f>
        <v>1</v>
      </c>
      <c r="D780" s="276">
        <f>ROUND(AW61,0)</f>
        <v>162425</v>
      </c>
      <c r="E780" s="276">
        <f>ROUND(AW62,0)</f>
        <v>17859</v>
      </c>
      <c r="F780" s="276">
        <f>ROUND(AW63,0)</f>
        <v>0</v>
      </c>
      <c r="G780" s="276">
        <f>ROUND(AW64,0)</f>
        <v>3989</v>
      </c>
      <c r="H780" s="276">
        <f>ROUND(AW65,0)</f>
        <v>0</v>
      </c>
      <c r="I780" s="276">
        <f>ROUND(AW66,0)</f>
        <v>20</v>
      </c>
      <c r="J780" s="276">
        <f>ROUND(AW67,0)</f>
        <v>0</v>
      </c>
      <c r="K780" s="276">
        <f>ROUND(AW68,0)</f>
        <v>0</v>
      </c>
      <c r="L780" s="276">
        <f>ROUND(AW69,0)</f>
        <v>1308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157*2021*8310*A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157*2021*8320*A</v>
      </c>
      <c r="B782" s="276">
        <f>ROUND(AY59,0)</f>
        <v>0</v>
      </c>
      <c r="C782" s="278">
        <f>ROUND(AY60,2)</f>
        <v>20.88</v>
      </c>
      <c r="D782" s="276">
        <f>ROUND(AY61,0)</f>
        <v>981758</v>
      </c>
      <c r="E782" s="276">
        <f>ROUND(AY62,0)</f>
        <v>107945</v>
      </c>
      <c r="F782" s="276">
        <f>ROUND(AY63,0)</f>
        <v>0</v>
      </c>
      <c r="G782" s="276">
        <f>ROUND(AY64,0)</f>
        <v>248985</v>
      </c>
      <c r="H782" s="276">
        <f>ROUND(AY65,0)</f>
        <v>0</v>
      </c>
      <c r="I782" s="276">
        <f>ROUND(AY66,0)</f>
        <v>214197</v>
      </c>
      <c r="J782" s="276">
        <f>ROUND(AY67,0)</f>
        <v>32140</v>
      </c>
      <c r="K782" s="276">
        <f>ROUND(AY68,0)</f>
        <v>0</v>
      </c>
      <c r="L782" s="276">
        <f>ROUND(AY69,0)</f>
        <v>15818</v>
      </c>
      <c r="M782" s="276">
        <f>ROUND(AY70,0)</f>
        <v>65429</v>
      </c>
      <c r="N782" s="276"/>
      <c r="O782" s="276"/>
      <c r="P782" s="276">
        <f>IF(AY76&gt;0,ROUND(AY76,0),0)</f>
        <v>4569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157*2021*8330*A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76</v>
      </c>
      <c r="H783" s="276">
        <f>ROUND(AZ65,0)</f>
        <v>0</v>
      </c>
      <c r="I783" s="276">
        <f>ROUND(AZ66,0)</f>
        <v>748</v>
      </c>
      <c r="J783" s="276">
        <f>ROUND(AZ67,0)</f>
        <v>12134</v>
      </c>
      <c r="K783" s="276">
        <f>ROUND(AZ68,0)</f>
        <v>0</v>
      </c>
      <c r="L783" s="276">
        <f>ROUND(AZ69,0)</f>
        <v>0</v>
      </c>
      <c r="M783" s="276">
        <f>ROUND(AZ70,0)</f>
        <v>95108</v>
      </c>
      <c r="N783" s="276"/>
      <c r="O783" s="276"/>
      <c r="P783" s="276">
        <f>IF(AZ76&gt;0,ROUND(AZ76,0),0)</f>
        <v>1725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157*2021*8350*A</v>
      </c>
      <c r="B784" s="276">
        <f>ROUND(BA59,0)</f>
        <v>0</v>
      </c>
      <c r="C784" s="278">
        <f>ROUND(BA60,2)</f>
        <v>0.89</v>
      </c>
      <c r="D784" s="276">
        <f>ROUND(BA61,0)</f>
        <v>36550</v>
      </c>
      <c r="E784" s="276">
        <f>ROUND(BA62,0)</f>
        <v>4019</v>
      </c>
      <c r="F784" s="276">
        <f>ROUND(BA63,0)</f>
        <v>0</v>
      </c>
      <c r="G784" s="276">
        <f>ROUND(BA64,0)</f>
        <v>6744</v>
      </c>
      <c r="H784" s="276">
        <f>ROUND(BA65,0)</f>
        <v>0</v>
      </c>
      <c r="I784" s="276">
        <f>ROUND(BA66,0)</f>
        <v>89968</v>
      </c>
      <c r="J784" s="276">
        <f>ROUND(BA67,0)</f>
        <v>7295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1037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157*2021*8360*A</v>
      </c>
      <c r="B785" s="276"/>
      <c r="C785" s="278">
        <f>ROUND(BB60,2)</f>
        <v>7.03</v>
      </c>
      <c r="D785" s="276">
        <f>ROUND(BB61,0)</f>
        <v>700516</v>
      </c>
      <c r="E785" s="276">
        <f>ROUND(BB62,0)</f>
        <v>77022</v>
      </c>
      <c r="F785" s="276">
        <f>ROUND(BB63,0)</f>
        <v>0</v>
      </c>
      <c r="G785" s="276">
        <f>ROUND(BB64,0)</f>
        <v>673</v>
      </c>
      <c r="H785" s="276">
        <f>ROUND(BB65,0)</f>
        <v>250</v>
      </c>
      <c r="I785" s="276">
        <f>ROUND(BB66,0)</f>
        <v>65</v>
      </c>
      <c r="J785" s="276">
        <f>ROUND(BB67,0)</f>
        <v>0</v>
      </c>
      <c r="K785" s="276">
        <f>ROUND(BB68,0)</f>
        <v>0</v>
      </c>
      <c r="L785" s="276">
        <f>ROUND(BB69,0)</f>
        <v>1270</v>
      </c>
      <c r="M785" s="276">
        <f>ROUND(BB70,0)</f>
        <v>6684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157*2021*8370*A</v>
      </c>
      <c r="B786" s="276"/>
      <c r="C786" s="278">
        <f>ROUND(BC60,2)</f>
        <v>1.53</v>
      </c>
      <c r="D786" s="276">
        <f>ROUND(BC61,0)</f>
        <v>60832</v>
      </c>
      <c r="E786" s="276">
        <f>ROUND(BC62,0)</f>
        <v>6688</v>
      </c>
      <c r="F786" s="276">
        <f>ROUND(BC63,0)</f>
        <v>0</v>
      </c>
      <c r="G786" s="276">
        <f>ROUND(BC64,0)</f>
        <v>1189</v>
      </c>
      <c r="H786" s="276">
        <f>ROUND(BC65,0)</f>
        <v>156</v>
      </c>
      <c r="I786" s="276">
        <f>ROUND(BC66,0)</f>
        <v>32065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157*2021*8420*A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157*2021*8430*A</v>
      </c>
      <c r="B788" s="276">
        <f>ROUND(BE59,0)</f>
        <v>180994</v>
      </c>
      <c r="C788" s="278">
        <f>ROUND(BE60,2)</f>
        <v>30.88</v>
      </c>
      <c r="D788" s="276">
        <f>ROUND(BE61,0)</f>
        <v>1632178</v>
      </c>
      <c r="E788" s="276">
        <f>ROUND(BE62,0)</f>
        <v>179460</v>
      </c>
      <c r="F788" s="276">
        <f>ROUND(BE63,0)</f>
        <v>0</v>
      </c>
      <c r="G788" s="276">
        <f>ROUND(BE64,0)</f>
        <v>82324</v>
      </c>
      <c r="H788" s="276">
        <f>ROUND(BE65,0)</f>
        <v>455193</v>
      </c>
      <c r="I788" s="276">
        <f>ROUND(BE66,0)</f>
        <v>449026</v>
      </c>
      <c r="J788" s="276">
        <f>ROUND(BE67,0)</f>
        <v>381085</v>
      </c>
      <c r="K788" s="276">
        <f>ROUND(BE68,0)</f>
        <v>1401</v>
      </c>
      <c r="L788" s="276">
        <f>ROUND(BE69,0)</f>
        <v>13540</v>
      </c>
      <c r="M788" s="276">
        <f>ROUND(BE70,0)</f>
        <v>161269</v>
      </c>
      <c r="N788" s="276"/>
      <c r="O788" s="276"/>
      <c r="P788" s="276">
        <f>IF(BE76&gt;0,ROUND(BE76,0),0)</f>
        <v>54174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157*2021*8460*A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3644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518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157*2021*8470*A</v>
      </c>
      <c r="B790" s="276"/>
      <c r="C790" s="278">
        <f>ROUND(BG60,2)</f>
        <v>1.61</v>
      </c>
      <c r="D790" s="276">
        <f>ROUND(BG61,0)</f>
        <v>74084</v>
      </c>
      <c r="E790" s="276">
        <f>ROUND(BG62,0)</f>
        <v>8146</v>
      </c>
      <c r="F790" s="276">
        <f>ROUND(BG63,0)</f>
        <v>0</v>
      </c>
      <c r="G790" s="276">
        <f>ROUND(BG64,0)</f>
        <v>913</v>
      </c>
      <c r="H790" s="276">
        <f>ROUND(BG65,0)</f>
        <v>30928</v>
      </c>
      <c r="I790" s="276">
        <f>ROUND(BG66,0)</f>
        <v>50482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3128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157*2021*8480*A</v>
      </c>
      <c r="B791" s="276"/>
      <c r="C791" s="278">
        <f>ROUND(BH60,2)</f>
        <v>3.81</v>
      </c>
      <c r="D791" s="276">
        <f>ROUND(BH61,0)</f>
        <v>278783</v>
      </c>
      <c r="E791" s="276">
        <f>ROUND(BH62,0)</f>
        <v>30652</v>
      </c>
      <c r="F791" s="276">
        <f>ROUND(BH63,0)</f>
        <v>211655</v>
      </c>
      <c r="G791" s="276">
        <f>ROUND(BH64,0)</f>
        <v>94495</v>
      </c>
      <c r="H791" s="276">
        <f>ROUND(BH65,0)</f>
        <v>0</v>
      </c>
      <c r="I791" s="276">
        <f>ROUND(BH66,0)</f>
        <v>71848</v>
      </c>
      <c r="J791" s="276">
        <f>ROUND(BH67,0)</f>
        <v>0</v>
      </c>
      <c r="K791" s="276">
        <f>ROUND(BH68,0)</f>
        <v>0</v>
      </c>
      <c r="L791" s="276">
        <f>ROUND(BH69,0)</f>
        <v>8134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157*2021*8490*A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157*2021*8510*A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476822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157*2021*8530*A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157*2021*8560*A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157*2021*8590*A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157*2021*8610*A</v>
      </c>
      <c r="B797" s="276"/>
      <c r="C797" s="278">
        <f>ROUND(BN60,2)</f>
        <v>37.880000000000003</v>
      </c>
      <c r="D797" s="276">
        <f>ROUND(BN61,0)</f>
        <v>2928507</v>
      </c>
      <c r="E797" s="276">
        <f>ROUND(BN62,0)</f>
        <v>321993</v>
      </c>
      <c r="F797" s="276">
        <f>ROUND(BN63,0)</f>
        <v>42466</v>
      </c>
      <c r="G797" s="276">
        <f>ROUND(BN64,0)</f>
        <v>26714</v>
      </c>
      <c r="H797" s="276">
        <f>ROUND(BN65,0)</f>
        <v>65891</v>
      </c>
      <c r="I797" s="276">
        <f>ROUND(BN66,0)</f>
        <v>1945665</v>
      </c>
      <c r="J797" s="276">
        <f>ROUND(BN67,0)</f>
        <v>103632</v>
      </c>
      <c r="K797" s="276">
        <f>ROUND(BN68,0)</f>
        <v>1125793</v>
      </c>
      <c r="L797" s="276">
        <f>ROUND(BN69,0)</f>
        <v>384833</v>
      </c>
      <c r="M797" s="276">
        <f>ROUND(BN70,0)</f>
        <v>577713</v>
      </c>
      <c r="N797" s="276"/>
      <c r="O797" s="276"/>
      <c r="P797" s="276">
        <f>IF(BN76&gt;0,ROUND(BN76,0),0)</f>
        <v>14732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157*2021*8620*A</v>
      </c>
      <c r="B798" s="276"/>
      <c r="C798" s="278">
        <f>ROUND(BO60,2)</f>
        <v>0</v>
      </c>
      <c r="D798" s="276">
        <f>ROUND(BO61,0)</f>
        <v>270</v>
      </c>
      <c r="E798" s="276">
        <f>ROUND(BO62,0)</f>
        <v>30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157*2021*8630*A</v>
      </c>
      <c r="B799" s="276"/>
      <c r="C799" s="278">
        <f>ROUND(BP60,2)</f>
        <v>0</v>
      </c>
      <c r="D799" s="276">
        <f>ROUND(BP61,0)</f>
        <v>-148</v>
      </c>
      <c r="E799" s="276">
        <f>ROUND(BP62,0)</f>
        <v>-16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157*2021*8640*A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157*2021*8650*A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157*2021*8660*A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157*2021*8670*A</v>
      </c>
      <c r="B803" s="276"/>
      <c r="C803" s="278">
        <f>ROUND(BT60,2)</f>
        <v>1.58</v>
      </c>
      <c r="D803" s="276">
        <f>ROUND(BT61,0)</f>
        <v>108697</v>
      </c>
      <c r="E803" s="276">
        <f>ROUND(BT62,0)</f>
        <v>11951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157*2021*8680*A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157*2021*8690*A</v>
      </c>
      <c r="B805" s="276"/>
      <c r="C805" s="278">
        <f>ROUND(BV60,2)</f>
        <v>3.91</v>
      </c>
      <c r="D805" s="276">
        <f>ROUND(BV61,0)</f>
        <v>216835</v>
      </c>
      <c r="E805" s="276">
        <f>ROUND(BV62,0)</f>
        <v>23841</v>
      </c>
      <c r="F805" s="276">
        <f>ROUND(BV63,0)</f>
        <v>0</v>
      </c>
      <c r="G805" s="276">
        <f>ROUND(BV64,0)</f>
        <v>1482</v>
      </c>
      <c r="H805" s="276">
        <f>ROUND(BV65,0)</f>
        <v>950</v>
      </c>
      <c r="I805" s="276">
        <f>ROUND(BV66,0)</f>
        <v>22815</v>
      </c>
      <c r="J805" s="276">
        <f>ROUND(BV67,0)</f>
        <v>9708</v>
      </c>
      <c r="K805" s="276">
        <f>ROUND(BV68,0)</f>
        <v>0</v>
      </c>
      <c r="L805" s="276">
        <f>ROUND(BV69,0)</f>
        <v>934</v>
      </c>
      <c r="M805" s="276">
        <f>ROUND(BV70,0)</f>
        <v>13942</v>
      </c>
      <c r="N805" s="276"/>
      <c r="O805" s="276"/>
      <c r="P805" s="276">
        <f>IF(BV76&gt;0,ROUND(BV76,0),0)</f>
        <v>1380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157*2021*8700*A</v>
      </c>
      <c r="B806" s="276"/>
      <c r="C806" s="278">
        <f>ROUND(BW60,2)</f>
        <v>0.02</v>
      </c>
      <c r="D806" s="276">
        <f>ROUND(BW61,0)</f>
        <v>1015</v>
      </c>
      <c r="E806" s="276">
        <f>ROUND(BW62,0)</f>
        <v>112</v>
      </c>
      <c r="F806" s="276">
        <f>ROUND(BW63,0)</f>
        <v>0</v>
      </c>
      <c r="G806" s="276">
        <f>ROUND(BW64,0)</f>
        <v>30</v>
      </c>
      <c r="H806" s="276">
        <f>ROUND(BW65,0)</f>
        <v>0</v>
      </c>
      <c r="I806" s="276">
        <f>ROUND(BW66,0)</f>
        <v>1024243</v>
      </c>
      <c r="J806" s="276">
        <f>ROUND(BW67,0)</f>
        <v>65913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9370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157*2021*8710*A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10517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1495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157*2021*8720*A</v>
      </c>
      <c r="B808" s="276"/>
      <c r="C808" s="278">
        <f>ROUND(BY60,2)</f>
        <v>16.97</v>
      </c>
      <c r="D808" s="276">
        <f>ROUND(BY61,0)</f>
        <v>1754135</v>
      </c>
      <c r="E808" s="276">
        <f>ROUND(BY62,0)</f>
        <v>192869</v>
      </c>
      <c r="F808" s="276">
        <f>ROUND(BY63,0)</f>
        <v>0</v>
      </c>
      <c r="G808" s="276">
        <f>ROUND(BY64,0)</f>
        <v>40618</v>
      </c>
      <c r="H808" s="276">
        <f>ROUND(BY65,0)</f>
        <v>4052</v>
      </c>
      <c r="I808" s="276">
        <f>ROUND(BY66,0)</f>
        <v>300552</v>
      </c>
      <c r="J808" s="276">
        <f>ROUND(BY67,0)</f>
        <v>15497</v>
      </c>
      <c r="K808" s="276">
        <f>ROUND(BY68,0)</f>
        <v>0</v>
      </c>
      <c r="L808" s="276">
        <f>ROUND(BY69,0)</f>
        <v>20539</v>
      </c>
      <c r="M808" s="276">
        <f>ROUND(BY70,0)</f>
        <v>0</v>
      </c>
      <c r="N808" s="276"/>
      <c r="O808" s="276"/>
      <c r="P808" s="276">
        <f>IF(BY76&gt;0,ROUND(BY76,0),0)</f>
        <v>2203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157*2021*8730*A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157*2021*8740*A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331135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157*2021*8770*A</v>
      </c>
      <c r="B811" s="276"/>
      <c r="C811" s="278">
        <f>ROUND(CB60,2)</f>
        <v>11.53</v>
      </c>
      <c r="D811" s="276">
        <f>ROUND(CB61,0)</f>
        <v>795851</v>
      </c>
      <c r="E811" s="276">
        <f>ROUND(CB62,0)</f>
        <v>87505</v>
      </c>
      <c r="F811" s="276">
        <f>ROUND(CB63,0)</f>
        <v>0</v>
      </c>
      <c r="G811" s="276">
        <f>ROUND(CB64,0)</f>
        <v>493</v>
      </c>
      <c r="H811" s="276">
        <f>ROUND(CB65,0)</f>
        <v>11490</v>
      </c>
      <c r="I811" s="276">
        <f>ROUND(CB66,0)</f>
        <v>17746</v>
      </c>
      <c r="J811" s="276">
        <f>ROUND(CB67,0)</f>
        <v>0</v>
      </c>
      <c r="K811" s="276">
        <f>ROUND(CB68,0)</f>
        <v>0</v>
      </c>
      <c r="L811" s="276">
        <f>ROUND(CB69,0)</f>
        <v>36822</v>
      </c>
      <c r="M811" s="276">
        <f>ROUND(CB70,0)</f>
        <v>1423796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157*2021*8790*A</v>
      </c>
      <c r="B812" s="276"/>
      <c r="C812" s="278">
        <f>ROUND(CC60,2)</f>
        <v>-0.63</v>
      </c>
      <c r="D812" s="276">
        <f>ROUND(CC61,0)</f>
        <v>0</v>
      </c>
      <c r="E812" s="276">
        <f>ROUND(CC62,0)</f>
        <v>0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579</v>
      </c>
      <c r="J812" s="276">
        <f>ROUND(CC67,0)</f>
        <v>2673</v>
      </c>
      <c r="K812" s="276">
        <f>ROUND(CC68,0)</f>
        <v>0</v>
      </c>
      <c r="L812" s="276">
        <f>ROUND(CC69,0)</f>
        <v>0</v>
      </c>
      <c r="M812" s="276">
        <f>ROUND(CC70,0)</f>
        <v>1584104</v>
      </c>
      <c r="N812" s="276"/>
      <c r="O812" s="276"/>
      <c r="P812" s="276">
        <f>IF(CC76&gt;0,ROUND(CC76,0),0)</f>
        <v>380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157*2021*9000*A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1402913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470.26999999999987</v>
      </c>
      <c r="D815" s="277">
        <f t="shared" si="22"/>
        <v>36385493</v>
      </c>
      <c r="E815" s="277">
        <f t="shared" si="22"/>
        <v>4000627</v>
      </c>
      <c r="F815" s="277">
        <f t="shared" si="22"/>
        <v>254121</v>
      </c>
      <c r="G815" s="277">
        <f t="shared" si="22"/>
        <v>1654770</v>
      </c>
      <c r="H815" s="277">
        <f t="shared" si="22"/>
        <v>623056</v>
      </c>
      <c r="I815" s="277">
        <f t="shared" si="22"/>
        <v>5452439</v>
      </c>
      <c r="J815" s="277">
        <f t="shared" si="22"/>
        <v>1273195</v>
      </c>
      <c r="K815" s="277">
        <f t="shared" si="22"/>
        <v>1517786</v>
      </c>
      <c r="L815" s="277">
        <f>SUM(L734:L813)+SUM(U734:U813)</f>
        <v>2178496</v>
      </c>
      <c r="M815" s="277">
        <f>SUM(M734:M813)+SUM(V734:V813)</f>
        <v>12851769</v>
      </c>
      <c r="N815" s="277">
        <f t="shared" ref="N815:Y815" si="23">SUM(N734:N813)</f>
        <v>89331076</v>
      </c>
      <c r="O815" s="277">
        <f t="shared" si="23"/>
        <v>64333774</v>
      </c>
      <c r="P815" s="277">
        <f t="shared" si="23"/>
        <v>180994</v>
      </c>
      <c r="Q815" s="277">
        <f t="shared" si="23"/>
        <v>0</v>
      </c>
      <c r="R815" s="277">
        <f t="shared" si="23"/>
        <v>0</v>
      </c>
      <c r="S815" s="277">
        <f t="shared" si="23"/>
        <v>0</v>
      </c>
      <c r="T815" s="281">
        <f t="shared" si="23"/>
        <v>41.87</v>
      </c>
      <c r="U815" s="277">
        <f t="shared" si="23"/>
        <v>1402913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470.27</v>
      </c>
      <c r="D816" s="277">
        <f>CE61</f>
        <v>36385493.159999996</v>
      </c>
      <c r="E816" s="277">
        <f>CE62</f>
        <v>4000627</v>
      </c>
      <c r="F816" s="277">
        <f>CE63</f>
        <v>254120.89999999997</v>
      </c>
      <c r="G816" s="277">
        <f>CE64</f>
        <v>1654771.0699999998</v>
      </c>
      <c r="H816" s="280">
        <f>CE65</f>
        <v>623056.42999999993</v>
      </c>
      <c r="I816" s="280">
        <f>CE66</f>
        <v>5452438.3999999994</v>
      </c>
      <c r="J816" s="280">
        <f>CE67</f>
        <v>1273195</v>
      </c>
      <c r="K816" s="280">
        <f>CE68</f>
        <v>1517785.4499999997</v>
      </c>
      <c r="L816" s="280">
        <f>CE69</f>
        <v>2178495.41</v>
      </c>
      <c r="M816" s="280">
        <f>CE70</f>
        <v>12851767.760000002</v>
      </c>
      <c r="N816" s="277">
        <f>CE75</f>
        <v>89331076.286338106</v>
      </c>
      <c r="O816" s="277">
        <f>CE73</f>
        <v>64333773.800000004</v>
      </c>
      <c r="P816" s="277">
        <f>CE76</f>
        <v>180994</v>
      </c>
      <c r="Q816" s="277">
        <f>CE77</f>
        <v>0</v>
      </c>
      <c r="R816" s="277">
        <f>CE78</f>
        <v>0</v>
      </c>
      <c r="S816" s="277">
        <f>CE79</f>
        <v>0</v>
      </c>
      <c r="T816" s="281">
        <f>CE80</f>
        <v>41.87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16888469.510000002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36385492.909999989</v>
      </c>
      <c r="E817" s="180">
        <f>C379</f>
        <v>4000624.8200000008</v>
      </c>
      <c r="F817" s="180">
        <f>C380</f>
        <v>254120.90000000002</v>
      </c>
      <c r="G817" s="240">
        <f>C381</f>
        <v>1654770.8599999994</v>
      </c>
      <c r="H817" s="240">
        <f>C382</f>
        <v>623056.80999999994</v>
      </c>
      <c r="I817" s="240">
        <f>C383</f>
        <v>5452438.4000000013</v>
      </c>
      <c r="J817" s="240">
        <f>C384</f>
        <v>1273194.6599999999</v>
      </c>
      <c r="K817" s="240">
        <f>C385</f>
        <v>1517785.45</v>
      </c>
      <c r="L817" s="240">
        <f>C386+C387+C388+C389</f>
        <v>2178495.4099999224</v>
      </c>
      <c r="M817" s="240">
        <f>C370</f>
        <v>12851767.759999996</v>
      </c>
      <c r="N817" s="180">
        <f>D361</f>
        <v>89669176.13000001</v>
      </c>
      <c r="O817" s="180">
        <f>C359</f>
        <v>64333773.650000013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H40" transitionEvaluation="1" transitionEntry="1" codeName="Sheet10">
    <pageSetUpPr autoPageBreaks="0" fitToPage="1"/>
  </sheetPr>
  <dimension ref="A1:CF816"/>
  <sheetViews>
    <sheetView showGridLines="0" topLeftCell="H40" zoomScale="75" workbookViewId="0">
      <selection activeCell="G78" sqref="G78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1258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199"/>
      <c r="C15" s="235"/>
    </row>
    <row r="16" spans="1:6" ht="12.75" customHeight="1" x14ac:dyDescent="0.3">
      <c r="A16" s="292" t="s">
        <v>1265</v>
      </c>
      <c r="C16" s="235"/>
    </row>
    <row r="17" spans="1:7" ht="12.75" customHeight="1" x14ac:dyDescent="0.3">
      <c r="A17" s="292" t="s">
        <v>1264</v>
      </c>
      <c r="C17" s="287"/>
      <c r="F17" s="236"/>
    </row>
    <row r="18" spans="1:7" ht="12.75" customHeight="1" x14ac:dyDescent="0.3">
      <c r="A18" s="290"/>
      <c r="C18" s="235"/>
    </row>
    <row r="19" spans="1:7" ht="12.75" customHeight="1" x14ac:dyDescent="0.3">
      <c r="C19" s="235"/>
    </row>
    <row r="20" spans="1:7" ht="12.75" customHeight="1" x14ac:dyDescent="0.3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">
      <c r="A21" s="199"/>
      <c r="C21" s="235"/>
    </row>
    <row r="22" spans="1:7" ht="12.65" customHeight="1" x14ac:dyDescent="0.3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">
      <c r="B23" s="199"/>
      <c r="C23" s="235"/>
    </row>
    <row r="24" spans="1:7" ht="12.65" customHeight="1" x14ac:dyDescent="0.3">
      <c r="A24" s="240" t="s">
        <v>3</v>
      </c>
      <c r="C24" s="235"/>
    </row>
    <row r="25" spans="1:7" ht="12.65" customHeight="1" x14ac:dyDescent="0.3">
      <c r="A25" s="198" t="s">
        <v>1234</v>
      </c>
      <c r="C25" s="235"/>
    </row>
    <row r="26" spans="1:7" ht="12.65" customHeight="1" x14ac:dyDescent="0.3">
      <c r="A26" s="199" t="s">
        <v>4</v>
      </c>
      <c r="C26" s="235"/>
    </row>
    <row r="27" spans="1:7" ht="12.65" customHeight="1" x14ac:dyDescent="0.3">
      <c r="A27" s="198" t="s">
        <v>1235</v>
      </c>
      <c r="C27" s="235"/>
    </row>
    <row r="28" spans="1:7" ht="12.65" customHeight="1" x14ac:dyDescent="0.3">
      <c r="A28" s="199" t="s">
        <v>5</v>
      </c>
      <c r="C28" s="235"/>
    </row>
    <row r="29" spans="1:7" ht="12.65" customHeight="1" x14ac:dyDescent="0.3">
      <c r="A29" s="198"/>
      <c r="C29" s="235"/>
    </row>
    <row r="30" spans="1:7" ht="12.65" customHeight="1" x14ac:dyDescent="0.3">
      <c r="A30" s="180" t="s">
        <v>6</v>
      </c>
      <c r="C30" s="235"/>
    </row>
    <row r="31" spans="1:7" ht="12.65" customHeight="1" x14ac:dyDescent="0.3">
      <c r="A31" s="199" t="s">
        <v>7</v>
      </c>
      <c r="C31" s="235"/>
    </row>
    <row r="32" spans="1:7" ht="12.65" customHeight="1" x14ac:dyDescent="0.3">
      <c r="A32" s="199" t="s">
        <v>8</v>
      </c>
      <c r="C32" s="235"/>
    </row>
    <row r="33" spans="1:84" ht="12.65" customHeight="1" x14ac:dyDescent="0.3">
      <c r="A33" s="198" t="s">
        <v>1236</v>
      </c>
      <c r="C33" s="235"/>
    </row>
    <row r="34" spans="1:84" ht="12.65" customHeight="1" x14ac:dyDescent="0.3">
      <c r="A34" s="199" t="s">
        <v>9</v>
      </c>
      <c r="C34" s="235"/>
    </row>
    <row r="35" spans="1:84" ht="12.65" customHeight="1" x14ac:dyDescent="0.3">
      <c r="A35" s="199"/>
      <c r="C35" s="235"/>
    </row>
    <row r="36" spans="1:84" ht="12.65" customHeight="1" x14ac:dyDescent="0.3">
      <c r="A36" s="198" t="s">
        <v>1237</v>
      </c>
      <c r="C36" s="235"/>
    </row>
    <row r="37" spans="1:84" ht="12.65" customHeight="1" x14ac:dyDescent="0.3">
      <c r="A37" s="199" t="s">
        <v>1229</v>
      </c>
      <c r="C37" s="235"/>
    </row>
    <row r="38" spans="1:84" ht="12" customHeight="1" x14ac:dyDescent="0.3">
      <c r="A38" s="198"/>
      <c r="C38" s="235"/>
    </row>
    <row r="39" spans="1:84" ht="12.65" customHeight="1" x14ac:dyDescent="0.3">
      <c r="A39" s="199"/>
      <c r="C39" s="235"/>
    </row>
    <row r="40" spans="1:84" ht="12" customHeight="1" x14ac:dyDescent="0.3">
      <c r="A40" s="199"/>
      <c r="C40" s="235"/>
    </row>
    <row r="41" spans="1:84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">
      <c r="A43" s="199"/>
      <c r="C43" s="235"/>
      <c r="F43" s="181"/>
    </row>
    <row r="44" spans="1:84" ht="12" customHeight="1" x14ac:dyDescent="0.3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">
      <c r="A47" s="295" t="s">
        <v>204</v>
      </c>
      <c r="B47" s="299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295"/>
      <c r="CE47" s="295">
        <f>SUM(C47:CC47)</f>
        <v>0</v>
      </c>
      <c r="CF47" s="2"/>
    </row>
    <row r="48" spans="1:84" ht="12.65" customHeight="1" x14ac:dyDescent="0.3">
      <c r="A48" s="295" t="s">
        <v>205</v>
      </c>
      <c r="B48" s="299">
        <v>8018655</v>
      </c>
      <c r="C48" s="301">
        <f>ROUND(((B48/CE61)*C61),0)</f>
        <v>0</v>
      </c>
      <c r="D48" s="301">
        <f>ROUND(((B48/CE61)*D61),0)</f>
        <v>0</v>
      </c>
      <c r="E48" s="295">
        <f>ROUND(((B48/CE61)*E61),0)</f>
        <v>0</v>
      </c>
      <c r="F48" s="295">
        <f>ROUND(((B48/CE61)*F61),0)</f>
        <v>0</v>
      </c>
      <c r="G48" s="295">
        <f>ROUND(((B48/CE61)*G61),0)</f>
        <v>2657294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0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0</v>
      </c>
      <c r="P48" s="295">
        <f>ROUND(((B48/CE61)*P61),0)</f>
        <v>0</v>
      </c>
      <c r="Q48" s="295">
        <f>ROUND(((B48/CE61)*Q61),0)</f>
        <v>0</v>
      </c>
      <c r="R48" s="295">
        <f>ROUND(((B48/CE61)*R61),0)</f>
        <v>0</v>
      </c>
      <c r="S48" s="295">
        <f>ROUND(((B48/CE61)*S61),0)</f>
        <v>23348</v>
      </c>
      <c r="T48" s="295">
        <f>ROUND(((B48/CE61)*T61),0)</f>
        <v>0</v>
      </c>
      <c r="U48" s="295">
        <f>ROUND(((B48/CE61)*U61),0)</f>
        <v>0</v>
      </c>
      <c r="V48" s="295">
        <f>ROUND(((B48/CE61)*V61),0)</f>
        <v>0</v>
      </c>
      <c r="W48" s="295">
        <f>ROUND(((B48/CE61)*W61),0)</f>
        <v>0</v>
      </c>
      <c r="X48" s="295">
        <f>ROUND(((B48/CE61)*X61),0)</f>
        <v>0</v>
      </c>
      <c r="Y48" s="295">
        <f>ROUND(((B48/CE61)*Y61),0)</f>
        <v>0</v>
      </c>
      <c r="Z48" s="295">
        <f>ROUND(((B48/CE61)*Z61),0)</f>
        <v>0</v>
      </c>
      <c r="AA48" s="295">
        <f>ROUND(((B48/CE61)*AA61),0)</f>
        <v>0</v>
      </c>
      <c r="AB48" s="295">
        <f>ROUND(((B48/CE61)*AB61),0)</f>
        <v>209770</v>
      </c>
      <c r="AC48" s="295">
        <f>ROUND(((B48/CE61)*AC61),0)</f>
        <v>127209</v>
      </c>
      <c r="AD48" s="295">
        <f>ROUND(((B48/CE61)*AD61),0)</f>
        <v>0</v>
      </c>
      <c r="AE48" s="295">
        <f>ROUND(((B48/CE61)*AE61),0)</f>
        <v>585638</v>
      </c>
      <c r="AF48" s="295">
        <f>ROUND(((B48/CE61)*AF61),0)</f>
        <v>60797</v>
      </c>
      <c r="AG48" s="295">
        <f>ROUND(((B48/CE61)*AG61),0)</f>
        <v>0</v>
      </c>
      <c r="AH48" s="295">
        <f>ROUND(((B48/CE61)*AH61),0)</f>
        <v>0</v>
      </c>
      <c r="AI48" s="295">
        <f>ROUND(((B48/CE61)*AI61),0)</f>
        <v>0</v>
      </c>
      <c r="AJ48" s="295">
        <f>ROUND(((B48/CE61)*AJ61),0)</f>
        <v>972019</v>
      </c>
      <c r="AK48" s="295">
        <f>ROUND(((B48/CE61)*AK61),0)</f>
        <v>364665</v>
      </c>
      <c r="AL48" s="295">
        <f>ROUND(((B48/CE61)*AL61),0)</f>
        <v>165362</v>
      </c>
      <c r="AM48" s="295">
        <f>ROUND(((B48/CE61)*AM61),0)</f>
        <v>53938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479413</v>
      </c>
      <c r="AQ48" s="295">
        <f>ROUND(((B48/CE61)*AQ61),0)</f>
        <v>0</v>
      </c>
      <c r="AR48" s="295">
        <f>ROUND(((B48/CE61)*AR61),0)</f>
        <v>0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0</v>
      </c>
      <c r="AW48" s="295">
        <f>ROUND(((B48/CE61)*AW61),0)</f>
        <v>40756</v>
      </c>
      <c r="AX48" s="295">
        <f>ROUND(((B48/CE61)*AX61),0)</f>
        <v>0</v>
      </c>
      <c r="AY48" s="295">
        <f>ROUND(((B48/CE61)*AY61),0)</f>
        <v>293720</v>
      </c>
      <c r="AZ48" s="295">
        <f>ROUND(((B48/CE61)*AZ61),0)</f>
        <v>0</v>
      </c>
      <c r="BA48" s="295">
        <f>ROUND(((B48/CE61)*BA61),0)</f>
        <v>9533</v>
      </c>
      <c r="BB48" s="295">
        <f>ROUND(((B48/CE61)*BB61),0)</f>
        <v>216390</v>
      </c>
      <c r="BC48" s="295">
        <f>ROUND(((B48/CE61)*BC61),0)</f>
        <v>12174</v>
      </c>
      <c r="BD48" s="295">
        <f>ROUND(((B48/CE61)*BD61),0)</f>
        <v>0</v>
      </c>
      <c r="BE48" s="295">
        <f>ROUND(((B48/CE61)*BE61),0)</f>
        <v>294517</v>
      </c>
      <c r="BF48" s="295">
        <f>ROUND(((B48/CE61)*BF61),0)</f>
        <v>149196</v>
      </c>
      <c r="BG48" s="295">
        <f>ROUND(((B48/CE61)*BG61),0)</f>
        <v>18944</v>
      </c>
      <c r="BH48" s="295">
        <f>ROUND(((B48/CE61)*BH61),0)</f>
        <v>0</v>
      </c>
      <c r="BI48" s="295">
        <f>ROUND(((B48/CE61)*BI61),0)</f>
        <v>2966</v>
      </c>
      <c r="BJ48" s="295">
        <f>ROUND(((B48/CE61)*BJ61),0)</f>
        <v>0</v>
      </c>
      <c r="BK48" s="295">
        <f>ROUND(((B48/CE61)*BK61),0)</f>
        <v>83355</v>
      </c>
      <c r="BL48" s="295">
        <f>ROUND(((B48/CE61)*BL61),0)</f>
        <v>212243</v>
      </c>
      <c r="BM48" s="295">
        <f>ROUND(((B48/CE61)*BM61),0)</f>
        <v>0</v>
      </c>
      <c r="BN48" s="295">
        <f>ROUND(((B48/CE61)*BN61),0)</f>
        <v>295487</v>
      </c>
      <c r="BO48" s="295">
        <f>ROUND(((B48/CE61)*BO61),0)</f>
        <v>0</v>
      </c>
      <c r="BP48" s="295">
        <f>ROUND(((B48/CE61)*BP61),0)</f>
        <v>14383</v>
      </c>
      <c r="BQ48" s="295">
        <f>ROUND(((B48/CE61)*BQ61),0)</f>
        <v>0</v>
      </c>
      <c r="BR48" s="295">
        <f>ROUND(((B48/CE61)*BR61),0)</f>
        <v>0</v>
      </c>
      <c r="BS48" s="295">
        <f>ROUND(((B48/CE61)*BS61),0)</f>
        <v>0</v>
      </c>
      <c r="BT48" s="295">
        <f>ROUND(((B48/CE61)*BT61),0)</f>
        <v>26147</v>
      </c>
      <c r="BU48" s="295">
        <f>ROUND(((B48/CE61)*BU61),0)</f>
        <v>0</v>
      </c>
      <c r="BV48" s="295">
        <f>ROUND(((B48/CE61)*BV61),0)</f>
        <v>71102</v>
      </c>
      <c r="BW48" s="295">
        <f>ROUND(((B48/CE61)*BW61),0)</f>
        <v>112338</v>
      </c>
      <c r="BX48" s="295">
        <f>ROUND(((B48/CE61)*BX61),0)</f>
        <v>464408</v>
      </c>
      <c r="BY48" s="295">
        <f>ROUND(((B48/CE61)*BY61),0)</f>
        <v>1542</v>
      </c>
      <c r="BZ48" s="295">
        <f>ROUND(((B48/CE61)*BZ61),0)</f>
        <v>0</v>
      </c>
      <c r="CA48" s="295">
        <f>ROUND(((B48/CE61)*CA61),0)</f>
        <v>0</v>
      </c>
      <c r="CB48" s="295">
        <f>ROUND(((B48/CE61)*CB61),0)</f>
        <v>0</v>
      </c>
      <c r="CC48" s="295">
        <f>ROUND(((B48/CE61)*CC61),0)</f>
        <v>0</v>
      </c>
      <c r="CD48" s="295"/>
      <c r="CE48" s="295">
        <f>SUM(C48:CD48)</f>
        <v>8018654</v>
      </c>
      <c r="CF48" s="2"/>
    </row>
    <row r="49" spans="1:84" ht="12.65" customHeight="1" x14ac:dyDescent="0.3">
      <c r="A49" s="295" t="s">
        <v>206</v>
      </c>
      <c r="B49" s="295">
        <f>B47+B48</f>
        <v>8018655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">
      <c r="A51" s="302" t="s">
        <v>207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300"/>
      <c r="AV51" s="300"/>
      <c r="AW51" s="300"/>
      <c r="AX51" s="300"/>
      <c r="AY51" s="300"/>
      <c r="AZ51" s="300"/>
      <c r="BA51" s="300"/>
      <c r="BB51" s="300"/>
      <c r="BC51" s="300"/>
      <c r="BD51" s="300"/>
      <c r="BE51" s="300"/>
      <c r="BF51" s="300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300"/>
      <c r="CA51" s="300"/>
      <c r="CB51" s="300"/>
      <c r="CC51" s="300"/>
      <c r="CD51" s="295"/>
      <c r="CE51" s="295">
        <f>SUM(C51:CD51)</f>
        <v>0</v>
      </c>
      <c r="CF51" s="2"/>
    </row>
    <row r="52" spans="1:84" ht="12.65" customHeight="1" x14ac:dyDescent="0.3">
      <c r="A52" s="302" t="s">
        <v>208</v>
      </c>
      <c r="B52" s="300">
        <v>1572622</v>
      </c>
      <c r="C52" s="295">
        <f>ROUND((B52/(CE76+CF76)*C76),0)</f>
        <v>0</v>
      </c>
      <c r="D52" s="295">
        <f>ROUND((B52/(CE76+CF76)*D76),0)</f>
        <v>0</v>
      </c>
      <c r="E52" s="295">
        <f>ROUND((B52/(CE76+CF76)*E76),0)</f>
        <v>0</v>
      </c>
      <c r="F52" s="295">
        <f>ROUND((B52/(CE76+CF76)*F76),0)</f>
        <v>0</v>
      </c>
      <c r="G52" s="295">
        <f>ROUND((B52/(CE76+CF76)*G76),0)</f>
        <v>313397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0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0</v>
      </c>
      <c r="P52" s="295">
        <f>ROUND((B52/(CE76+CF76)*P76),0)</f>
        <v>0</v>
      </c>
      <c r="Q52" s="295">
        <f>ROUND((B52/(CE76+CF76)*Q76),0)</f>
        <v>0</v>
      </c>
      <c r="R52" s="295">
        <f>ROUND((B52/(CE76+CF76)*R76),0)</f>
        <v>0</v>
      </c>
      <c r="S52" s="295">
        <f>ROUND((B52/(CE76+CF76)*S76),0)</f>
        <v>0</v>
      </c>
      <c r="T52" s="295">
        <f>ROUND((B52/(CE76+CF76)*T76),0)</f>
        <v>0</v>
      </c>
      <c r="U52" s="295">
        <f>ROUND((B52/(CE76+CF76)*U76),0)</f>
        <v>0</v>
      </c>
      <c r="V52" s="295">
        <f>ROUND((B52/(CE76+CF76)*V76),0)</f>
        <v>0</v>
      </c>
      <c r="W52" s="295">
        <f>ROUND((B52/(CE76+CF76)*W76),0)</f>
        <v>0</v>
      </c>
      <c r="X52" s="295">
        <f>ROUND((B52/(CE76+CF76)*X76),0)</f>
        <v>0</v>
      </c>
      <c r="Y52" s="295">
        <f>ROUND((B52/(CE76+CF76)*Y76),0)</f>
        <v>0</v>
      </c>
      <c r="Z52" s="295">
        <f>ROUND((B52/(CE76+CF76)*Z76),0)</f>
        <v>0</v>
      </c>
      <c r="AA52" s="295">
        <f>ROUND((B52/(CE76+CF76)*AA76),0)</f>
        <v>0</v>
      </c>
      <c r="AB52" s="295">
        <f>ROUND((B52/(CE76+CF76)*AB76),0)</f>
        <v>9184</v>
      </c>
      <c r="AC52" s="295">
        <f>ROUND((B52/(CE76+CF76)*AC76),0)</f>
        <v>4866</v>
      </c>
      <c r="AD52" s="295">
        <f>ROUND((B52/(CE76+CF76)*AD76),0)</f>
        <v>0</v>
      </c>
      <c r="AE52" s="295">
        <f>ROUND((B52/(CE76+CF76)*AE76),0)</f>
        <v>86063</v>
      </c>
      <c r="AF52" s="295">
        <f>ROUND((B52/(CE76+CF76)*AF76),0)</f>
        <v>0</v>
      </c>
      <c r="AG52" s="295">
        <f>ROUND((B52/(CE76+CF76)*AG76),0)</f>
        <v>0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167763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164879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30724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39699</v>
      </c>
      <c r="AZ52" s="295">
        <f>ROUND((B52/(CE76+CF76)*AZ76),0)</f>
        <v>14988</v>
      </c>
      <c r="BA52" s="295">
        <f>ROUND((B52/(CE76+CF76)*BA76),0)</f>
        <v>9010</v>
      </c>
      <c r="BB52" s="295">
        <f>ROUND((B52/(CE76+CF76)*BB76),0)</f>
        <v>0</v>
      </c>
      <c r="BC52" s="295">
        <f>ROUND((B52/(CE76+CF76)*BC76),0)</f>
        <v>0</v>
      </c>
      <c r="BD52" s="295">
        <f>ROUND((B52/(CE76+CF76)*BD76),0)</f>
        <v>0</v>
      </c>
      <c r="BE52" s="295">
        <f>ROUND((B52/(CE76+CF76)*BE76),0)</f>
        <v>470707</v>
      </c>
      <c r="BF52" s="295">
        <f>ROUND((B52/(CE76+CF76)*BF76),0)</f>
        <v>4501</v>
      </c>
      <c r="BG52" s="295">
        <f>ROUND((B52/(CE76+CF76)*BG76),0)</f>
        <v>0</v>
      </c>
      <c r="BH52" s="295">
        <f>ROUND((B52/(CE76+CF76)*BH76),0)</f>
        <v>0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0</v>
      </c>
      <c r="BL52" s="295">
        <f>ROUND((B52/(CE76+CF76)*BL76),0)</f>
        <v>0</v>
      </c>
      <c r="BM52" s="295">
        <f>ROUND((B52/(CE76+CF76)*BM76),0)</f>
        <v>0</v>
      </c>
      <c r="BN52" s="295">
        <f>ROUND((B52/(CE76+CF76)*BN76),0)</f>
        <v>128004</v>
      </c>
      <c r="BO52" s="295">
        <f>ROUND((B52/(CE76+CF76)*BO76),0)</f>
        <v>0</v>
      </c>
      <c r="BP52" s="295">
        <f>ROUND((B52/(CE76+CF76)*BP76),0)</f>
        <v>0</v>
      </c>
      <c r="BQ52" s="295">
        <f>ROUND((B52/(CE76+CF76)*BQ76),0)</f>
        <v>0</v>
      </c>
      <c r="BR52" s="295">
        <f>ROUND((B52/(CE76+CF76)*BR76),0)</f>
        <v>0</v>
      </c>
      <c r="BS52" s="295">
        <f>ROUND((B52/(CE76+CF76)*BS76),0)</f>
        <v>0</v>
      </c>
      <c r="BT52" s="295">
        <f>ROUND((B52/(CE76+CF76)*BT76),0)</f>
        <v>0</v>
      </c>
      <c r="BU52" s="295">
        <f>ROUND((B52/(CE76+CF76)*BU76),0)</f>
        <v>0</v>
      </c>
      <c r="BV52" s="295">
        <f>ROUND((B52/(CE76+CF76)*BV76),0)</f>
        <v>11991</v>
      </c>
      <c r="BW52" s="295">
        <f>ROUND((B52/(CE76+CF76)*BW76),0)</f>
        <v>81414</v>
      </c>
      <c r="BX52" s="295">
        <f>ROUND((B52/(CE76+CF76)*BX76),0)</f>
        <v>12990</v>
      </c>
      <c r="BY52" s="295">
        <f>ROUND((B52/(CE76+CF76)*BY76),0)</f>
        <v>19141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0</v>
      </c>
      <c r="CC52" s="295">
        <f>ROUND((B52/(CE76+CF76)*CC76),0)</f>
        <v>3302</v>
      </c>
      <c r="CD52" s="295"/>
      <c r="CE52" s="295">
        <f>SUM(C52:CD52)</f>
        <v>1572623</v>
      </c>
      <c r="CF52" s="2"/>
    </row>
    <row r="53" spans="1:84" ht="12.65" customHeight="1" x14ac:dyDescent="0.3">
      <c r="A53" s="295" t="s">
        <v>206</v>
      </c>
      <c r="B53" s="295">
        <f>B51+B52</f>
        <v>1572622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">
      <c r="A59" s="302" t="s">
        <v>233</v>
      </c>
      <c r="B59" s="295"/>
      <c r="C59" s="300"/>
      <c r="D59" s="300"/>
      <c r="E59" s="300"/>
      <c r="F59" s="300"/>
      <c r="G59" s="300">
        <v>19870</v>
      </c>
      <c r="H59" s="300"/>
      <c r="I59" s="300"/>
      <c r="J59" s="300"/>
      <c r="K59" s="300"/>
      <c r="L59" s="300"/>
      <c r="M59" s="300"/>
      <c r="N59" s="300"/>
      <c r="O59" s="300"/>
      <c r="P59" s="306"/>
      <c r="Q59" s="306"/>
      <c r="R59" s="306"/>
      <c r="S59" s="248"/>
      <c r="T59" s="248"/>
      <c r="U59" s="307">
        <v>94261</v>
      </c>
      <c r="V59" s="306"/>
      <c r="W59" s="306">
        <v>15</v>
      </c>
      <c r="X59" s="306">
        <v>89</v>
      </c>
      <c r="Y59" s="306">
        <f>135+18</f>
        <v>153</v>
      </c>
      <c r="Z59" s="306"/>
      <c r="AA59" s="306">
        <v>1</v>
      </c>
      <c r="AB59" s="248"/>
      <c r="AC59" s="306">
        <v>7195</v>
      </c>
      <c r="AD59" s="306"/>
      <c r="AE59" s="306">
        <v>87983</v>
      </c>
      <c r="AF59" s="306">
        <v>10977</v>
      </c>
      <c r="AG59" s="306"/>
      <c r="AH59" s="306"/>
      <c r="AI59" s="306"/>
      <c r="AJ59" s="306">
        <f>21696+7903+6548+347</f>
        <v>36494</v>
      </c>
      <c r="AK59" s="306">
        <v>102221</v>
      </c>
      <c r="AL59" s="306">
        <v>20740</v>
      </c>
      <c r="AM59" s="306">
        <v>14990</v>
      </c>
      <c r="AN59" s="306"/>
      <c r="AO59" s="306"/>
      <c r="AP59" s="306">
        <f>6062+6002+6450+4477+4460</f>
        <v>27451</v>
      </c>
      <c r="AQ59" s="306"/>
      <c r="AR59" s="306"/>
      <c r="AS59" s="306"/>
      <c r="AT59" s="306"/>
      <c r="AU59" s="306"/>
      <c r="AV59" s="248"/>
      <c r="AW59" s="248"/>
      <c r="AX59" s="248"/>
      <c r="AY59" s="306">
        <v>58849</v>
      </c>
      <c r="AZ59" s="306"/>
      <c r="BA59" s="248"/>
      <c r="BB59" s="248"/>
      <c r="BC59" s="248"/>
      <c r="BD59" s="248"/>
      <c r="BE59" s="306">
        <v>180994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">
      <c r="A60" s="308" t="s">
        <v>234</v>
      </c>
      <c r="B60" s="295"/>
      <c r="C60" s="309"/>
      <c r="D60" s="187"/>
      <c r="E60" s="187"/>
      <c r="F60" s="223"/>
      <c r="G60" s="187">
        <v>136</v>
      </c>
      <c r="H60" s="187"/>
      <c r="I60" s="187"/>
      <c r="J60" s="223"/>
      <c r="K60" s="187"/>
      <c r="L60" s="187"/>
      <c r="M60" s="187"/>
      <c r="N60" s="187"/>
      <c r="O60" s="187"/>
      <c r="P60" s="310"/>
      <c r="Q60" s="310"/>
      <c r="R60" s="310"/>
      <c r="S60" s="310">
        <v>2.1</v>
      </c>
      <c r="T60" s="310"/>
      <c r="U60" s="310"/>
      <c r="V60" s="310"/>
      <c r="W60" s="310"/>
      <c r="X60" s="310"/>
      <c r="Y60" s="310"/>
      <c r="Z60" s="310"/>
      <c r="AA60" s="310"/>
      <c r="AB60" s="310">
        <v>7</v>
      </c>
      <c r="AC60" s="310">
        <v>5.8</v>
      </c>
      <c r="AD60" s="310"/>
      <c r="AE60" s="310">
        <f>24.8+5+1.6</f>
        <v>31.400000000000002</v>
      </c>
      <c r="AF60" s="310">
        <v>2</v>
      </c>
      <c r="AG60" s="310"/>
      <c r="AH60" s="310"/>
      <c r="AI60" s="310"/>
      <c r="AJ60" s="310">
        <f>0.9+17.8+4.9+3.5+0.8+2.7+2+10.8</f>
        <v>43.400000000000006</v>
      </c>
      <c r="AK60" s="310">
        <v>16.7</v>
      </c>
      <c r="AL60" s="310">
        <v>6.8</v>
      </c>
      <c r="AM60" s="310">
        <v>3.2</v>
      </c>
      <c r="AN60" s="310"/>
      <c r="AO60" s="310"/>
      <c r="AP60" s="310">
        <f>5.2+4.8+4+3.8+3.3</f>
        <v>21.1</v>
      </c>
      <c r="AQ60" s="310"/>
      <c r="AR60" s="310"/>
      <c r="AS60" s="310"/>
      <c r="AT60" s="310"/>
      <c r="AU60" s="310"/>
      <c r="AV60" s="310"/>
      <c r="AW60" s="310">
        <v>1</v>
      </c>
      <c r="AX60" s="310"/>
      <c r="AY60" s="310">
        <v>23.5</v>
      </c>
      <c r="AZ60" s="310"/>
      <c r="BA60" s="310">
        <v>0.9</v>
      </c>
      <c r="BB60" s="310">
        <v>7.8</v>
      </c>
      <c r="BC60" s="310">
        <v>1.3</v>
      </c>
      <c r="BD60" s="310"/>
      <c r="BE60" s="310">
        <f>8.5+1.4+8.2</f>
        <v>18.100000000000001</v>
      </c>
      <c r="BF60" s="310">
        <v>14.9</v>
      </c>
      <c r="BG60" s="310">
        <v>1.6</v>
      </c>
      <c r="BH60" s="310"/>
      <c r="BI60" s="310">
        <v>0.2</v>
      </c>
      <c r="BJ60" s="310"/>
      <c r="BK60" s="310">
        <v>7.2</v>
      </c>
      <c r="BL60" s="310">
        <v>18.3</v>
      </c>
      <c r="BM60" s="310"/>
      <c r="BN60" s="310">
        <f>8.1+0.4</f>
        <v>8.5</v>
      </c>
      <c r="BO60" s="310"/>
      <c r="BP60" s="310">
        <v>0.7</v>
      </c>
      <c r="BQ60" s="310"/>
      <c r="BR60" s="310"/>
      <c r="BS60" s="310"/>
      <c r="BT60" s="310">
        <v>1.2</v>
      </c>
      <c r="BU60" s="310"/>
      <c r="BV60" s="310">
        <v>5</v>
      </c>
      <c r="BW60" s="310">
        <v>1</v>
      </c>
      <c r="BX60" s="310">
        <f>1.1+12.4+8.6</f>
        <v>22.1</v>
      </c>
      <c r="BY60" s="310">
        <v>0.1</v>
      </c>
      <c r="BZ60" s="310"/>
      <c r="CA60" s="310"/>
      <c r="CB60" s="310"/>
      <c r="CC60" s="310"/>
      <c r="CD60" s="305" t="s">
        <v>221</v>
      </c>
      <c r="CE60" s="311">
        <f t="shared" ref="CE60:CE70" si="0">SUM(C60:CD60)</f>
        <v>408.90000000000003</v>
      </c>
      <c r="CF60" s="2"/>
    </row>
    <row r="61" spans="1:84" ht="12.65" customHeight="1" x14ac:dyDescent="0.3">
      <c r="A61" s="302" t="s">
        <v>235</v>
      </c>
      <c r="B61" s="295"/>
      <c r="C61" s="300"/>
      <c r="D61" s="300"/>
      <c r="E61" s="300"/>
      <c r="F61" s="306"/>
      <c r="G61" s="300">
        <v>9528639</v>
      </c>
      <c r="H61" s="300"/>
      <c r="I61" s="306"/>
      <c r="J61" s="306"/>
      <c r="K61" s="306"/>
      <c r="L61" s="306"/>
      <c r="M61" s="300"/>
      <c r="N61" s="300"/>
      <c r="O61" s="300"/>
      <c r="P61" s="306"/>
      <c r="Q61" s="306"/>
      <c r="R61" s="306"/>
      <c r="S61" s="306">
        <v>83721</v>
      </c>
      <c r="T61" s="306"/>
      <c r="U61" s="306"/>
      <c r="V61" s="306"/>
      <c r="W61" s="306"/>
      <c r="X61" s="306"/>
      <c r="Y61" s="306"/>
      <c r="Z61" s="306"/>
      <c r="AA61" s="306"/>
      <c r="AB61" s="306">
        <v>752201</v>
      </c>
      <c r="AC61" s="306">
        <v>456152</v>
      </c>
      <c r="AD61" s="306"/>
      <c r="AE61" s="306">
        <f>1652444+379681+67883</f>
        <v>2100008</v>
      </c>
      <c r="AF61" s="306">
        <v>218008</v>
      </c>
      <c r="AG61" s="306"/>
      <c r="AH61" s="306"/>
      <c r="AI61" s="306"/>
      <c r="AJ61" s="306">
        <f>253498+1403103+2535+390842+208763-1272+99152+324635+119917+684334</f>
        <v>3485507</v>
      </c>
      <c r="AK61" s="306">
        <v>1307631</v>
      </c>
      <c r="AL61" s="306">
        <v>592964</v>
      </c>
      <c r="AM61" s="306">
        <v>193412</v>
      </c>
      <c r="AN61" s="306"/>
      <c r="AO61" s="306"/>
      <c r="AP61" s="306">
        <f>487253+373887+298207+301650+258104</f>
        <v>1719101</v>
      </c>
      <c r="AQ61" s="306"/>
      <c r="AR61" s="306"/>
      <c r="AS61" s="306"/>
      <c r="AT61" s="306"/>
      <c r="AU61" s="306"/>
      <c r="AV61" s="306"/>
      <c r="AW61" s="306">
        <v>146144</v>
      </c>
      <c r="AX61" s="306"/>
      <c r="AY61" s="306">
        <v>1053235</v>
      </c>
      <c r="AZ61" s="306"/>
      <c r="BA61" s="306">
        <v>34184</v>
      </c>
      <c r="BB61" s="306">
        <v>775941</v>
      </c>
      <c r="BC61" s="306">
        <v>43655</v>
      </c>
      <c r="BD61" s="306"/>
      <c r="BE61" s="306">
        <f>594693+57604+403796</f>
        <v>1056093</v>
      </c>
      <c r="BF61" s="306">
        <v>534994</v>
      </c>
      <c r="BG61" s="306">
        <v>67929</v>
      </c>
      <c r="BH61" s="306"/>
      <c r="BI61" s="306">
        <f>1082+9830+96-372</f>
        <v>10636</v>
      </c>
      <c r="BJ61" s="306"/>
      <c r="BK61" s="306">
        <v>298897</v>
      </c>
      <c r="BL61" s="306">
        <v>761070</v>
      </c>
      <c r="BM61" s="306"/>
      <c r="BN61" s="306">
        <f>1043421+16150</f>
        <v>1059571</v>
      </c>
      <c r="BO61" s="306"/>
      <c r="BP61" s="306">
        <v>51575</v>
      </c>
      <c r="BQ61" s="306"/>
      <c r="BR61" s="306"/>
      <c r="BS61" s="306"/>
      <c r="BT61" s="306">
        <v>93759</v>
      </c>
      <c r="BU61" s="306"/>
      <c r="BV61" s="306">
        <v>254962</v>
      </c>
      <c r="BW61" s="306">
        <f>402454+374</f>
        <v>402828</v>
      </c>
      <c r="BX61" s="306">
        <f>165127+700374+799794</f>
        <v>1665295</v>
      </c>
      <c r="BY61" s="306">
        <v>5530</v>
      </c>
      <c r="BZ61" s="306"/>
      <c r="CA61" s="306"/>
      <c r="CB61" s="306"/>
      <c r="CC61" s="306"/>
      <c r="CD61" s="305" t="s">
        <v>221</v>
      </c>
      <c r="CE61" s="295">
        <f t="shared" si="0"/>
        <v>28753642</v>
      </c>
      <c r="CF61" s="2"/>
    </row>
    <row r="62" spans="1:84" ht="12.65" customHeight="1" x14ac:dyDescent="0.3">
      <c r="A62" s="302" t="s">
        <v>3</v>
      </c>
      <c r="B62" s="295"/>
      <c r="C62" s="295">
        <f t="shared" ref="C62:BN62" si="1">ROUND(C47+C48,0)</f>
        <v>0</v>
      </c>
      <c r="D62" s="295">
        <f t="shared" si="1"/>
        <v>0</v>
      </c>
      <c r="E62" s="295">
        <f t="shared" si="1"/>
        <v>0</v>
      </c>
      <c r="F62" s="295">
        <f t="shared" si="1"/>
        <v>0</v>
      </c>
      <c r="G62" s="295">
        <f t="shared" si="1"/>
        <v>2657294</v>
      </c>
      <c r="H62" s="295">
        <f t="shared" si="1"/>
        <v>0</v>
      </c>
      <c r="I62" s="295">
        <f t="shared" si="1"/>
        <v>0</v>
      </c>
      <c r="J62" s="295">
        <f>ROUND(J47+J48,0)</f>
        <v>0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0</v>
      </c>
      <c r="P62" s="295">
        <f t="shared" si="1"/>
        <v>0</v>
      </c>
      <c r="Q62" s="295">
        <f t="shared" si="1"/>
        <v>0</v>
      </c>
      <c r="R62" s="295">
        <f t="shared" si="1"/>
        <v>0</v>
      </c>
      <c r="S62" s="295">
        <f t="shared" si="1"/>
        <v>23348</v>
      </c>
      <c r="T62" s="295">
        <f t="shared" si="1"/>
        <v>0</v>
      </c>
      <c r="U62" s="295">
        <f t="shared" si="1"/>
        <v>0</v>
      </c>
      <c r="V62" s="295">
        <f t="shared" si="1"/>
        <v>0</v>
      </c>
      <c r="W62" s="295">
        <f t="shared" si="1"/>
        <v>0</v>
      </c>
      <c r="X62" s="295">
        <f t="shared" si="1"/>
        <v>0</v>
      </c>
      <c r="Y62" s="295">
        <f t="shared" si="1"/>
        <v>0</v>
      </c>
      <c r="Z62" s="295">
        <f t="shared" si="1"/>
        <v>0</v>
      </c>
      <c r="AA62" s="295">
        <f t="shared" si="1"/>
        <v>0</v>
      </c>
      <c r="AB62" s="295">
        <f t="shared" si="1"/>
        <v>209770</v>
      </c>
      <c r="AC62" s="295">
        <f t="shared" si="1"/>
        <v>127209</v>
      </c>
      <c r="AD62" s="295">
        <f t="shared" si="1"/>
        <v>0</v>
      </c>
      <c r="AE62" s="295">
        <f t="shared" si="1"/>
        <v>585638</v>
      </c>
      <c r="AF62" s="295">
        <f t="shared" si="1"/>
        <v>60797</v>
      </c>
      <c r="AG62" s="295">
        <f t="shared" si="1"/>
        <v>0</v>
      </c>
      <c r="AH62" s="295">
        <f t="shared" si="1"/>
        <v>0</v>
      </c>
      <c r="AI62" s="295">
        <f t="shared" si="1"/>
        <v>0</v>
      </c>
      <c r="AJ62" s="295">
        <f t="shared" si="1"/>
        <v>972019</v>
      </c>
      <c r="AK62" s="295">
        <f t="shared" si="1"/>
        <v>364665</v>
      </c>
      <c r="AL62" s="295">
        <f t="shared" si="1"/>
        <v>165362</v>
      </c>
      <c r="AM62" s="295">
        <f t="shared" si="1"/>
        <v>53938</v>
      </c>
      <c r="AN62" s="295">
        <f t="shared" si="1"/>
        <v>0</v>
      </c>
      <c r="AO62" s="295">
        <f t="shared" si="1"/>
        <v>0</v>
      </c>
      <c r="AP62" s="295">
        <f t="shared" si="1"/>
        <v>479413</v>
      </c>
      <c r="AQ62" s="295">
        <f t="shared" si="1"/>
        <v>0</v>
      </c>
      <c r="AR62" s="295">
        <f t="shared" si="1"/>
        <v>0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0</v>
      </c>
      <c r="AW62" s="295">
        <f t="shared" si="1"/>
        <v>40756</v>
      </c>
      <c r="AX62" s="295">
        <f t="shared" si="1"/>
        <v>0</v>
      </c>
      <c r="AY62" s="295">
        <f>ROUND(AY47+AY48,0)</f>
        <v>293720</v>
      </c>
      <c r="AZ62" s="295">
        <f>ROUND(AZ47+AZ48,0)</f>
        <v>0</v>
      </c>
      <c r="BA62" s="2">
        <f>ROUND(BA47+BA48,0)</f>
        <v>9533</v>
      </c>
      <c r="BB62" s="295">
        <f t="shared" si="1"/>
        <v>216390</v>
      </c>
      <c r="BC62" s="295">
        <f t="shared" si="1"/>
        <v>12174</v>
      </c>
      <c r="BD62" s="295">
        <f t="shared" si="1"/>
        <v>0</v>
      </c>
      <c r="BE62" s="295">
        <f t="shared" si="1"/>
        <v>294517</v>
      </c>
      <c r="BF62" s="295">
        <f t="shared" si="1"/>
        <v>149196</v>
      </c>
      <c r="BG62" s="295">
        <f t="shared" si="1"/>
        <v>18944</v>
      </c>
      <c r="BH62" s="295">
        <f t="shared" si="1"/>
        <v>0</v>
      </c>
      <c r="BI62" s="295">
        <f t="shared" si="1"/>
        <v>2966</v>
      </c>
      <c r="BJ62" s="295">
        <f t="shared" si="1"/>
        <v>0</v>
      </c>
      <c r="BK62" s="295">
        <f t="shared" si="1"/>
        <v>83355</v>
      </c>
      <c r="BL62" s="295">
        <f t="shared" si="1"/>
        <v>212243</v>
      </c>
      <c r="BM62" s="295">
        <f t="shared" si="1"/>
        <v>0</v>
      </c>
      <c r="BN62" s="295">
        <f t="shared" si="1"/>
        <v>295487</v>
      </c>
      <c r="BO62" s="295">
        <f t="shared" ref="BO62:CC62" si="2">ROUND(BO47+BO48,0)</f>
        <v>0</v>
      </c>
      <c r="BP62" s="295">
        <f t="shared" si="2"/>
        <v>14383</v>
      </c>
      <c r="BQ62" s="295">
        <f t="shared" si="2"/>
        <v>0</v>
      </c>
      <c r="BR62" s="295">
        <f t="shared" si="2"/>
        <v>0</v>
      </c>
      <c r="BS62" s="295">
        <f t="shared" si="2"/>
        <v>0</v>
      </c>
      <c r="BT62" s="295">
        <f t="shared" si="2"/>
        <v>26147</v>
      </c>
      <c r="BU62" s="295">
        <f t="shared" si="2"/>
        <v>0</v>
      </c>
      <c r="BV62" s="295">
        <f t="shared" si="2"/>
        <v>71102</v>
      </c>
      <c r="BW62" s="295">
        <f t="shared" si="2"/>
        <v>112338</v>
      </c>
      <c r="BX62" s="295">
        <f t="shared" si="2"/>
        <v>464408</v>
      </c>
      <c r="BY62" s="295">
        <f t="shared" si="2"/>
        <v>1542</v>
      </c>
      <c r="BZ62" s="295">
        <f t="shared" si="2"/>
        <v>0</v>
      </c>
      <c r="CA62" s="295">
        <f t="shared" si="2"/>
        <v>0</v>
      </c>
      <c r="CB62" s="295">
        <f t="shared" si="2"/>
        <v>0</v>
      </c>
      <c r="CC62" s="295">
        <f t="shared" si="2"/>
        <v>0</v>
      </c>
      <c r="CD62" s="305" t="s">
        <v>221</v>
      </c>
      <c r="CE62" s="295">
        <f t="shared" si="0"/>
        <v>8018654</v>
      </c>
      <c r="CF62" s="2"/>
    </row>
    <row r="63" spans="1:84" ht="12.65" customHeight="1" x14ac:dyDescent="0.3">
      <c r="A63" s="302" t="s">
        <v>236</v>
      </c>
      <c r="B63" s="295"/>
      <c r="C63" s="300"/>
      <c r="D63" s="300"/>
      <c r="E63" s="300"/>
      <c r="F63" s="306"/>
      <c r="G63" s="300"/>
      <c r="H63" s="300"/>
      <c r="I63" s="306"/>
      <c r="J63" s="306"/>
      <c r="K63" s="306"/>
      <c r="L63" s="306"/>
      <c r="M63" s="300"/>
      <c r="N63" s="300"/>
      <c r="O63" s="300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>
        <f>630+21355</f>
        <v>21985</v>
      </c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6"/>
      <c r="BG63" s="306"/>
      <c r="BH63" s="306"/>
      <c r="BI63" s="306"/>
      <c r="BJ63" s="306"/>
      <c r="BK63" s="306">
        <v>405520</v>
      </c>
      <c r="BL63" s="306"/>
      <c r="BM63" s="306"/>
      <c r="BN63" s="306">
        <f>25970</f>
        <v>25970</v>
      </c>
      <c r="BO63" s="306"/>
      <c r="BP63" s="306"/>
      <c r="BQ63" s="306"/>
      <c r="BR63" s="306"/>
      <c r="BS63" s="306"/>
      <c r="BT63" s="306"/>
      <c r="BU63" s="306"/>
      <c r="BV63" s="306"/>
      <c r="BW63" s="306"/>
      <c r="BX63" s="306"/>
      <c r="BY63" s="306"/>
      <c r="BZ63" s="306"/>
      <c r="CA63" s="306"/>
      <c r="CB63" s="306"/>
      <c r="CC63" s="306"/>
      <c r="CD63" s="305" t="s">
        <v>221</v>
      </c>
      <c r="CE63" s="295">
        <f t="shared" si="0"/>
        <v>453475</v>
      </c>
      <c r="CF63" s="2"/>
    </row>
    <row r="64" spans="1:84" ht="12.65" customHeight="1" x14ac:dyDescent="0.3">
      <c r="A64" s="302" t="s">
        <v>237</v>
      </c>
      <c r="B64" s="295"/>
      <c r="C64" s="300"/>
      <c r="D64" s="300"/>
      <c r="E64" s="306"/>
      <c r="F64" s="306"/>
      <c r="G64" s="300">
        <v>445064</v>
      </c>
      <c r="H64" s="300"/>
      <c r="I64" s="306"/>
      <c r="J64" s="306"/>
      <c r="K64" s="306"/>
      <c r="L64" s="306"/>
      <c r="M64" s="300"/>
      <c r="N64" s="300"/>
      <c r="O64" s="300"/>
      <c r="P64" s="306"/>
      <c r="Q64" s="306"/>
      <c r="R64" s="306"/>
      <c r="S64" s="306">
        <v>733</v>
      </c>
      <c r="T64" s="306"/>
      <c r="U64" s="306"/>
      <c r="V64" s="306"/>
      <c r="W64" s="306"/>
      <c r="X64" s="306"/>
      <c r="Y64" s="306"/>
      <c r="Z64" s="306"/>
      <c r="AA64" s="306"/>
      <c r="AB64" s="306">
        <v>535969</v>
      </c>
      <c r="AC64" s="306">
        <v>43719</v>
      </c>
      <c r="AD64" s="306"/>
      <c r="AE64" s="306">
        <f>26580+2906+1566</f>
        <v>31052</v>
      </c>
      <c r="AF64" s="306">
        <v>779</v>
      </c>
      <c r="AG64" s="306"/>
      <c r="AH64" s="306"/>
      <c r="AI64" s="306"/>
      <c r="AJ64" s="306">
        <f>-12469+8871+1748+6478+1840+1527+2459+409</f>
        <v>10863</v>
      </c>
      <c r="AK64" s="306">
        <v>42274</v>
      </c>
      <c r="AL64" s="306">
        <v>10987</v>
      </c>
      <c r="AM64" s="306">
        <v>2101</v>
      </c>
      <c r="AN64" s="306"/>
      <c r="AO64" s="306"/>
      <c r="AP64" s="306">
        <f>2373+1165+524+5350+7702</f>
        <v>17114</v>
      </c>
      <c r="AQ64" s="306"/>
      <c r="AR64" s="306"/>
      <c r="AS64" s="306"/>
      <c r="AT64" s="306"/>
      <c r="AU64" s="306"/>
      <c r="AV64" s="306"/>
      <c r="AW64" s="306"/>
      <c r="AX64" s="306"/>
      <c r="AY64" s="306">
        <v>441741</v>
      </c>
      <c r="AZ64" s="306"/>
      <c r="BA64" s="306">
        <v>154</v>
      </c>
      <c r="BB64" s="306">
        <v>2141</v>
      </c>
      <c r="BC64" s="306">
        <v>1829</v>
      </c>
      <c r="BD64" s="306"/>
      <c r="BE64" s="306">
        <f>17552+116+30367</f>
        <v>48035</v>
      </c>
      <c r="BF64" s="306">
        <v>74790</v>
      </c>
      <c r="BG64" s="306">
        <v>64</v>
      </c>
      <c r="BH64" s="306"/>
      <c r="BI64" s="306"/>
      <c r="BJ64" s="306"/>
      <c r="BK64" s="306">
        <v>1476</v>
      </c>
      <c r="BL64" s="306">
        <v>1843</v>
      </c>
      <c r="BM64" s="306"/>
      <c r="BN64" s="306">
        <f>73394-1139</f>
        <v>72255</v>
      </c>
      <c r="BO64" s="306">
        <v>271</v>
      </c>
      <c r="BP64" s="306">
        <v>506</v>
      </c>
      <c r="BQ64" s="306"/>
      <c r="BR64" s="306"/>
      <c r="BS64" s="306"/>
      <c r="BT64" s="306"/>
      <c r="BU64" s="306"/>
      <c r="BV64" s="306">
        <v>4730</v>
      </c>
      <c r="BW64" s="306">
        <f>2451+1143</f>
        <v>3594</v>
      </c>
      <c r="BX64" s="306">
        <f>3266+5707</f>
        <v>8973</v>
      </c>
      <c r="BY64" s="306">
        <v>37</v>
      </c>
      <c r="BZ64" s="306"/>
      <c r="CA64" s="306"/>
      <c r="CB64" s="306"/>
      <c r="CC64" s="306"/>
      <c r="CD64" s="305" t="s">
        <v>221</v>
      </c>
      <c r="CE64" s="295">
        <f t="shared" si="0"/>
        <v>1803094</v>
      </c>
      <c r="CF64" s="2"/>
    </row>
    <row r="65" spans="1:84" ht="12.65" customHeight="1" x14ac:dyDescent="0.3">
      <c r="A65" s="302" t="s">
        <v>238</v>
      </c>
      <c r="B65" s="295"/>
      <c r="C65" s="300"/>
      <c r="D65" s="300"/>
      <c r="E65" s="300"/>
      <c r="F65" s="300"/>
      <c r="G65" s="300">
        <v>2355</v>
      </c>
      <c r="H65" s="300"/>
      <c r="I65" s="306"/>
      <c r="J65" s="300"/>
      <c r="K65" s="306"/>
      <c r="L65" s="306"/>
      <c r="M65" s="300"/>
      <c r="N65" s="300"/>
      <c r="O65" s="300"/>
      <c r="P65" s="306"/>
      <c r="Q65" s="306"/>
      <c r="R65" s="306"/>
      <c r="S65" s="306">
        <v>453</v>
      </c>
      <c r="T65" s="306"/>
      <c r="U65" s="306"/>
      <c r="V65" s="306"/>
      <c r="W65" s="306"/>
      <c r="X65" s="306"/>
      <c r="Y65" s="306"/>
      <c r="Z65" s="306"/>
      <c r="AA65" s="306"/>
      <c r="AB65" s="306">
        <v>3</v>
      </c>
      <c r="AC65" s="306">
        <v>308</v>
      </c>
      <c r="AD65" s="306"/>
      <c r="AE65" s="306">
        <f>1241</f>
        <v>1241</v>
      </c>
      <c r="AF65" s="306">
        <v>1350</v>
      </c>
      <c r="AG65" s="306"/>
      <c r="AH65" s="306"/>
      <c r="AI65" s="306"/>
      <c r="AJ65" s="306">
        <f>1783+103+5497+1991+12740</f>
        <v>22114</v>
      </c>
      <c r="AK65" s="306"/>
      <c r="AL65" s="306"/>
      <c r="AM65" s="306"/>
      <c r="AN65" s="306"/>
      <c r="AO65" s="306"/>
      <c r="AP65" s="306">
        <f>12513+83+1067+12807</f>
        <v>26470</v>
      </c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>
        <v>627</v>
      </c>
      <c r="BC65" s="306">
        <v>677</v>
      </c>
      <c r="BD65" s="306"/>
      <c r="BE65" s="306">
        <f>361418+61227+985</f>
        <v>423630</v>
      </c>
      <c r="BF65" s="306">
        <v>2460</v>
      </c>
      <c r="BG65" s="306">
        <v>25828</v>
      </c>
      <c r="BH65" s="306"/>
      <c r="BI65" s="306"/>
      <c r="BJ65" s="306"/>
      <c r="BK65" s="306">
        <v>754</v>
      </c>
      <c r="BL65" s="306">
        <v>51</v>
      </c>
      <c r="BM65" s="306"/>
      <c r="BN65" s="306">
        <f>27854-330</f>
        <v>27524</v>
      </c>
      <c r="BO65" s="306"/>
      <c r="BP65" s="306">
        <v>3</v>
      </c>
      <c r="BQ65" s="306"/>
      <c r="BR65" s="306"/>
      <c r="BS65" s="306"/>
      <c r="BT65" s="306"/>
      <c r="BU65" s="306"/>
      <c r="BV65" s="306">
        <v>500</v>
      </c>
      <c r="BW65" s="306">
        <f>677+228</f>
        <v>905</v>
      </c>
      <c r="BX65" s="306">
        <f>361+4722</f>
        <v>5083</v>
      </c>
      <c r="BY65" s="306">
        <v>712</v>
      </c>
      <c r="BZ65" s="306"/>
      <c r="CA65" s="306"/>
      <c r="CB65" s="306"/>
      <c r="CC65" s="306"/>
      <c r="CD65" s="305" t="s">
        <v>221</v>
      </c>
      <c r="CE65" s="295">
        <f t="shared" si="0"/>
        <v>543048</v>
      </c>
      <c r="CF65" s="2"/>
    </row>
    <row r="66" spans="1:84" ht="12.65" customHeight="1" x14ac:dyDescent="0.3">
      <c r="A66" s="302" t="s">
        <v>239</v>
      </c>
      <c r="B66" s="295"/>
      <c r="C66" s="300"/>
      <c r="D66" s="300"/>
      <c r="E66" s="300"/>
      <c r="F66" s="300"/>
      <c r="G66" s="300">
        <f>597539+28002+451956</f>
        <v>1077497</v>
      </c>
      <c r="H66" s="300"/>
      <c r="I66" s="300"/>
      <c r="J66" s="300"/>
      <c r="K66" s="306"/>
      <c r="L66" s="306"/>
      <c r="M66" s="300"/>
      <c r="N66" s="300"/>
      <c r="O66" s="306"/>
      <c r="P66" s="306"/>
      <c r="Q66" s="306"/>
      <c r="R66" s="306"/>
      <c r="S66" s="300">
        <f>2452+1187</f>
        <v>3639</v>
      </c>
      <c r="T66" s="300"/>
      <c r="U66" s="306">
        <v>164225</v>
      </c>
      <c r="V66" s="306"/>
      <c r="W66" s="306"/>
      <c r="X66" s="306"/>
      <c r="Y66" s="306"/>
      <c r="Z66" s="306"/>
      <c r="AA66" s="306"/>
      <c r="AB66" s="306">
        <f>13803+18</f>
        <v>13821</v>
      </c>
      <c r="AC66" s="306">
        <f>70+1002</f>
        <v>1072</v>
      </c>
      <c r="AD66" s="306"/>
      <c r="AE66" s="306">
        <f>21845+390+24+1040</f>
        <v>23299</v>
      </c>
      <c r="AF66" s="306"/>
      <c r="AG66" s="306"/>
      <c r="AH66" s="306"/>
      <c r="AI66" s="306"/>
      <c r="AJ66" s="306">
        <f>15351+454414+28226+242+45+5008+1130+43+73+241114+223+77+24049+6496</f>
        <v>776491</v>
      </c>
      <c r="AK66" s="306">
        <v>345</v>
      </c>
      <c r="AL66" s="306">
        <f>77+75</f>
        <v>152</v>
      </c>
      <c r="AM66" s="306">
        <f>871+4381</f>
        <v>5252</v>
      </c>
      <c r="AN66" s="306"/>
      <c r="AO66" s="306"/>
      <c r="AP66" s="306">
        <f>1925+65+2632+1972+768+3642+1020</f>
        <v>12024</v>
      </c>
      <c r="AQ66" s="306"/>
      <c r="AR66" s="306"/>
      <c r="AS66" s="306"/>
      <c r="AT66" s="306"/>
      <c r="AU66" s="306"/>
      <c r="AV66" s="306"/>
      <c r="AW66" s="306">
        <v>3579</v>
      </c>
      <c r="AX66" s="306"/>
      <c r="AY66" s="306">
        <v>18425</v>
      </c>
      <c r="AZ66" s="306">
        <v>6513</v>
      </c>
      <c r="BA66" s="306">
        <f>74109+14262</f>
        <v>88371</v>
      </c>
      <c r="BB66" s="306">
        <v>45</v>
      </c>
      <c r="BC66" s="306">
        <v>44693</v>
      </c>
      <c r="BD66" s="306"/>
      <c r="BE66" s="306">
        <f>307999+65632+1231+3333+1711</f>
        <v>379906</v>
      </c>
      <c r="BF66" s="306">
        <f>851+313</f>
        <v>1164</v>
      </c>
      <c r="BG66" s="306">
        <f>22250+31784</f>
        <v>54034</v>
      </c>
      <c r="BH66" s="306"/>
      <c r="BI66" s="306"/>
      <c r="BJ66" s="306"/>
      <c r="BK66" s="306">
        <f>55062+63</f>
        <v>55125</v>
      </c>
      <c r="BL66" s="306">
        <f>35+112</f>
        <v>147</v>
      </c>
      <c r="BM66" s="306"/>
      <c r="BN66" s="306">
        <f>1473278+1363772-3317</f>
        <v>2833733</v>
      </c>
      <c r="BO66" s="306"/>
      <c r="BP66" s="306">
        <f>2830+3725</f>
        <v>6555</v>
      </c>
      <c r="BQ66" s="306"/>
      <c r="BR66" s="306"/>
      <c r="BS66" s="306">
        <v>98</v>
      </c>
      <c r="BT66" s="306"/>
      <c r="BU66" s="306"/>
      <c r="BV66" s="306">
        <f>39181+10</f>
        <v>39191</v>
      </c>
      <c r="BW66" s="306">
        <f>15+4+1814+1602</f>
        <v>3435</v>
      </c>
      <c r="BX66" s="306">
        <f>1605+64</f>
        <v>1669</v>
      </c>
      <c r="BY66" s="306">
        <v>1632</v>
      </c>
      <c r="BZ66" s="306"/>
      <c r="CA66" s="306">
        <f>900+140</f>
        <v>1040</v>
      </c>
      <c r="CB66" s="306"/>
      <c r="CC66" s="306"/>
      <c r="CD66" s="305" t="s">
        <v>221</v>
      </c>
      <c r="CE66" s="295">
        <f t="shared" si="0"/>
        <v>5617172</v>
      </c>
      <c r="CF66" s="2"/>
    </row>
    <row r="67" spans="1:84" ht="12.65" customHeight="1" x14ac:dyDescent="0.3">
      <c r="A67" s="302" t="s">
        <v>6</v>
      </c>
      <c r="B67" s="295"/>
      <c r="C67" s="295">
        <f>ROUND(C51+C52,0)</f>
        <v>0</v>
      </c>
      <c r="D67" s="295">
        <f>ROUND(D51+D52,0)</f>
        <v>0</v>
      </c>
      <c r="E67" s="295">
        <f t="shared" ref="E67:BP67" si="3">ROUND(E51+E52,0)</f>
        <v>0</v>
      </c>
      <c r="F67" s="295">
        <f t="shared" si="3"/>
        <v>0</v>
      </c>
      <c r="G67" s="295">
        <f>ROUND(G51+G52,0)</f>
        <v>313397</v>
      </c>
      <c r="H67" s="295">
        <f t="shared" si="3"/>
        <v>0</v>
      </c>
      <c r="I67" s="295">
        <f t="shared" si="3"/>
        <v>0</v>
      </c>
      <c r="J67" s="295">
        <f>ROUND(J51+J52,0)</f>
        <v>0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0</v>
      </c>
      <c r="P67" s="295">
        <f t="shared" si="3"/>
        <v>0</v>
      </c>
      <c r="Q67" s="295">
        <f t="shared" si="3"/>
        <v>0</v>
      </c>
      <c r="R67" s="295">
        <f t="shared" si="3"/>
        <v>0</v>
      </c>
      <c r="S67" s="295">
        <f t="shared" si="3"/>
        <v>0</v>
      </c>
      <c r="T67" s="295">
        <f t="shared" si="3"/>
        <v>0</v>
      </c>
      <c r="U67" s="295">
        <f t="shared" si="3"/>
        <v>0</v>
      </c>
      <c r="V67" s="295">
        <f t="shared" si="3"/>
        <v>0</v>
      </c>
      <c r="W67" s="295">
        <f t="shared" si="3"/>
        <v>0</v>
      </c>
      <c r="X67" s="295">
        <f t="shared" si="3"/>
        <v>0</v>
      </c>
      <c r="Y67" s="295">
        <f t="shared" si="3"/>
        <v>0</v>
      </c>
      <c r="Z67" s="295">
        <f t="shared" si="3"/>
        <v>0</v>
      </c>
      <c r="AA67" s="295">
        <f t="shared" si="3"/>
        <v>0</v>
      </c>
      <c r="AB67" s="295">
        <f t="shared" si="3"/>
        <v>9184</v>
      </c>
      <c r="AC67" s="295">
        <f t="shared" si="3"/>
        <v>4866</v>
      </c>
      <c r="AD67" s="295">
        <f t="shared" si="3"/>
        <v>0</v>
      </c>
      <c r="AE67" s="295">
        <f t="shared" si="3"/>
        <v>86063</v>
      </c>
      <c r="AF67" s="295">
        <f t="shared" si="3"/>
        <v>0</v>
      </c>
      <c r="AG67" s="295">
        <f t="shared" si="3"/>
        <v>0</v>
      </c>
      <c r="AH67" s="295">
        <f t="shared" si="3"/>
        <v>0</v>
      </c>
      <c r="AI67" s="295">
        <f t="shared" si="3"/>
        <v>0</v>
      </c>
      <c r="AJ67" s="295">
        <f t="shared" si="3"/>
        <v>167763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164879</v>
      </c>
      <c r="AQ67" s="295">
        <f t="shared" si="3"/>
        <v>0</v>
      </c>
      <c r="AR67" s="295">
        <f t="shared" si="3"/>
        <v>0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30724</v>
      </c>
      <c r="AW67" s="295">
        <f t="shared" si="3"/>
        <v>0</v>
      </c>
      <c r="AX67" s="295">
        <f t="shared" si="3"/>
        <v>0</v>
      </c>
      <c r="AY67" s="295">
        <f t="shared" si="3"/>
        <v>39699</v>
      </c>
      <c r="AZ67" s="295">
        <f>ROUND(AZ51+AZ52,0)</f>
        <v>14988</v>
      </c>
      <c r="BA67" s="295">
        <f>ROUND(BA51+BA52,0)</f>
        <v>9010</v>
      </c>
      <c r="BB67" s="295">
        <f t="shared" si="3"/>
        <v>0</v>
      </c>
      <c r="BC67" s="295">
        <f t="shared" si="3"/>
        <v>0</v>
      </c>
      <c r="BD67" s="295">
        <f t="shared" si="3"/>
        <v>0</v>
      </c>
      <c r="BE67" s="295">
        <f t="shared" si="3"/>
        <v>470707</v>
      </c>
      <c r="BF67" s="295">
        <f t="shared" si="3"/>
        <v>4501</v>
      </c>
      <c r="BG67" s="295">
        <f t="shared" si="3"/>
        <v>0</v>
      </c>
      <c r="BH67" s="295">
        <f t="shared" si="3"/>
        <v>0</v>
      </c>
      <c r="BI67" s="295">
        <f t="shared" si="3"/>
        <v>0</v>
      </c>
      <c r="BJ67" s="295">
        <f t="shared" si="3"/>
        <v>0</v>
      </c>
      <c r="BK67" s="295">
        <f t="shared" si="3"/>
        <v>0</v>
      </c>
      <c r="BL67" s="295">
        <f t="shared" si="3"/>
        <v>0</v>
      </c>
      <c r="BM67" s="295">
        <f t="shared" si="3"/>
        <v>0</v>
      </c>
      <c r="BN67" s="295">
        <f t="shared" si="3"/>
        <v>128004</v>
      </c>
      <c r="BO67" s="295">
        <f t="shared" si="3"/>
        <v>0</v>
      </c>
      <c r="BP67" s="295">
        <f t="shared" si="3"/>
        <v>0</v>
      </c>
      <c r="BQ67" s="295">
        <f t="shared" ref="BQ67:CC67" si="4">ROUND(BQ51+BQ52,0)</f>
        <v>0</v>
      </c>
      <c r="BR67" s="295">
        <f t="shared" si="4"/>
        <v>0</v>
      </c>
      <c r="BS67" s="295">
        <f t="shared" si="4"/>
        <v>0</v>
      </c>
      <c r="BT67" s="295">
        <f t="shared" si="4"/>
        <v>0</v>
      </c>
      <c r="BU67" s="295">
        <f t="shared" si="4"/>
        <v>0</v>
      </c>
      <c r="BV67" s="295">
        <f t="shared" si="4"/>
        <v>11991</v>
      </c>
      <c r="BW67" s="295">
        <f t="shared" si="4"/>
        <v>81414</v>
      </c>
      <c r="BX67" s="295">
        <f t="shared" si="4"/>
        <v>12990</v>
      </c>
      <c r="BY67" s="295">
        <f t="shared" si="4"/>
        <v>19141</v>
      </c>
      <c r="BZ67" s="295">
        <f t="shared" si="4"/>
        <v>0</v>
      </c>
      <c r="CA67" s="295">
        <f t="shared" si="4"/>
        <v>0</v>
      </c>
      <c r="CB67" s="295">
        <f t="shared" si="4"/>
        <v>0</v>
      </c>
      <c r="CC67" s="295">
        <f t="shared" si="4"/>
        <v>3302</v>
      </c>
      <c r="CD67" s="305" t="s">
        <v>221</v>
      </c>
      <c r="CE67" s="295">
        <f t="shared" si="0"/>
        <v>1572623</v>
      </c>
      <c r="CF67" s="2"/>
    </row>
    <row r="68" spans="1:84" ht="12.65" customHeight="1" x14ac:dyDescent="0.3">
      <c r="A68" s="302" t="s">
        <v>240</v>
      </c>
      <c r="B68" s="295"/>
      <c r="C68" s="300"/>
      <c r="D68" s="300"/>
      <c r="E68" s="300"/>
      <c r="F68" s="300"/>
      <c r="G68" s="300">
        <v>103353</v>
      </c>
      <c r="H68" s="300"/>
      <c r="I68" s="300"/>
      <c r="J68" s="300"/>
      <c r="K68" s="306"/>
      <c r="L68" s="306"/>
      <c r="M68" s="300"/>
      <c r="N68" s="300"/>
      <c r="O68" s="300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>
        <v>7377</v>
      </c>
      <c r="AC68" s="306">
        <v>15229</v>
      </c>
      <c r="AD68" s="306"/>
      <c r="AE68" s="306"/>
      <c r="AF68" s="306"/>
      <c r="AG68" s="306"/>
      <c r="AH68" s="306"/>
      <c r="AI68" s="306"/>
      <c r="AJ68" s="306">
        <f>509+30998</f>
        <v>31507</v>
      </c>
      <c r="AK68" s="306"/>
      <c r="AL68" s="306"/>
      <c r="AM68" s="306"/>
      <c r="AN68" s="306"/>
      <c r="AO68" s="306"/>
      <c r="AP68" s="306">
        <f>150110+39331+40991+51639+39331</f>
        <v>321402</v>
      </c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>
        <v>1945</v>
      </c>
      <c r="BC68" s="306"/>
      <c r="BD68" s="306"/>
      <c r="BE68" s="306">
        <f>1302</f>
        <v>1302</v>
      </c>
      <c r="BF68" s="306">
        <v>350</v>
      </c>
      <c r="BG68" s="306"/>
      <c r="BH68" s="306"/>
      <c r="BI68" s="306"/>
      <c r="BJ68" s="306"/>
      <c r="BK68" s="306">
        <v>3174</v>
      </c>
      <c r="BL68" s="306">
        <v>246</v>
      </c>
      <c r="BM68" s="306"/>
      <c r="BN68" s="306">
        <f>70144</f>
        <v>70144</v>
      </c>
      <c r="BO68" s="306"/>
      <c r="BP68" s="306">
        <v>0</v>
      </c>
      <c r="BQ68" s="306"/>
      <c r="BR68" s="306"/>
      <c r="BS68" s="306"/>
      <c r="BT68" s="306"/>
      <c r="BU68" s="306"/>
      <c r="BV68" s="306"/>
      <c r="BW68" s="306">
        <v>218</v>
      </c>
      <c r="BX68" s="306"/>
      <c r="BY68" s="306"/>
      <c r="BZ68" s="306"/>
      <c r="CA68" s="306"/>
      <c r="CB68" s="306"/>
      <c r="CC68" s="306"/>
      <c r="CD68" s="305" t="s">
        <v>221</v>
      </c>
      <c r="CE68" s="295">
        <f t="shared" si="0"/>
        <v>556247</v>
      </c>
      <c r="CF68" s="2"/>
    </row>
    <row r="69" spans="1:84" ht="12.65" customHeight="1" x14ac:dyDescent="0.3">
      <c r="A69" s="302" t="s">
        <v>241</v>
      </c>
      <c r="B69" s="295"/>
      <c r="C69" s="300"/>
      <c r="D69" s="300"/>
      <c r="E69" s="306"/>
      <c r="F69" s="306"/>
      <c r="G69" s="300">
        <f>13212-4805-2248-1438-893-225</f>
        <v>3603</v>
      </c>
      <c r="H69" s="300"/>
      <c r="I69" s="306"/>
      <c r="J69" s="306"/>
      <c r="K69" s="306"/>
      <c r="L69" s="306"/>
      <c r="M69" s="300"/>
      <c r="N69" s="300"/>
      <c r="O69" s="300"/>
      <c r="P69" s="306"/>
      <c r="Q69" s="306"/>
      <c r="R69" s="307"/>
      <c r="S69" s="306">
        <f>-46641+816-274</f>
        <v>-46099</v>
      </c>
      <c r="T69" s="300"/>
      <c r="U69" s="306"/>
      <c r="V69" s="306"/>
      <c r="W69" s="300"/>
      <c r="X69" s="306"/>
      <c r="Y69" s="306">
        <v>25230</v>
      </c>
      <c r="Z69" s="306"/>
      <c r="AA69" s="306"/>
      <c r="AB69" s="306">
        <f>1685+54-1795</f>
        <v>-56</v>
      </c>
      <c r="AC69" s="306"/>
      <c r="AD69" s="306"/>
      <c r="AE69" s="306">
        <f>3197+1466+24</f>
        <v>4687</v>
      </c>
      <c r="AF69" s="306">
        <v>1779</v>
      </c>
      <c r="AG69" s="306"/>
      <c r="AH69" s="306"/>
      <c r="AI69" s="306"/>
      <c r="AJ69" s="306">
        <f>12653+6111+1221+1329+567+943+1381-889-338-150</f>
        <v>22828</v>
      </c>
      <c r="AK69" s="306">
        <f>3552-115-115</f>
        <v>3322</v>
      </c>
      <c r="AL69" s="306">
        <v>2696</v>
      </c>
      <c r="AM69" s="306">
        <f>650-174-174</f>
        <v>302</v>
      </c>
      <c r="AN69" s="306"/>
      <c r="AO69" s="300"/>
      <c r="AP69" s="306">
        <f>4019+988+1149+327+733+499-4019</f>
        <v>3696</v>
      </c>
      <c r="AQ69" s="300"/>
      <c r="AR69" s="300"/>
      <c r="AS69" s="300"/>
      <c r="AT69" s="300"/>
      <c r="AU69" s="306"/>
      <c r="AV69" s="306">
        <v>103714</v>
      </c>
      <c r="AW69" s="306">
        <v>984</v>
      </c>
      <c r="AX69" s="306"/>
      <c r="AY69" s="306">
        <v>1117</v>
      </c>
      <c r="AZ69" s="306"/>
      <c r="BA69" s="306"/>
      <c r="BB69" s="306">
        <v>784</v>
      </c>
      <c r="BC69" s="306">
        <f>190-172</f>
        <v>18</v>
      </c>
      <c r="BD69" s="306"/>
      <c r="BE69" s="306">
        <f>2513+94+2095+3254-861-34-351-2095</f>
        <v>4615</v>
      </c>
      <c r="BF69" s="306">
        <v>15</v>
      </c>
      <c r="BG69" s="306"/>
      <c r="BH69" s="307"/>
      <c r="BI69" s="306"/>
      <c r="BJ69" s="306"/>
      <c r="BK69" s="306">
        <v>17970</v>
      </c>
      <c r="BL69" s="306">
        <v>14</v>
      </c>
      <c r="BM69" s="306"/>
      <c r="BN69" s="306">
        <f>-38246+732432-663397+8403</f>
        <v>39192</v>
      </c>
      <c r="BO69" s="306"/>
      <c r="BP69" s="306">
        <f>7268-463</f>
        <v>6805</v>
      </c>
      <c r="BQ69" s="306"/>
      <c r="BR69" s="306"/>
      <c r="BS69" s="306">
        <v>1368</v>
      </c>
      <c r="BT69" s="306"/>
      <c r="BU69" s="306"/>
      <c r="BV69" s="306">
        <f>7468-7468</f>
        <v>0</v>
      </c>
      <c r="BW69" s="306">
        <f>4413-956</f>
        <v>3457</v>
      </c>
      <c r="BX69" s="306">
        <f>8861+1046+1188</f>
        <v>11095</v>
      </c>
      <c r="BY69" s="306"/>
      <c r="BZ69" s="306"/>
      <c r="CA69" s="306"/>
      <c r="CB69" s="306"/>
      <c r="CC69" s="306"/>
      <c r="CD69" s="300">
        <f>-712382+663397+4019</f>
        <v>-44966</v>
      </c>
      <c r="CE69" s="295">
        <f t="shared" si="0"/>
        <v>168170</v>
      </c>
      <c r="CF69" s="2"/>
    </row>
    <row r="70" spans="1:84" ht="12.65" customHeight="1" x14ac:dyDescent="0.3">
      <c r="A70" s="302" t="s">
        <v>242</v>
      </c>
      <c r="B70" s="295"/>
      <c r="C70" s="300"/>
      <c r="D70" s="300"/>
      <c r="E70" s="300"/>
      <c r="F70" s="306"/>
      <c r="G70" s="300">
        <v>42286</v>
      </c>
      <c r="H70" s="300"/>
      <c r="I70" s="300"/>
      <c r="J70" s="306"/>
      <c r="K70" s="306"/>
      <c r="L70" s="306"/>
      <c r="M70" s="300"/>
      <c r="N70" s="300"/>
      <c r="O70" s="300"/>
      <c r="P70" s="300"/>
      <c r="Q70" s="300"/>
      <c r="R70" s="300"/>
      <c r="S70" s="300"/>
      <c r="T70" s="300"/>
      <c r="U70" s="306"/>
      <c r="V70" s="300"/>
      <c r="W70" s="300"/>
      <c r="X70" s="306"/>
      <c r="Y70" s="306"/>
      <c r="Z70" s="306"/>
      <c r="AA70" s="306"/>
      <c r="AB70" s="306"/>
      <c r="AC70" s="306"/>
      <c r="AD70" s="306"/>
      <c r="AE70" s="306">
        <f>1305+1205</f>
        <v>2510</v>
      </c>
      <c r="AF70" s="306"/>
      <c r="AG70" s="306"/>
      <c r="AH70" s="306"/>
      <c r="AI70" s="306"/>
      <c r="AJ70" s="306">
        <f>40078+3764+2598+1650+76822+1639261</f>
        <v>1764173</v>
      </c>
      <c r="AK70" s="306">
        <v>3498</v>
      </c>
      <c r="AL70" s="306"/>
      <c r="AM70" s="306"/>
      <c r="AN70" s="306"/>
      <c r="AO70" s="306"/>
      <c r="AP70" s="306">
        <f>30+71+40+260+3630</f>
        <v>4031</v>
      </c>
      <c r="AQ70" s="306"/>
      <c r="AR70" s="306"/>
      <c r="AS70" s="306"/>
      <c r="AT70" s="306"/>
      <c r="AU70" s="306"/>
      <c r="AV70" s="306"/>
      <c r="AW70" s="306">
        <v>28083</v>
      </c>
      <c r="AX70" s="306"/>
      <c r="AY70" s="306">
        <v>24501</v>
      </c>
      <c r="AZ70" s="306">
        <v>258532</v>
      </c>
      <c r="BA70" s="306"/>
      <c r="BB70" s="306"/>
      <c r="BC70" s="306"/>
      <c r="BD70" s="306"/>
      <c r="BE70" s="306">
        <f>17407+7440+157946+14430</f>
        <v>197223</v>
      </c>
      <c r="BF70" s="306"/>
      <c r="BG70" s="306"/>
      <c r="BH70" s="306"/>
      <c r="BI70" s="306">
        <f>5000</f>
        <v>5000</v>
      </c>
      <c r="BJ70" s="306"/>
      <c r="BK70" s="306"/>
      <c r="BL70" s="306"/>
      <c r="BM70" s="306"/>
      <c r="BN70" s="306">
        <f>1646867</f>
        <v>1646867</v>
      </c>
      <c r="BO70" s="306"/>
      <c r="BP70" s="306">
        <v>8205</v>
      </c>
      <c r="BQ70" s="306"/>
      <c r="BR70" s="306"/>
      <c r="BS70" s="306"/>
      <c r="BT70" s="306"/>
      <c r="BU70" s="306"/>
      <c r="BV70" s="306">
        <v>34884</v>
      </c>
      <c r="BW70" s="306">
        <v>2110</v>
      </c>
      <c r="BX70" s="306"/>
      <c r="BY70" s="306"/>
      <c r="BZ70" s="306"/>
      <c r="CA70" s="306">
        <v>1025</v>
      </c>
      <c r="CB70" s="306"/>
      <c r="CC70" s="306"/>
      <c r="CD70" s="300"/>
      <c r="CE70" s="295">
        <f t="shared" si="0"/>
        <v>4022928</v>
      </c>
      <c r="CF70" s="2"/>
    </row>
    <row r="71" spans="1:84" ht="12.65" customHeight="1" x14ac:dyDescent="0.3">
      <c r="A71" s="302" t="s">
        <v>243</v>
      </c>
      <c r="B71" s="295"/>
      <c r="C71" s="295">
        <f>SUM(C61:C68)+C69-C70</f>
        <v>0</v>
      </c>
      <c r="D71" s="295">
        <f t="shared" ref="D71:AI71" si="5">SUM(D61:D69)-D70</f>
        <v>0</v>
      </c>
      <c r="E71" s="295">
        <f t="shared" si="5"/>
        <v>0</v>
      </c>
      <c r="F71" s="295">
        <f t="shared" si="5"/>
        <v>0</v>
      </c>
      <c r="G71" s="295">
        <f t="shared" si="5"/>
        <v>14088916</v>
      </c>
      <c r="H71" s="295">
        <f t="shared" si="5"/>
        <v>0</v>
      </c>
      <c r="I71" s="295">
        <f t="shared" si="5"/>
        <v>0</v>
      </c>
      <c r="J71" s="295">
        <f t="shared" si="5"/>
        <v>0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0</v>
      </c>
      <c r="P71" s="295">
        <f t="shared" si="5"/>
        <v>0</v>
      </c>
      <c r="Q71" s="295">
        <f t="shared" si="5"/>
        <v>0</v>
      </c>
      <c r="R71" s="295">
        <f t="shared" si="5"/>
        <v>0</v>
      </c>
      <c r="S71" s="295">
        <f t="shared" si="5"/>
        <v>65795</v>
      </c>
      <c r="T71" s="295">
        <f t="shared" si="5"/>
        <v>0</v>
      </c>
      <c r="U71" s="295">
        <f t="shared" si="5"/>
        <v>164225</v>
      </c>
      <c r="V71" s="295">
        <f t="shared" si="5"/>
        <v>0</v>
      </c>
      <c r="W71" s="295">
        <f t="shared" si="5"/>
        <v>0</v>
      </c>
      <c r="X71" s="295">
        <f t="shared" si="5"/>
        <v>0</v>
      </c>
      <c r="Y71" s="295">
        <f t="shared" si="5"/>
        <v>25230</v>
      </c>
      <c r="Z71" s="295">
        <f t="shared" si="5"/>
        <v>0</v>
      </c>
      <c r="AA71" s="295">
        <f t="shared" si="5"/>
        <v>0</v>
      </c>
      <c r="AB71" s="295">
        <f t="shared" si="5"/>
        <v>1528269</v>
      </c>
      <c r="AC71" s="295">
        <f t="shared" si="5"/>
        <v>648555</v>
      </c>
      <c r="AD71" s="295">
        <f t="shared" si="5"/>
        <v>0</v>
      </c>
      <c r="AE71" s="295">
        <f t="shared" si="5"/>
        <v>2829478</v>
      </c>
      <c r="AF71" s="295">
        <f t="shared" si="5"/>
        <v>282713</v>
      </c>
      <c r="AG71" s="295">
        <f t="shared" si="5"/>
        <v>0</v>
      </c>
      <c r="AH71" s="295">
        <f t="shared" si="5"/>
        <v>0</v>
      </c>
      <c r="AI71" s="295">
        <f t="shared" si="5"/>
        <v>0</v>
      </c>
      <c r="AJ71" s="295">
        <f t="shared" ref="AJ71:BO71" si="6">SUM(AJ61:AJ69)-AJ70</f>
        <v>3746904</v>
      </c>
      <c r="AK71" s="295">
        <f t="shared" si="6"/>
        <v>1714739</v>
      </c>
      <c r="AL71" s="295">
        <f t="shared" si="6"/>
        <v>772161</v>
      </c>
      <c r="AM71" s="295">
        <f t="shared" si="6"/>
        <v>255005</v>
      </c>
      <c r="AN71" s="295">
        <f t="shared" si="6"/>
        <v>0</v>
      </c>
      <c r="AO71" s="295">
        <f t="shared" si="6"/>
        <v>0</v>
      </c>
      <c r="AP71" s="295">
        <f t="shared" si="6"/>
        <v>2740068</v>
      </c>
      <c r="AQ71" s="295">
        <f t="shared" si="6"/>
        <v>0</v>
      </c>
      <c r="AR71" s="295">
        <f t="shared" si="6"/>
        <v>0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134438</v>
      </c>
      <c r="AW71" s="295">
        <f t="shared" si="6"/>
        <v>163380</v>
      </c>
      <c r="AX71" s="295">
        <f t="shared" si="6"/>
        <v>0</v>
      </c>
      <c r="AY71" s="295">
        <f t="shared" si="6"/>
        <v>1823436</v>
      </c>
      <c r="AZ71" s="295">
        <f t="shared" si="6"/>
        <v>-237031</v>
      </c>
      <c r="BA71" s="295">
        <f t="shared" si="6"/>
        <v>141252</v>
      </c>
      <c r="BB71" s="295">
        <f t="shared" si="6"/>
        <v>997873</v>
      </c>
      <c r="BC71" s="295">
        <f t="shared" si="6"/>
        <v>103046</v>
      </c>
      <c r="BD71" s="295">
        <f t="shared" si="6"/>
        <v>0</v>
      </c>
      <c r="BE71" s="295">
        <f t="shared" si="6"/>
        <v>2481582</v>
      </c>
      <c r="BF71" s="295">
        <f t="shared" si="6"/>
        <v>767470</v>
      </c>
      <c r="BG71" s="295">
        <f t="shared" si="6"/>
        <v>166799</v>
      </c>
      <c r="BH71" s="295">
        <f t="shared" si="6"/>
        <v>0</v>
      </c>
      <c r="BI71" s="295">
        <f t="shared" si="6"/>
        <v>8602</v>
      </c>
      <c r="BJ71" s="295">
        <f t="shared" si="6"/>
        <v>0</v>
      </c>
      <c r="BK71" s="295">
        <f t="shared" si="6"/>
        <v>866271</v>
      </c>
      <c r="BL71" s="295">
        <f t="shared" si="6"/>
        <v>975614</v>
      </c>
      <c r="BM71" s="295">
        <f t="shared" si="6"/>
        <v>0</v>
      </c>
      <c r="BN71" s="295">
        <f t="shared" si="6"/>
        <v>2905013</v>
      </c>
      <c r="BO71" s="295">
        <f t="shared" si="6"/>
        <v>271</v>
      </c>
      <c r="BP71" s="295">
        <f t="shared" ref="BP71:CC71" si="7">SUM(BP61:BP69)-BP70</f>
        <v>71622</v>
      </c>
      <c r="BQ71" s="295">
        <f t="shared" si="7"/>
        <v>0</v>
      </c>
      <c r="BR71" s="295">
        <f t="shared" si="7"/>
        <v>0</v>
      </c>
      <c r="BS71" s="295">
        <f t="shared" si="7"/>
        <v>1466</v>
      </c>
      <c r="BT71" s="295">
        <f t="shared" si="7"/>
        <v>119906</v>
      </c>
      <c r="BU71" s="295">
        <f t="shared" si="7"/>
        <v>0</v>
      </c>
      <c r="BV71" s="295">
        <f t="shared" si="7"/>
        <v>347592</v>
      </c>
      <c r="BW71" s="295">
        <f t="shared" si="7"/>
        <v>606079</v>
      </c>
      <c r="BX71" s="295">
        <f t="shared" si="7"/>
        <v>2169513</v>
      </c>
      <c r="BY71" s="295">
        <f t="shared" si="7"/>
        <v>28594</v>
      </c>
      <c r="BZ71" s="295">
        <f t="shared" si="7"/>
        <v>0</v>
      </c>
      <c r="CA71" s="295">
        <f t="shared" si="7"/>
        <v>15</v>
      </c>
      <c r="CB71" s="295">
        <f t="shared" si="7"/>
        <v>0</v>
      </c>
      <c r="CC71" s="295">
        <f t="shared" si="7"/>
        <v>3302</v>
      </c>
      <c r="CD71" s="301">
        <f>CD69-CD70</f>
        <v>-44966</v>
      </c>
      <c r="CE71" s="295">
        <f>SUM(CE61:CE69)-CE70</f>
        <v>43463197</v>
      </c>
      <c r="CF71" s="2"/>
    </row>
    <row r="72" spans="1:84" ht="12.65" customHeight="1" x14ac:dyDescent="0.3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12"/>
      <c r="CF72" s="2"/>
    </row>
    <row r="73" spans="1:84" ht="12.65" customHeight="1" x14ac:dyDescent="0.3">
      <c r="A73" s="302" t="s">
        <v>245</v>
      </c>
      <c r="B73" s="295"/>
      <c r="C73" s="300"/>
      <c r="D73" s="300"/>
      <c r="E73" s="306"/>
      <c r="F73" s="306"/>
      <c r="G73" s="300">
        <f>37601194-10948</f>
        <v>37590246</v>
      </c>
      <c r="H73" s="300"/>
      <c r="I73" s="306"/>
      <c r="J73" s="306"/>
      <c r="K73" s="306"/>
      <c r="L73" s="306"/>
      <c r="M73" s="300"/>
      <c r="N73" s="300"/>
      <c r="O73" s="300"/>
      <c r="P73" s="306"/>
      <c r="Q73" s="306"/>
      <c r="R73" s="306"/>
      <c r="S73" s="306"/>
      <c r="T73" s="306"/>
      <c r="U73" s="306">
        <v>4439806</v>
      </c>
      <c r="V73" s="306"/>
      <c r="W73" s="306">
        <v>31189</v>
      </c>
      <c r="X73" s="306">
        <v>144498</v>
      </c>
      <c r="Y73" s="306">
        <f>188659+21220</f>
        <v>209879</v>
      </c>
      <c r="Z73" s="306"/>
      <c r="AA73" s="306">
        <v>1258</v>
      </c>
      <c r="AB73" s="306">
        <v>4442100</v>
      </c>
      <c r="AC73" s="306">
        <v>1589914</v>
      </c>
      <c r="AD73" s="306"/>
      <c r="AE73" s="306">
        <v>8994548</v>
      </c>
      <c r="AF73" s="306">
        <v>1001930</v>
      </c>
      <c r="AG73" s="306"/>
      <c r="AH73" s="306"/>
      <c r="AI73" s="306"/>
      <c r="AJ73" s="306"/>
      <c r="AK73" s="306">
        <v>11227109</v>
      </c>
      <c r="AL73" s="306">
        <v>2228025</v>
      </c>
      <c r="AM73" s="306">
        <v>1403503</v>
      </c>
      <c r="AN73" s="306"/>
      <c r="AO73" s="306"/>
      <c r="AP73" s="306"/>
      <c r="AQ73" s="306"/>
      <c r="AR73" s="306"/>
      <c r="AS73" s="306"/>
      <c r="AT73" s="306"/>
      <c r="AU73" s="306"/>
      <c r="AV73" s="306">
        <v>241813</v>
      </c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73545818</v>
      </c>
      <c r="CF73" s="2"/>
    </row>
    <row r="74" spans="1:84" ht="12.65" customHeight="1" x14ac:dyDescent="0.3">
      <c r="A74" s="302" t="s">
        <v>246</v>
      </c>
      <c r="B74" s="295"/>
      <c r="C74" s="300"/>
      <c r="D74" s="300"/>
      <c r="E74" s="306"/>
      <c r="F74" s="306"/>
      <c r="G74" s="300"/>
      <c r="H74" s="300"/>
      <c r="I74" s="300"/>
      <c r="J74" s="306"/>
      <c r="K74" s="306"/>
      <c r="L74" s="306"/>
      <c r="M74" s="300"/>
      <c r="N74" s="300"/>
      <c r="O74" s="300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>
        <f>287008+8090535+2676059+2264794+213506</f>
        <v>13531902</v>
      </c>
      <c r="AK74" s="306"/>
      <c r="AL74" s="306"/>
      <c r="AM74" s="306"/>
      <c r="AN74" s="306"/>
      <c r="AO74" s="306"/>
      <c r="AP74" s="306">
        <f>2219777+2222558+2215421+1463997+1444457</f>
        <v>9566210</v>
      </c>
      <c r="AQ74" s="306"/>
      <c r="AR74" s="306"/>
      <c r="AS74" s="306"/>
      <c r="AT74" s="306"/>
      <c r="AU74" s="306"/>
      <c r="AV74" s="306"/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23098112</v>
      </c>
      <c r="CF74" s="2"/>
    </row>
    <row r="75" spans="1:84" ht="12.65" customHeight="1" x14ac:dyDescent="0.3">
      <c r="A75" s="302" t="s">
        <v>247</v>
      </c>
      <c r="B75" s="295"/>
      <c r="C75" s="295">
        <f t="shared" ref="C75:AV75" si="9">SUM(C73:C74)</f>
        <v>0</v>
      </c>
      <c r="D75" s="295">
        <f t="shared" si="9"/>
        <v>0</v>
      </c>
      <c r="E75" s="295">
        <f t="shared" si="9"/>
        <v>0</v>
      </c>
      <c r="F75" s="295">
        <f t="shared" si="9"/>
        <v>0</v>
      </c>
      <c r="G75" s="295">
        <f t="shared" si="9"/>
        <v>37590246</v>
      </c>
      <c r="H75" s="295">
        <f t="shared" si="9"/>
        <v>0</v>
      </c>
      <c r="I75" s="295">
        <f t="shared" si="9"/>
        <v>0</v>
      </c>
      <c r="J75" s="295">
        <f t="shared" si="9"/>
        <v>0</v>
      </c>
      <c r="K75" s="295">
        <f t="shared" si="9"/>
        <v>0</v>
      </c>
      <c r="L75" s="295">
        <f t="shared" si="9"/>
        <v>0</v>
      </c>
      <c r="M75" s="295">
        <f t="shared" si="9"/>
        <v>0</v>
      </c>
      <c r="N75" s="295">
        <f t="shared" si="9"/>
        <v>0</v>
      </c>
      <c r="O75" s="295">
        <f t="shared" si="9"/>
        <v>0</v>
      </c>
      <c r="P75" s="295">
        <f t="shared" si="9"/>
        <v>0</v>
      </c>
      <c r="Q75" s="295">
        <f t="shared" si="9"/>
        <v>0</v>
      </c>
      <c r="R75" s="295">
        <f t="shared" si="9"/>
        <v>0</v>
      </c>
      <c r="S75" s="295">
        <f t="shared" si="9"/>
        <v>0</v>
      </c>
      <c r="T75" s="295">
        <f t="shared" si="9"/>
        <v>0</v>
      </c>
      <c r="U75" s="295">
        <f t="shared" si="9"/>
        <v>4439806</v>
      </c>
      <c r="V75" s="295">
        <f t="shared" si="9"/>
        <v>0</v>
      </c>
      <c r="W75" s="295">
        <f t="shared" si="9"/>
        <v>31189</v>
      </c>
      <c r="X75" s="295">
        <f t="shared" si="9"/>
        <v>144498</v>
      </c>
      <c r="Y75" s="295">
        <f t="shared" si="9"/>
        <v>209879</v>
      </c>
      <c r="Z75" s="295">
        <f t="shared" si="9"/>
        <v>0</v>
      </c>
      <c r="AA75" s="295">
        <f t="shared" si="9"/>
        <v>1258</v>
      </c>
      <c r="AB75" s="295">
        <f t="shared" si="9"/>
        <v>4442100</v>
      </c>
      <c r="AC75" s="295">
        <f t="shared" si="9"/>
        <v>1589914</v>
      </c>
      <c r="AD75" s="295">
        <f t="shared" si="9"/>
        <v>0</v>
      </c>
      <c r="AE75" s="295">
        <f t="shared" si="9"/>
        <v>8994548</v>
      </c>
      <c r="AF75" s="295">
        <f t="shared" si="9"/>
        <v>1001930</v>
      </c>
      <c r="AG75" s="295">
        <f t="shared" si="9"/>
        <v>0</v>
      </c>
      <c r="AH75" s="295">
        <f t="shared" si="9"/>
        <v>0</v>
      </c>
      <c r="AI75" s="295">
        <f t="shared" si="9"/>
        <v>0</v>
      </c>
      <c r="AJ75" s="295">
        <f t="shared" si="9"/>
        <v>13531902</v>
      </c>
      <c r="AK75" s="295">
        <f t="shared" si="9"/>
        <v>11227109</v>
      </c>
      <c r="AL75" s="295">
        <f t="shared" si="9"/>
        <v>2228025</v>
      </c>
      <c r="AM75" s="295">
        <f t="shared" si="9"/>
        <v>1403503</v>
      </c>
      <c r="AN75" s="295">
        <f t="shared" si="9"/>
        <v>0</v>
      </c>
      <c r="AO75" s="295">
        <f t="shared" si="9"/>
        <v>0</v>
      </c>
      <c r="AP75" s="295">
        <f t="shared" si="9"/>
        <v>9566210</v>
      </c>
      <c r="AQ75" s="295">
        <f t="shared" si="9"/>
        <v>0</v>
      </c>
      <c r="AR75" s="295">
        <f t="shared" si="9"/>
        <v>0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241813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96643930</v>
      </c>
      <c r="CF75" s="2"/>
    </row>
    <row r="76" spans="1:84" ht="12.65" customHeight="1" x14ac:dyDescent="0.3">
      <c r="A76" s="302" t="s">
        <v>248</v>
      </c>
      <c r="B76" s="295"/>
      <c r="C76" s="300"/>
      <c r="D76" s="300"/>
      <c r="E76" s="185"/>
      <c r="F76" s="185"/>
      <c r="G76" s="300">
        <v>36069</v>
      </c>
      <c r="H76" s="300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306">
        <v>1057</v>
      </c>
      <c r="AC76" s="306">
        <v>560</v>
      </c>
      <c r="AD76" s="185"/>
      <c r="AE76" s="306">
        <v>9905</v>
      </c>
      <c r="AF76" s="185"/>
      <c r="AG76" s="185"/>
      <c r="AH76" s="185"/>
      <c r="AI76" s="185"/>
      <c r="AJ76" s="306">
        <v>19308</v>
      </c>
      <c r="AK76" s="185"/>
      <c r="AL76" s="185"/>
      <c r="AM76" s="185"/>
      <c r="AN76" s="185"/>
      <c r="AO76" s="185"/>
      <c r="AP76" s="306">
        <v>18976</v>
      </c>
      <c r="AQ76" s="185"/>
      <c r="AR76" s="185"/>
      <c r="AS76" s="185"/>
      <c r="AT76" s="185"/>
      <c r="AU76" s="185"/>
      <c r="AV76" s="306">
        <v>3536</v>
      </c>
      <c r="AW76" s="306"/>
      <c r="AX76" s="306"/>
      <c r="AY76" s="306">
        <v>4569</v>
      </c>
      <c r="AZ76" s="306">
        <v>1725</v>
      </c>
      <c r="BA76" s="306">
        <v>1037</v>
      </c>
      <c r="BB76" s="185"/>
      <c r="BC76" s="185"/>
      <c r="BD76" s="185"/>
      <c r="BE76" s="306">
        <v>54174</v>
      </c>
      <c r="BF76" s="306">
        <v>518</v>
      </c>
      <c r="BG76" s="185"/>
      <c r="BH76" s="185"/>
      <c r="BI76" s="185"/>
      <c r="BJ76" s="185"/>
      <c r="BK76" s="185"/>
      <c r="BL76" s="185"/>
      <c r="BM76" s="185"/>
      <c r="BN76" s="306">
        <v>14732</v>
      </c>
      <c r="BO76" s="306"/>
      <c r="BP76" s="306"/>
      <c r="BQ76" s="306"/>
      <c r="BR76" s="306"/>
      <c r="BS76" s="306"/>
      <c r="BT76" s="306"/>
      <c r="BU76" s="306"/>
      <c r="BV76" s="306">
        <v>1380</v>
      </c>
      <c r="BW76" s="306">
        <v>9370</v>
      </c>
      <c r="BX76" s="306">
        <v>1495</v>
      </c>
      <c r="BY76" s="306">
        <v>2203</v>
      </c>
      <c r="BZ76" s="306"/>
      <c r="CA76" s="306"/>
      <c r="CB76" s="306"/>
      <c r="CC76" s="306">
        <v>380</v>
      </c>
      <c r="CD76" s="305" t="s">
        <v>221</v>
      </c>
      <c r="CE76" s="295">
        <f t="shared" si="8"/>
        <v>180994</v>
      </c>
      <c r="CF76" s="295">
        <f>BE59-CE76</f>
        <v>0</v>
      </c>
    </row>
    <row r="77" spans="1:84" ht="12.65" customHeight="1" x14ac:dyDescent="0.3">
      <c r="A77" s="302" t="s">
        <v>249</v>
      </c>
      <c r="B77" s="295"/>
      <c r="C77" s="300"/>
      <c r="D77" s="300"/>
      <c r="E77" s="300"/>
      <c r="F77" s="300"/>
      <c r="G77" s="300">
        <v>58849</v>
      </c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5" t="s">
        <v>221</v>
      </c>
      <c r="AY77" s="305" t="s">
        <v>221</v>
      </c>
      <c r="AZ77" s="300"/>
      <c r="BA77" s="300"/>
      <c r="BB77" s="300"/>
      <c r="BC77" s="300"/>
      <c r="BD77" s="305" t="s">
        <v>221</v>
      </c>
      <c r="BE77" s="305" t="s">
        <v>221</v>
      </c>
      <c r="BF77" s="300"/>
      <c r="BG77" s="305" t="s">
        <v>221</v>
      </c>
      <c r="BH77" s="300"/>
      <c r="BI77" s="300"/>
      <c r="BJ77" s="305" t="s">
        <v>221</v>
      </c>
      <c r="BK77" s="300"/>
      <c r="BL77" s="300"/>
      <c r="BM77" s="300"/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/>
      <c r="BT77" s="300"/>
      <c r="BU77" s="300"/>
      <c r="BV77" s="300"/>
      <c r="BW77" s="300"/>
      <c r="BX77" s="300"/>
      <c r="BY77" s="300"/>
      <c r="BZ77" s="300"/>
      <c r="CA77" s="300"/>
      <c r="CB77" s="300"/>
      <c r="CC77" s="305" t="s">
        <v>221</v>
      </c>
      <c r="CD77" s="305" t="s">
        <v>221</v>
      </c>
      <c r="CE77" s="295">
        <f>SUM(C77:CD77)</f>
        <v>58849</v>
      </c>
      <c r="CF77" s="295">
        <f>AY59-CE77</f>
        <v>0</v>
      </c>
    </row>
    <row r="78" spans="1:84" ht="12.65" customHeight="1" x14ac:dyDescent="0.3">
      <c r="A78" s="302" t="s">
        <v>250</v>
      </c>
      <c r="B78" s="295"/>
      <c r="C78" s="300"/>
      <c r="D78" s="300"/>
      <c r="E78" s="300"/>
      <c r="F78" s="300"/>
      <c r="G78" s="300">
        <v>36069</v>
      </c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0"/>
      <c r="Z78" s="300"/>
      <c r="AA78" s="300"/>
      <c r="AB78" s="300">
        <v>1057</v>
      </c>
      <c r="AC78" s="300">
        <v>560</v>
      </c>
      <c r="AD78" s="300"/>
      <c r="AE78" s="300">
        <v>9905</v>
      </c>
      <c r="AF78" s="300"/>
      <c r="AG78" s="300"/>
      <c r="AH78" s="300"/>
      <c r="AI78" s="300"/>
      <c r="AJ78" s="300">
        <v>19308</v>
      </c>
      <c r="AK78" s="300"/>
      <c r="AL78" s="300"/>
      <c r="AM78" s="300"/>
      <c r="AN78" s="300"/>
      <c r="AO78" s="300"/>
      <c r="AP78" s="300">
        <v>18976</v>
      </c>
      <c r="AQ78" s="300"/>
      <c r="AR78" s="300"/>
      <c r="AS78" s="300"/>
      <c r="AT78" s="300"/>
      <c r="AU78" s="300"/>
      <c r="AV78" s="300">
        <v>3536</v>
      </c>
      <c r="AW78" s="300"/>
      <c r="AX78" s="305" t="s">
        <v>221</v>
      </c>
      <c r="AY78" s="305" t="s">
        <v>221</v>
      </c>
      <c r="AZ78" s="305" t="s">
        <v>221</v>
      </c>
      <c r="BA78" s="300">
        <v>1037</v>
      </c>
      <c r="BB78" s="300"/>
      <c r="BC78" s="300"/>
      <c r="BD78" s="305" t="s">
        <v>221</v>
      </c>
      <c r="BE78" s="305" t="s">
        <v>221</v>
      </c>
      <c r="BF78" s="305" t="s">
        <v>221</v>
      </c>
      <c r="BG78" s="305" t="s">
        <v>221</v>
      </c>
      <c r="BH78" s="300"/>
      <c r="BI78" s="300"/>
      <c r="BJ78" s="305" t="s">
        <v>221</v>
      </c>
      <c r="BK78" s="300"/>
      <c r="BL78" s="300"/>
      <c r="BM78" s="300"/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/>
      <c r="BT78" s="300"/>
      <c r="BU78" s="300"/>
      <c r="BV78" s="300">
        <v>1380</v>
      </c>
      <c r="BW78" s="300">
        <v>9370</v>
      </c>
      <c r="BX78" s="300">
        <v>1495</v>
      </c>
      <c r="BY78" s="300">
        <v>2203</v>
      </c>
      <c r="BZ78" s="300"/>
      <c r="CA78" s="300"/>
      <c r="CB78" s="300"/>
      <c r="CC78" s="305" t="s">
        <v>221</v>
      </c>
      <c r="CD78" s="305" t="s">
        <v>221</v>
      </c>
      <c r="CE78" s="295">
        <f t="shared" si="8"/>
        <v>104896</v>
      </c>
      <c r="CF78" s="295"/>
    </row>
    <row r="79" spans="1:84" ht="12.65" customHeight="1" x14ac:dyDescent="0.3">
      <c r="A79" s="302" t="s">
        <v>251</v>
      </c>
      <c r="B79" s="295"/>
      <c r="C79" s="313"/>
      <c r="D79" s="225"/>
      <c r="E79" s="300"/>
      <c r="F79" s="300"/>
      <c r="G79" s="300">
        <v>122884</v>
      </c>
      <c r="H79" s="300"/>
      <c r="I79" s="300"/>
      <c r="J79" s="300"/>
      <c r="K79" s="300"/>
      <c r="L79" s="300"/>
      <c r="M79" s="300"/>
      <c r="N79" s="300"/>
      <c r="O79" s="300"/>
      <c r="P79" s="300"/>
      <c r="Q79" s="300"/>
      <c r="R79" s="300"/>
      <c r="S79" s="300"/>
      <c r="T79" s="300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I79" s="300"/>
      <c r="AJ79" s="300">
        <v>20013</v>
      </c>
      <c r="AK79" s="300"/>
      <c r="AL79" s="300"/>
      <c r="AM79" s="300"/>
      <c r="AN79" s="300"/>
      <c r="AO79" s="300"/>
      <c r="AP79" s="300">
        <v>19464</v>
      </c>
      <c r="AQ79" s="300"/>
      <c r="AR79" s="300"/>
      <c r="AS79" s="300"/>
      <c r="AT79" s="300"/>
      <c r="AU79" s="300"/>
      <c r="AV79" s="300"/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/>
      <c r="BI79" s="300"/>
      <c r="BJ79" s="305" t="s">
        <v>221</v>
      </c>
      <c r="BK79" s="300"/>
      <c r="BL79" s="300"/>
      <c r="BM79" s="300"/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/>
      <c r="BT79" s="300"/>
      <c r="BU79" s="300"/>
      <c r="BV79" s="300"/>
      <c r="BW79" s="300"/>
      <c r="BX79" s="300"/>
      <c r="BY79" s="300"/>
      <c r="BZ79" s="300"/>
      <c r="CA79" s="300"/>
      <c r="CB79" s="300"/>
      <c r="CC79" s="305" t="s">
        <v>221</v>
      </c>
      <c r="CD79" s="305" t="s">
        <v>221</v>
      </c>
      <c r="CE79" s="295">
        <f t="shared" si="8"/>
        <v>162361</v>
      </c>
      <c r="CF79" s="295">
        <f>BA59</f>
        <v>0</v>
      </c>
    </row>
    <row r="80" spans="1:84" ht="12.65" customHeight="1" x14ac:dyDescent="0.3">
      <c r="A80" s="302" t="s">
        <v>252</v>
      </c>
      <c r="B80" s="295"/>
      <c r="C80" s="187"/>
      <c r="D80" s="187"/>
      <c r="E80" s="187"/>
      <c r="F80" s="187"/>
      <c r="G80" s="187">
        <v>66.69</v>
      </c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14"/>
      <c r="BV80" s="314"/>
      <c r="BW80" s="314"/>
      <c r="BX80" s="314"/>
      <c r="BY80" s="314"/>
      <c r="BZ80" s="314"/>
      <c r="CA80" s="314"/>
      <c r="CB80" s="314"/>
      <c r="CC80" s="305" t="s">
        <v>221</v>
      </c>
      <c r="CD80" s="305" t="s">
        <v>221</v>
      </c>
      <c r="CE80" s="315">
        <f t="shared" si="8"/>
        <v>66.69</v>
      </c>
      <c r="CF80" s="315"/>
    </row>
    <row r="81" spans="1:84" ht="21" customHeight="1" x14ac:dyDescent="0.3">
      <c r="A81" s="316" t="s">
        <v>253</v>
      </c>
      <c r="B81" s="316"/>
      <c r="C81" s="316"/>
      <c r="D81" s="316"/>
      <c r="E81" s="31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">
      <c r="A82" s="302" t="s">
        <v>254</v>
      </c>
      <c r="B82" s="317"/>
      <c r="C82" s="318" t="s">
        <v>1267</v>
      </c>
      <c r="D82" s="319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">
      <c r="A83" s="295" t="s">
        <v>255</v>
      </c>
      <c r="B83" s="317" t="s">
        <v>256</v>
      </c>
      <c r="C83" s="320" t="s">
        <v>1268</v>
      </c>
      <c r="D83" s="319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">
      <c r="A84" s="295" t="s">
        <v>257</v>
      </c>
      <c r="B84" s="317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">
      <c r="A85" s="295" t="s">
        <v>1250</v>
      </c>
      <c r="B85" s="317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">
      <c r="A86" s="295" t="s">
        <v>1251</v>
      </c>
      <c r="B86" s="317" t="s">
        <v>256</v>
      </c>
      <c r="C86" s="230" t="s">
        <v>1270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">
      <c r="A87" s="295" t="s">
        <v>258</v>
      </c>
      <c r="B87" s="317" t="s">
        <v>256</v>
      </c>
      <c r="C87" s="229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">
      <c r="A88" s="295" t="s">
        <v>259</v>
      </c>
      <c r="B88" s="317" t="s">
        <v>256</v>
      </c>
      <c r="C88" s="229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">
      <c r="A89" s="295" t="s">
        <v>260</v>
      </c>
      <c r="B89" s="317" t="s">
        <v>256</v>
      </c>
      <c r="C89" s="229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">
      <c r="A90" s="295" t="s">
        <v>261</v>
      </c>
      <c r="B90" s="317" t="s">
        <v>256</v>
      </c>
      <c r="C90" s="229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">
      <c r="A91" s="295" t="s">
        <v>262</v>
      </c>
      <c r="B91" s="317" t="s">
        <v>256</v>
      </c>
      <c r="C91" s="229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">
      <c r="A92" s="295" t="s">
        <v>263</v>
      </c>
      <c r="B92" s="317" t="s">
        <v>256</v>
      </c>
      <c r="C92" s="270" t="s">
        <v>1276</v>
      </c>
      <c r="D92" s="319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">
      <c r="A93" s="295" t="s">
        <v>264</v>
      </c>
      <c r="B93" s="317" t="s">
        <v>256</v>
      </c>
      <c r="C93" s="270" t="s">
        <v>1277</v>
      </c>
      <c r="D93" s="319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">
      <c r="A95" s="316" t="s">
        <v>265</v>
      </c>
      <c r="B95" s="316"/>
      <c r="C95" s="316"/>
      <c r="D95" s="316"/>
      <c r="E95" s="31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">
      <c r="A96" s="321" t="s">
        <v>266</v>
      </c>
      <c r="B96" s="321"/>
      <c r="C96" s="321"/>
      <c r="D96" s="321"/>
      <c r="E96" s="32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">
      <c r="A97" s="295" t="s">
        <v>267</v>
      </c>
      <c r="B97" s="317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">
      <c r="A98" s="295" t="s">
        <v>259</v>
      </c>
      <c r="B98" s="317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">
      <c r="A99" s="295" t="s">
        <v>268</v>
      </c>
      <c r="B99" s="317" t="s">
        <v>256</v>
      </c>
      <c r="C99" s="189"/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">
      <c r="A100" s="321" t="s">
        <v>269</v>
      </c>
      <c r="B100" s="321"/>
      <c r="C100" s="321"/>
      <c r="D100" s="321"/>
      <c r="E100" s="32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">
      <c r="A101" s="295" t="s">
        <v>270</v>
      </c>
      <c r="B101" s="317" t="s">
        <v>256</v>
      </c>
      <c r="C101" s="189"/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">
      <c r="A102" s="295" t="s">
        <v>132</v>
      </c>
      <c r="B102" s="317" t="s">
        <v>256</v>
      </c>
      <c r="C102" s="222" t="s">
        <v>1278</v>
      </c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">
      <c r="A103" s="321" t="s">
        <v>271</v>
      </c>
      <c r="B103" s="321"/>
      <c r="C103" s="321"/>
      <c r="D103" s="321"/>
      <c r="E103" s="32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">
      <c r="A104" s="295" t="s">
        <v>272</v>
      </c>
      <c r="B104" s="317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">
      <c r="A105" s="295" t="s">
        <v>273</v>
      </c>
      <c r="B105" s="317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">
      <c r="A106" s="295" t="s">
        <v>274</v>
      </c>
      <c r="B106" s="317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">
      <c r="A107" s="295"/>
      <c r="B107" s="317"/>
      <c r="C107" s="322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">
      <c r="A108" s="323" t="s">
        <v>275</v>
      </c>
      <c r="B108" s="316"/>
      <c r="C108" s="316"/>
      <c r="D108" s="316"/>
      <c r="E108" s="316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">
      <c r="A109" s="295"/>
      <c r="B109" s="317"/>
      <c r="C109" s="322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">
      <c r="A111" s="295" t="s">
        <v>278</v>
      </c>
      <c r="B111" s="317" t="s">
        <v>256</v>
      </c>
      <c r="C111" s="189">
        <v>1436</v>
      </c>
      <c r="D111" s="174">
        <v>19870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">
      <c r="A112" s="295" t="s">
        <v>279</v>
      </c>
      <c r="B112" s="317" t="s">
        <v>256</v>
      </c>
      <c r="C112" s="189"/>
      <c r="D112" s="174"/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">
      <c r="A113" s="295" t="s">
        <v>280</v>
      </c>
      <c r="B113" s="317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">
      <c r="A114" s="295" t="s">
        <v>281</v>
      </c>
      <c r="B114" s="317" t="s">
        <v>256</v>
      </c>
      <c r="C114" s="189"/>
      <c r="D114" s="174"/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">
      <c r="A116" s="295" t="s">
        <v>283</v>
      </c>
      <c r="B116" s="317" t="s">
        <v>256</v>
      </c>
      <c r="C116" s="189"/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">
      <c r="A117" s="295" t="s">
        <v>284</v>
      </c>
      <c r="B117" s="317" t="s">
        <v>256</v>
      </c>
      <c r="C117" s="189"/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">
      <c r="A118" s="295" t="s">
        <v>1238</v>
      </c>
      <c r="B118" s="317" t="s">
        <v>256</v>
      </c>
      <c r="C118" s="189"/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">
      <c r="A119" s="295" t="s">
        <v>285</v>
      </c>
      <c r="B119" s="317" t="s">
        <v>256</v>
      </c>
      <c r="C119" s="189"/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">
      <c r="A120" s="295" t="s">
        <v>286</v>
      </c>
      <c r="B120" s="317" t="s">
        <v>256</v>
      </c>
      <c r="C120" s="189"/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">
      <c r="A121" s="295" t="s">
        <v>287</v>
      </c>
      <c r="B121" s="317" t="s">
        <v>256</v>
      </c>
      <c r="C121" s="189">
        <v>72</v>
      </c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">
      <c r="A122" s="295" t="s">
        <v>97</v>
      </c>
      <c r="B122" s="317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">
      <c r="A123" s="295" t="s">
        <v>288</v>
      </c>
      <c r="B123" s="317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">
      <c r="A124" s="295" t="s">
        <v>289</v>
      </c>
      <c r="B124" s="317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">
      <c r="A125" s="295" t="s">
        <v>280</v>
      </c>
      <c r="B125" s="317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">
      <c r="A126" s="295" t="s">
        <v>290</v>
      </c>
      <c r="B126" s="317" t="s">
        <v>256</v>
      </c>
      <c r="C126" s="189"/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">
      <c r="A127" s="295" t="s">
        <v>291</v>
      </c>
      <c r="B127" s="295"/>
      <c r="C127" s="303"/>
      <c r="D127" s="295"/>
      <c r="E127" s="295">
        <f>SUM(C116:C126)</f>
        <v>72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">
      <c r="A128" s="295" t="s">
        <v>292</v>
      </c>
      <c r="B128" s="317" t="s">
        <v>256</v>
      </c>
      <c r="C128" s="189">
        <v>102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">
      <c r="A129" s="295" t="s">
        <v>293</v>
      </c>
      <c r="B129" s="317" t="s">
        <v>256</v>
      </c>
      <c r="C129" s="189"/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">
      <c r="A131" s="295" t="s">
        <v>294</v>
      </c>
      <c r="B131" s="317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">
      <c r="A136" s="316" t="s">
        <v>1239</v>
      </c>
      <c r="B136" s="323"/>
      <c r="C136" s="323"/>
      <c r="D136" s="323"/>
      <c r="E136" s="32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">
      <c r="A137" s="324" t="s">
        <v>295</v>
      </c>
      <c r="B137" s="325" t="s">
        <v>296</v>
      </c>
      <c r="C137" s="326" t="s">
        <v>297</v>
      </c>
      <c r="D137" s="325" t="s">
        <v>132</v>
      </c>
      <c r="E137" s="325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">
      <c r="A138" s="295" t="s">
        <v>277</v>
      </c>
      <c r="B138" s="299">
        <v>846</v>
      </c>
      <c r="C138" s="327">
        <v>259</v>
      </c>
      <c r="D138" s="299">
        <v>331</v>
      </c>
      <c r="E138" s="295">
        <f>SUM(B138:D138)</f>
        <v>1436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">
      <c r="A139" s="295" t="s">
        <v>215</v>
      </c>
      <c r="B139" s="299">
        <v>11570</v>
      </c>
      <c r="C139" s="327">
        <v>3564</v>
      </c>
      <c r="D139" s="299">
        <v>4736</v>
      </c>
      <c r="E139" s="295">
        <f>SUM(B139:D139)</f>
        <v>19870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">
      <c r="A140" s="295" t="s">
        <v>298</v>
      </c>
      <c r="B140" s="299"/>
      <c r="C140" s="299"/>
      <c r="D140" s="299"/>
      <c r="E140" s="295">
        <f>SUM(B140:D140)</f>
        <v>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">
      <c r="A141" s="295" t="s">
        <v>245</v>
      </c>
      <c r="B141" s="299">
        <f>31630606+10654769</f>
        <v>42285375</v>
      </c>
      <c r="C141" s="327">
        <f>10177112+3818578</f>
        <v>13995690</v>
      </c>
      <c r="D141" s="299">
        <f>73545818-42285375-13995690</f>
        <v>17264753</v>
      </c>
      <c r="E141" s="295">
        <f>SUM(B141:D141)</f>
        <v>73545818</v>
      </c>
      <c r="F141" s="32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">
      <c r="A142" s="295" t="s">
        <v>246</v>
      </c>
      <c r="B142" s="299">
        <f>3745763+2759852+106000+20416</f>
        <v>6632031</v>
      </c>
      <c r="C142" s="327">
        <f>165027+4931798+5894+41654</f>
        <v>5144373</v>
      </c>
      <c r="D142" s="299">
        <f>22811103+287008-6632031-5144373+1</f>
        <v>11321708</v>
      </c>
      <c r="E142" s="295">
        <f>SUM(B142:D142)</f>
        <v>23098112</v>
      </c>
      <c r="F142" s="328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">
      <c r="A143" s="324" t="s">
        <v>299</v>
      </c>
      <c r="B143" s="325" t="s">
        <v>296</v>
      </c>
      <c r="C143" s="326" t="s">
        <v>297</v>
      </c>
      <c r="D143" s="325" t="s">
        <v>132</v>
      </c>
      <c r="E143" s="325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">
      <c r="A144" s="295" t="s">
        <v>277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">
      <c r="A149" s="324" t="s">
        <v>300</v>
      </c>
      <c r="B149" s="325" t="s">
        <v>296</v>
      </c>
      <c r="C149" s="326" t="s">
        <v>297</v>
      </c>
      <c r="D149" s="325" t="s">
        <v>132</v>
      </c>
      <c r="E149" s="325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">
      <c r="A155" s="301"/>
      <c r="B155" s="301"/>
      <c r="C155" s="329"/>
      <c r="D155" s="330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">
      <c r="A156" s="324" t="s">
        <v>301</v>
      </c>
      <c r="B156" s="325" t="s">
        <v>302</v>
      </c>
      <c r="C156" s="326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">
      <c r="A157" s="301" t="s">
        <v>304</v>
      </c>
      <c r="B157" s="174"/>
      <c r="C157" s="174"/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">
      <c r="A158" s="301"/>
      <c r="B158" s="330"/>
      <c r="C158" s="329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">
      <c r="A159" s="301"/>
      <c r="B159" s="301"/>
      <c r="C159" s="329"/>
      <c r="D159" s="330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">
      <c r="A160" s="301"/>
      <c r="B160" s="301"/>
      <c r="C160" s="329"/>
      <c r="D160" s="330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">
      <c r="A161" s="301"/>
      <c r="B161" s="301"/>
      <c r="C161" s="329"/>
      <c r="D161" s="330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">
      <c r="A162" s="301"/>
      <c r="B162" s="301"/>
      <c r="C162" s="329"/>
      <c r="D162" s="330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">
      <c r="A163" s="323" t="s">
        <v>305</v>
      </c>
      <c r="B163" s="316"/>
      <c r="C163" s="316"/>
      <c r="D163" s="316"/>
      <c r="E163" s="316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">
      <c r="A164" s="321" t="s">
        <v>306</v>
      </c>
      <c r="B164" s="321"/>
      <c r="C164" s="321"/>
      <c r="D164" s="321"/>
      <c r="E164" s="32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">
      <c r="A165" s="295" t="s">
        <v>307</v>
      </c>
      <c r="B165" s="317" t="s">
        <v>256</v>
      </c>
      <c r="C165" s="327">
        <v>2138036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">
      <c r="A166" s="295" t="s">
        <v>308</v>
      </c>
      <c r="B166" s="317" t="s">
        <v>256</v>
      </c>
      <c r="C166" s="327">
        <v>323722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">
      <c r="A167" s="301" t="s">
        <v>309</v>
      </c>
      <c r="B167" s="317" t="s">
        <v>256</v>
      </c>
      <c r="C167" s="327">
        <v>-40835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">
      <c r="A168" s="295" t="s">
        <v>310</v>
      </c>
      <c r="B168" s="317" t="s">
        <v>256</v>
      </c>
      <c r="C168" s="327"/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">
      <c r="A169" s="295" t="s">
        <v>311</v>
      </c>
      <c r="B169" s="317" t="s">
        <v>256</v>
      </c>
      <c r="C169" s="327"/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">
      <c r="A170" s="295" t="s">
        <v>312</v>
      </c>
      <c r="B170" s="317" t="s">
        <v>256</v>
      </c>
      <c r="C170" s="327">
        <f>503874+855304+79095</f>
        <v>1438273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">
      <c r="A171" s="295" t="s">
        <v>313</v>
      </c>
      <c r="B171" s="317" t="s">
        <v>256</v>
      </c>
      <c r="C171" s="327">
        <f>42308+421+41768+4071684+3279-1</f>
        <v>4159459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">
      <c r="A172" s="295" t="s">
        <v>313</v>
      </c>
      <c r="B172" s="317" t="s">
        <v>256</v>
      </c>
      <c r="C172" s="327"/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">
      <c r="A173" s="295" t="s">
        <v>203</v>
      </c>
      <c r="B173" s="295"/>
      <c r="C173" s="303"/>
      <c r="D173" s="295">
        <f>SUM(C165:C172)</f>
        <v>8018655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">
      <c r="A174" s="321" t="s">
        <v>314</v>
      </c>
      <c r="B174" s="321"/>
      <c r="C174" s="321"/>
      <c r="D174" s="321"/>
      <c r="E174" s="32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">
      <c r="A175" s="295" t="s">
        <v>315</v>
      </c>
      <c r="B175" s="317" t="s">
        <v>256</v>
      </c>
      <c r="C175" s="327">
        <v>354335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">
      <c r="A176" s="295" t="s">
        <v>316</v>
      </c>
      <c r="B176" s="317" t="s">
        <v>256</v>
      </c>
      <c r="C176" s="327">
        <f>201912+1</f>
        <v>201913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">
      <c r="A177" s="295" t="s">
        <v>203</v>
      </c>
      <c r="B177" s="295"/>
      <c r="C177" s="303"/>
      <c r="D177" s="295">
        <f>SUM(C175:C176)</f>
        <v>556248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">
      <c r="A178" s="321" t="s">
        <v>317</v>
      </c>
      <c r="B178" s="321"/>
      <c r="C178" s="321"/>
      <c r="D178" s="321"/>
      <c r="E178" s="32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">
      <c r="A179" s="295" t="s">
        <v>318</v>
      </c>
      <c r="B179" s="317" t="s">
        <v>256</v>
      </c>
      <c r="C179" s="189"/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">
      <c r="A180" s="295" t="s">
        <v>319</v>
      </c>
      <c r="B180" s="317" t="s">
        <v>256</v>
      </c>
      <c r="C180" s="327"/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">
      <c r="A181" s="295" t="s">
        <v>203</v>
      </c>
      <c r="B181" s="295"/>
      <c r="C181" s="303"/>
      <c r="D181" s="295">
        <f>SUM(C179:C180)</f>
        <v>0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">
      <c r="A182" s="321" t="s">
        <v>320</v>
      </c>
      <c r="B182" s="321"/>
      <c r="C182" s="321"/>
      <c r="D182" s="321"/>
      <c r="E182" s="32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">
      <c r="A183" s="295" t="s">
        <v>321</v>
      </c>
      <c r="B183" s="317" t="s">
        <v>256</v>
      </c>
      <c r="C183" s="327"/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">
      <c r="A184" s="295" t="s">
        <v>322</v>
      </c>
      <c r="B184" s="317" t="s">
        <v>256</v>
      </c>
      <c r="C184" s="327">
        <f>-712382+663397</f>
        <v>-48985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">
      <c r="A185" s="295" t="s">
        <v>132</v>
      </c>
      <c r="B185" s="317" t="s">
        <v>256</v>
      </c>
      <c r="C185" s="327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">
      <c r="A186" s="295" t="s">
        <v>203</v>
      </c>
      <c r="B186" s="295"/>
      <c r="C186" s="303"/>
      <c r="D186" s="295">
        <f>SUM(C183:C185)</f>
        <v>-48985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">
      <c r="A187" s="321" t="s">
        <v>323</v>
      </c>
      <c r="B187" s="321"/>
      <c r="C187" s="321"/>
      <c r="D187" s="321"/>
      <c r="E187" s="32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">
      <c r="A188" s="295" t="s">
        <v>324</v>
      </c>
      <c r="B188" s="317" t="s">
        <v>256</v>
      </c>
      <c r="C188" s="327"/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">
      <c r="A189" s="295" t="s">
        <v>325</v>
      </c>
      <c r="B189" s="317" t="s">
        <v>256</v>
      </c>
      <c r="C189" s="327">
        <v>4019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">
      <c r="A190" s="295" t="s">
        <v>203</v>
      </c>
      <c r="B190" s="295"/>
      <c r="C190" s="303"/>
      <c r="D190" s="295">
        <f>SUM(C188:C189)</f>
        <v>4019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">
      <c r="A192" s="316" t="s">
        <v>326</v>
      </c>
      <c r="B192" s="316"/>
      <c r="C192" s="316"/>
      <c r="D192" s="316"/>
      <c r="E192" s="31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">
      <c r="A193" s="323" t="s">
        <v>327</v>
      </c>
      <c r="B193" s="316"/>
      <c r="C193" s="316"/>
      <c r="D193" s="316"/>
      <c r="E193" s="316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">
      <c r="A195" s="295" t="s">
        <v>332</v>
      </c>
      <c r="B195" s="174">
        <v>622796.51</v>
      </c>
      <c r="C195" s="327"/>
      <c r="D195" s="299"/>
      <c r="E195" s="295">
        <f t="shared" ref="E195:E203" si="10">SUM(B195:C195)-D195</f>
        <v>622796.51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">
      <c r="A196" s="295" t="s">
        <v>333</v>
      </c>
      <c r="B196" s="174">
        <v>587456</v>
      </c>
      <c r="C196" s="327"/>
      <c r="D196" s="299"/>
      <c r="E196" s="295">
        <f t="shared" si="10"/>
        <v>587456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">
      <c r="A197" s="295" t="s">
        <v>334</v>
      </c>
      <c r="B197" s="174">
        <v>21162488</v>
      </c>
      <c r="C197" s="327">
        <v>15774432</v>
      </c>
      <c r="D197" s="299">
        <v>1432774</v>
      </c>
      <c r="E197" s="295">
        <f t="shared" si="10"/>
        <v>35504146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">
      <c r="A198" s="295" t="s">
        <v>335</v>
      </c>
      <c r="B198" s="174">
        <v>6336232.3600000003</v>
      </c>
      <c r="C198" s="327">
        <f>28110+271033</f>
        <v>299143</v>
      </c>
      <c r="D198" s="299">
        <v>3814</v>
      </c>
      <c r="E198" s="295">
        <f t="shared" si="10"/>
        <v>6631561.3600000003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">
      <c r="A199" s="295" t="s">
        <v>336</v>
      </c>
      <c r="B199" s="174">
        <v>979108</v>
      </c>
      <c r="C199" s="327">
        <v>258587</v>
      </c>
      <c r="D199" s="299">
        <v>275833</v>
      </c>
      <c r="E199" s="295">
        <f t="shared" si="10"/>
        <v>961862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">
      <c r="A200" s="295" t="s">
        <v>337</v>
      </c>
      <c r="B200" s="299">
        <v>5099175.8</v>
      </c>
      <c r="C200" s="327"/>
      <c r="D200" s="299">
        <v>618820</v>
      </c>
      <c r="E200" s="295">
        <f t="shared" si="10"/>
        <v>4480355.8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">
      <c r="A201" s="295" t="s">
        <v>338</v>
      </c>
      <c r="B201" s="299">
        <v>686414</v>
      </c>
      <c r="C201" s="327"/>
      <c r="D201" s="299">
        <v>558342</v>
      </c>
      <c r="E201" s="295">
        <f t="shared" si="10"/>
        <v>128072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">
      <c r="A202" s="295" t="s">
        <v>339</v>
      </c>
      <c r="B202" s="174">
        <v>0</v>
      </c>
      <c r="C202" s="327"/>
      <c r="D202" s="299"/>
      <c r="E202" s="295">
        <f t="shared" si="10"/>
        <v>0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">
      <c r="A203" s="295" t="s">
        <v>340</v>
      </c>
      <c r="B203" s="174">
        <v>771702.47</v>
      </c>
      <c r="C203" s="327">
        <v>-771702</v>
      </c>
      <c r="D203" s="299"/>
      <c r="E203" s="295">
        <f t="shared" si="10"/>
        <v>0.46999999997206032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">
      <c r="A204" s="295" t="s">
        <v>203</v>
      </c>
      <c r="B204" s="295">
        <f>SUM(B195:B203)</f>
        <v>36245373.140000001</v>
      </c>
      <c r="C204" s="303">
        <f>SUM(C195:C203)</f>
        <v>15560460</v>
      </c>
      <c r="D204" s="295">
        <f>SUM(D195:D203)</f>
        <v>2889583</v>
      </c>
      <c r="E204" s="295">
        <f>SUM(E195:E203)</f>
        <v>48916250.139999993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">
      <c r="A206" s="323" t="s">
        <v>341</v>
      </c>
      <c r="B206" s="323"/>
      <c r="C206" s="323"/>
      <c r="D206" s="323"/>
      <c r="E206" s="32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">
      <c r="A208" s="295" t="s">
        <v>332</v>
      </c>
      <c r="B208" s="330"/>
      <c r="C208" s="329"/>
      <c r="D208" s="330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">
      <c r="A209" s="295" t="s">
        <v>333</v>
      </c>
      <c r="B209" s="299">
        <v>586223.79</v>
      </c>
      <c r="C209" s="327">
        <v>1232</v>
      </c>
      <c r="D209" s="299"/>
      <c r="E209" s="295">
        <f t="shared" ref="E209:E216" si="11">SUM(B209:C209)-D209</f>
        <v>587455.79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">
      <c r="A210" s="295" t="s">
        <v>334</v>
      </c>
      <c r="B210" s="299">
        <v>13572747.800000001</v>
      </c>
      <c r="C210" s="327">
        <f>1131403</f>
        <v>1131403</v>
      </c>
      <c r="D210" s="299">
        <f>1432774-3186651</f>
        <v>-1753877</v>
      </c>
      <c r="E210" s="295">
        <f t="shared" si="11"/>
        <v>16458027.800000001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">
      <c r="A211" s="295" t="s">
        <v>335</v>
      </c>
      <c r="B211" s="299">
        <v>4630549.3100000005</v>
      </c>
      <c r="C211" s="327">
        <v>149074</v>
      </c>
      <c r="D211" s="299">
        <v>3814</v>
      </c>
      <c r="E211" s="295">
        <f t="shared" si="11"/>
        <v>4775809.3100000005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">
      <c r="A212" s="295" t="s">
        <v>336</v>
      </c>
      <c r="B212" s="299">
        <v>971293.5</v>
      </c>
      <c r="C212" s="327">
        <v>12057</v>
      </c>
      <c r="D212" s="299">
        <v>275833</v>
      </c>
      <c r="E212" s="295">
        <f t="shared" si="11"/>
        <v>707517.5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">
      <c r="A213" s="295" t="s">
        <v>337</v>
      </c>
      <c r="B213" s="299">
        <v>4195445.71</v>
      </c>
      <c r="C213" s="327">
        <v>264957</v>
      </c>
      <c r="D213" s="299">
        <v>591187</v>
      </c>
      <c r="E213" s="295">
        <f t="shared" si="11"/>
        <v>3869215.71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">
      <c r="A214" s="295" t="s">
        <v>338</v>
      </c>
      <c r="B214" s="299">
        <v>686413.89</v>
      </c>
      <c r="C214" s="327">
        <f>13898+1</f>
        <v>13899</v>
      </c>
      <c r="D214" s="299">
        <f>558342-1</f>
        <v>558341</v>
      </c>
      <c r="E214" s="295">
        <f t="shared" si="11"/>
        <v>141971.89000000001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">
      <c r="A215" s="295" t="s">
        <v>339</v>
      </c>
      <c r="B215" s="299">
        <v>0</v>
      </c>
      <c r="C215" s="327"/>
      <c r="D215" s="299"/>
      <c r="E215" s="295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">
      <c r="A216" s="295" t="s">
        <v>340</v>
      </c>
      <c r="B216" s="299">
        <v>0</v>
      </c>
      <c r="C216" s="327"/>
      <c r="D216" s="299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">
      <c r="A217" s="295" t="s">
        <v>203</v>
      </c>
      <c r="B217" s="295">
        <f>SUM(B208:B216)</f>
        <v>24642674</v>
      </c>
      <c r="C217" s="303">
        <f>SUM(C208:C216)</f>
        <v>1572622</v>
      </c>
      <c r="D217" s="295">
        <f>SUM(D208:D216)</f>
        <v>-324702</v>
      </c>
      <c r="E217" s="295">
        <f>SUM(E208:E216)</f>
        <v>26539998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">
      <c r="A219" s="316" t="s">
        <v>342</v>
      </c>
      <c r="B219" s="316"/>
      <c r="C219" s="316"/>
      <c r="D219" s="316"/>
      <c r="E219" s="31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">
      <c r="A220" s="316"/>
      <c r="B220" s="347" t="s">
        <v>1254</v>
      </c>
      <c r="C220" s="347"/>
      <c r="D220" s="316"/>
      <c r="E220" s="31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">
      <c r="A221" s="331" t="s">
        <v>1254</v>
      </c>
      <c r="B221" s="316"/>
      <c r="C221" s="327">
        <v>-1088186</v>
      </c>
      <c r="D221" s="317">
        <f>C221</f>
        <v>-1088186</v>
      </c>
      <c r="E221" s="31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">
      <c r="A222" s="321" t="s">
        <v>343</v>
      </c>
      <c r="B222" s="321"/>
      <c r="C222" s="321"/>
      <c r="D222" s="321"/>
      <c r="E222" s="32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">
      <c r="A223" s="295" t="s">
        <v>344</v>
      </c>
      <c r="B223" s="317" t="s">
        <v>256</v>
      </c>
      <c r="C223" s="327">
        <f>18051438+7503041</f>
        <v>25554479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">
      <c r="A224" s="295" t="s">
        <v>345</v>
      </c>
      <c r="B224" s="317" t="s">
        <v>256</v>
      </c>
      <c r="C224" s="327">
        <f>2196760+11039596</f>
        <v>13236356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">
      <c r="A225" s="295" t="s">
        <v>346</v>
      </c>
      <c r="B225" s="317" t="s">
        <v>256</v>
      </c>
      <c r="C225" s="327">
        <v>3008813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">
      <c r="A226" s="295" t="s">
        <v>347</v>
      </c>
      <c r="B226" s="317" t="s">
        <v>256</v>
      </c>
      <c r="C226" s="327">
        <v>3204668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">
      <c r="A227" s="295" t="s">
        <v>348</v>
      </c>
      <c r="B227" s="317" t="s">
        <v>256</v>
      </c>
      <c r="C227" s="327"/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">
      <c r="A228" s="295" t="s">
        <v>349</v>
      </c>
      <c r="B228" s="317" t="s">
        <v>256</v>
      </c>
      <c r="C228" s="327">
        <f>8488183+4664</f>
        <v>8492847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">
      <c r="A229" s="295" t="s">
        <v>350</v>
      </c>
      <c r="B229" s="295"/>
      <c r="C229" s="303"/>
      <c r="D229" s="295">
        <f>SUM(C223:C228)</f>
        <v>53497163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">
      <c r="A230" s="321" t="s">
        <v>351</v>
      </c>
      <c r="B230" s="321"/>
      <c r="C230" s="321"/>
      <c r="D230" s="321"/>
      <c r="E230" s="32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">
      <c r="A231" s="302" t="s">
        <v>352</v>
      </c>
      <c r="B231" s="317" t="s">
        <v>256</v>
      </c>
      <c r="C231" s="189"/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">
      <c r="A232" s="302"/>
      <c r="B232" s="317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">
      <c r="A233" s="302" t="s">
        <v>353</v>
      </c>
      <c r="B233" s="317" t="s">
        <v>256</v>
      </c>
      <c r="C233" s="327">
        <v>545840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">
      <c r="A234" s="302" t="s">
        <v>354</v>
      </c>
      <c r="B234" s="317" t="s">
        <v>256</v>
      </c>
      <c r="C234" s="189"/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">
      <c r="A236" s="302" t="s">
        <v>355</v>
      </c>
      <c r="B236" s="295"/>
      <c r="C236" s="303"/>
      <c r="D236" s="295">
        <f>SUM(C233:C235)</f>
        <v>545840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">
      <c r="A237" s="321" t="s">
        <v>356</v>
      </c>
      <c r="B237" s="321"/>
      <c r="C237" s="321"/>
      <c r="D237" s="321"/>
      <c r="E237" s="32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">
      <c r="A238" s="295" t="s">
        <v>357</v>
      </c>
      <c r="B238" s="317" t="s">
        <v>256</v>
      </c>
      <c r="C238" s="189"/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">
      <c r="A239" s="295" t="s">
        <v>356</v>
      </c>
      <c r="B239" s="317" t="s">
        <v>256</v>
      </c>
      <c r="C239" s="189"/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">
      <c r="A240" s="295" t="s">
        <v>358</v>
      </c>
      <c r="B240" s="295"/>
      <c r="C240" s="303"/>
      <c r="D240" s="295">
        <f>SUM(C238:C239)</f>
        <v>0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">
      <c r="A242" s="295" t="s">
        <v>359</v>
      </c>
      <c r="B242" s="295"/>
      <c r="C242" s="303"/>
      <c r="D242" s="295">
        <f>D221+D229+D236+D240</f>
        <v>52954817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">
      <c r="A248" s="316" t="s">
        <v>360</v>
      </c>
      <c r="B248" s="316"/>
      <c r="C248" s="316"/>
      <c r="D248" s="316"/>
      <c r="E248" s="316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">
      <c r="A249" s="321" t="s">
        <v>361</v>
      </c>
      <c r="B249" s="321"/>
      <c r="C249" s="321"/>
      <c r="D249" s="321"/>
      <c r="E249" s="32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">
      <c r="A250" s="295" t="s">
        <v>362</v>
      </c>
      <c r="B250" s="317" t="s">
        <v>256</v>
      </c>
      <c r="C250" s="189">
        <v>1425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">
      <c r="A251" s="295" t="s">
        <v>363</v>
      </c>
      <c r="B251" s="317" t="s">
        <v>256</v>
      </c>
      <c r="C251" s="189"/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">
      <c r="A252" s="295" t="s">
        <v>364</v>
      </c>
      <c r="B252" s="317" t="s">
        <v>256</v>
      </c>
      <c r="C252" s="189">
        <v>14558534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">
      <c r="A253" s="295" t="s">
        <v>365</v>
      </c>
      <c r="B253" s="317" t="s">
        <v>256</v>
      </c>
      <c r="C253" s="189">
        <f>732540+7671494</f>
        <v>8404034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">
      <c r="A254" s="295" t="s">
        <v>1240</v>
      </c>
      <c r="B254" s="317" t="s">
        <v>256</v>
      </c>
      <c r="C254" s="189">
        <v>191529</v>
      </c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">
      <c r="A255" s="295" t="s">
        <v>366</v>
      </c>
      <c r="B255" s="317" t="s">
        <v>256</v>
      </c>
      <c r="C255" s="189">
        <v>466523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">
      <c r="A256" s="295" t="s">
        <v>367</v>
      </c>
      <c r="B256" s="317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">
      <c r="A257" s="295" t="s">
        <v>368</v>
      </c>
      <c r="B257" s="317" t="s">
        <v>256</v>
      </c>
      <c r="C257" s="189">
        <v>208682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">
      <c r="A258" s="295" t="s">
        <v>369</v>
      </c>
      <c r="B258" s="317" t="s">
        <v>256</v>
      </c>
      <c r="C258" s="189">
        <v>39828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">
      <c r="A259" s="295" t="s">
        <v>370</v>
      </c>
      <c r="B259" s="317" t="s">
        <v>256</v>
      </c>
      <c r="C259" s="189"/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">
      <c r="A260" s="295" t="s">
        <v>371</v>
      </c>
      <c r="B260" s="295"/>
      <c r="C260" s="303"/>
      <c r="D260" s="295">
        <f>SUM(C250:C252)-C253+SUM(C254:C259)</f>
        <v>7062487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">
      <c r="A261" s="321" t="s">
        <v>372</v>
      </c>
      <c r="B261" s="321"/>
      <c r="C261" s="321"/>
      <c r="D261" s="321"/>
      <c r="E261" s="32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">
      <c r="A262" s="295" t="s">
        <v>362</v>
      </c>
      <c r="B262" s="317" t="s">
        <v>256</v>
      </c>
      <c r="C262" s="189"/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">
      <c r="A263" s="295" t="s">
        <v>363</v>
      </c>
      <c r="B263" s="317" t="s">
        <v>256</v>
      </c>
      <c r="C263" s="189"/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">
      <c r="A264" s="295" t="s">
        <v>373</v>
      </c>
      <c r="B264" s="317" t="s">
        <v>256</v>
      </c>
      <c r="C264" s="189"/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">
      <c r="A265" s="295" t="s">
        <v>374</v>
      </c>
      <c r="B265" s="295"/>
      <c r="C265" s="303"/>
      <c r="D265" s="295">
        <f>SUM(C262:C264)</f>
        <v>0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">
      <c r="A266" s="321" t="s">
        <v>375</v>
      </c>
      <c r="B266" s="321"/>
      <c r="C266" s="321"/>
      <c r="D266" s="321"/>
      <c r="E266" s="32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">
      <c r="A267" s="295" t="s">
        <v>332</v>
      </c>
      <c r="B267" s="317" t="s">
        <v>256</v>
      </c>
      <c r="C267" s="189">
        <v>622797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">
      <c r="A268" s="295" t="s">
        <v>333</v>
      </c>
      <c r="B268" s="317" t="s">
        <v>256</v>
      </c>
      <c r="C268" s="189">
        <v>587456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">
      <c r="A269" s="295" t="s">
        <v>334</v>
      </c>
      <c r="B269" s="317" t="s">
        <v>256</v>
      </c>
      <c r="C269" s="189">
        <v>35504146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">
      <c r="A270" s="295" t="s">
        <v>376</v>
      </c>
      <c r="B270" s="317" t="s">
        <v>256</v>
      </c>
      <c r="C270" s="189">
        <v>6631561</v>
      </c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">
      <c r="A271" s="295" t="s">
        <v>377</v>
      </c>
      <c r="B271" s="317" t="s">
        <v>256</v>
      </c>
      <c r="C271" s="189">
        <v>961862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">
      <c r="A272" s="295" t="s">
        <v>378</v>
      </c>
      <c r="B272" s="317" t="s">
        <v>256</v>
      </c>
      <c r="C272" s="327">
        <f>4318833+161523+128072</f>
        <v>4608428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">
      <c r="A273" s="295" t="s">
        <v>339</v>
      </c>
      <c r="B273" s="317" t="s">
        <v>256</v>
      </c>
      <c r="C273" s="327"/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">
      <c r="A274" s="295" t="s">
        <v>340</v>
      </c>
      <c r="B274" s="317" t="s">
        <v>256</v>
      </c>
      <c r="C274" s="327"/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">
      <c r="A275" s="295" t="s">
        <v>379</v>
      </c>
      <c r="B275" s="295"/>
      <c r="C275" s="303"/>
      <c r="D275" s="295">
        <f>SUM(C267:C274)</f>
        <v>48916250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">
      <c r="A276" s="295" t="s">
        <v>380</v>
      </c>
      <c r="B276" s="317" t="s">
        <v>256</v>
      </c>
      <c r="C276" s="189">
        <v>26539998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">
      <c r="A277" s="295" t="s">
        <v>381</v>
      </c>
      <c r="B277" s="295"/>
      <c r="C277" s="303"/>
      <c r="D277" s="295">
        <f>D275-C276</f>
        <v>22376252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">
      <c r="A278" s="321" t="s">
        <v>382</v>
      </c>
      <c r="B278" s="321"/>
      <c r="C278" s="321"/>
      <c r="D278" s="321"/>
      <c r="E278" s="32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">
      <c r="A279" s="295" t="s">
        <v>383</v>
      </c>
      <c r="B279" s="317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">
      <c r="A280" s="295" t="s">
        <v>384</v>
      </c>
      <c r="B280" s="317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">
      <c r="A281" s="295" t="s">
        <v>385</v>
      </c>
      <c r="B281" s="317" t="s">
        <v>256</v>
      </c>
      <c r="C281" s="189">
        <v>128642</v>
      </c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">
      <c r="A282" s="295" t="s">
        <v>373</v>
      </c>
      <c r="B282" s="317" t="s">
        <v>256</v>
      </c>
      <c r="C282" s="189"/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">
      <c r="A283" s="295" t="s">
        <v>386</v>
      </c>
      <c r="B283" s="295"/>
      <c r="C283" s="303"/>
      <c r="D283" s="295">
        <f>C279-C280+C281+C282</f>
        <v>128642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">
      <c r="A285" s="321" t="s">
        <v>387</v>
      </c>
      <c r="B285" s="321"/>
      <c r="C285" s="321"/>
      <c r="D285" s="321"/>
      <c r="E285" s="32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">
      <c r="A286" s="295" t="s">
        <v>388</v>
      </c>
      <c r="B286" s="317" t="s">
        <v>256</v>
      </c>
      <c r="C286" s="189"/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">
      <c r="A287" s="295" t="s">
        <v>389</v>
      </c>
      <c r="B287" s="317" t="s">
        <v>256</v>
      </c>
      <c r="C287" s="189"/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">
      <c r="A288" s="295" t="s">
        <v>390</v>
      </c>
      <c r="B288" s="317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">
      <c r="A289" s="295" t="s">
        <v>391</v>
      </c>
      <c r="B289" s="317" t="s">
        <v>256</v>
      </c>
      <c r="C289" s="189"/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">
      <c r="A290" s="295" t="s">
        <v>392</v>
      </c>
      <c r="B290" s="295"/>
      <c r="C290" s="303"/>
      <c r="D290" s="295">
        <f>SUM(C286:C289)</f>
        <v>0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">
      <c r="A292" s="295" t="s">
        <v>393</v>
      </c>
      <c r="B292" s="295"/>
      <c r="C292" s="303"/>
      <c r="D292" s="295">
        <f>D260+D265+D277+D283+D290</f>
        <v>29567381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">
      <c r="A302" s="316" t="s">
        <v>394</v>
      </c>
      <c r="B302" s="316"/>
      <c r="C302" s="316"/>
      <c r="D302" s="316"/>
      <c r="E302" s="31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">
      <c r="A303" s="321" t="s">
        <v>395</v>
      </c>
      <c r="B303" s="321"/>
      <c r="C303" s="321"/>
      <c r="D303" s="321"/>
      <c r="E303" s="32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">
      <c r="A304" s="295" t="s">
        <v>396</v>
      </c>
      <c r="B304" s="317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">
      <c r="A305" s="295" t="s">
        <v>397</v>
      </c>
      <c r="B305" s="317" t="s">
        <v>256</v>
      </c>
      <c r="C305" s="189">
        <v>1457553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">
      <c r="A306" s="295" t="s">
        <v>398</v>
      </c>
      <c r="B306" s="317" t="s">
        <v>256</v>
      </c>
      <c r="C306" s="189">
        <v>1860425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">
      <c r="A307" s="295" t="s">
        <v>399</v>
      </c>
      <c r="B307" s="317" t="s">
        <v>256</v>
      </c>
      <c r="C307" s="189"/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">
      <c r="A308" s="295" t="s">
        <v>400</v>
      </c>
      <c r="B308" s="317" t="s">
        <v>256</v>
      </c>
      <c r="C308" s="189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">
      <c r="A309" s="295" t="s">
        <v>1241</v>
      </c>
      <c r="B309" s="317" t="s">
        <v>256</v>
      </c>
      <c r="C309" s="189">
        <v>4789660</v>
      </c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">
      <c r="A310" s="295" t="s">
        <v>401</v>
      </c>
      <c r="B310" s="317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">
      <c r="A311" s="295" t="s">
        <v>402</v>
      </c>
      <c r="B311" s="317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">
      <c r="A312" s="295" t="s">
        <v>403</v>
      </c>
      <c r="B312" s="317" t="s">
        <v>256</v>
      </c>
      <c r="C312" s="189">
        <f>24127+28929143+1425+202483</f>
        <v>29157178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">
      <c r="A313" s="295" t="s">
        <v>404</v>
      </c>
      <c r="B313" s="317" t="s">
        <v>256</v>
      </c>
      <c r="C313" s="189"/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">
      <c r="A314" s="295" t="s">
        <v>405</v>
      </c>
      <c r="B314" s="295"/>
      <c r="C314" s="303"/>
      <c r="D314" s="295">
        <f>SUM(C304:C313)</f>
        <v>37264816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">
      <c r="A315" s="321" t="s">
        <v>406</v>
      </c>
      <c r="B315" s="321"/>
      <c r="C315" s="321"/>
      <c r="D315" s="321"/>
      <c r="E315" s="32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">
      <c r="A316" s="295" t="s">
        <v>407</v>
      </c>
      <c r="B316" s="317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">
      <c r="A317" s="295" t="s">
        <v>408</v>
      </c>
      <c r="B317" s="317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">
      <c r="A318" s="295" t="s">
        <v>409</v>
      </c>
      <c r="B318" s="317" t="s">
        <v>256</v>
      </c>
      <c r="C318" s="189"/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">
      <c r="A319" s="295" t="s">
        <v>410</v>
      </c>
      <c r="B319" s="295"/>
      <c r="C319" s="303"/>
      <c r="D319" s="295">
        <f>SUM(C316:C318)</f>
        <v>0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">
      <c r="A320" s="321" t="s">
        <v>411</v>
      </c>
      <c r="B320" s="321"/>
      <c r="C320" s="321"/>
      <c r="D320" s="321"/>
      <c r="E320" s="32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">
      <c r="A321" s="295" t="s">
        <v>412</v>
      </c>
      <c r="B321" s="317" t="s">
        <v>256</v>
      </c>
      <c r="C321" s="189"/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">
      <c r="A322" s="295" t="s">
        <v>413</v>
      </c>
      <c r="B322" s="317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">
      <c r="A323" s="295" t="s">
        <v>414</v>
      </c>
      <c r="B323" s="317" t="s">
        <v>256</v>
      </c>
      <c r="C323" s="189"/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">
      <c r="A324" s="302" t="s">
        <v>415</v>
      </c>
      <c r="B324" s="317" t="s">
        <v>256</v>
      </c>
      <c r="C324" s="189"/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">
      <c r="A325" s="295" t="s">
        <v>416</v>
      </c>
      <c r="B325" s="317" t="s">
        <v>256</v>
      </c>
      <c r="C325" s="189"/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">
      <c r="A326" s="302" t="s">
        <v>417</v>
      </c>
      <c r="B326" s="317" t="s">
        <v>256</v>
      </c>
      <c r="C326" s="189"/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">
      <c r="A327" s="295" t="s">
        <v>418</v>
      </c>
      <c r="B327" s="317" t="s">
        <v>256</v>
      </c>
      <c r="C327" s="189">
        <v>148000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">
      <c r="A328" s="295" t="s">
        <v>203</v>
      </c>
      <c r="B328" s="295"/>
      <c r="C328" s="303"/>
      <c r="D328" s="295">
        <f>SUM(C321:C327)</f>
        <v>148000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">
      <c r="A329" s="295" t="s">
        <v>419</v>
      </c>
      <c r="B329" s="295"/>
      <c r="C329" s="303"/>
      <c r="D329" s="295">
        <f>C313</f>
        <v>0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">
      <c r="A330" s="295" t="s">
        <v>420</v>
      </c>
      <c r="B330" s="295"/>
      <c r="C330" s="303"/>
      <c r="D330" s="295">
        <f>D328-D329</f>
        <v>148000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">
      <c r="A332" s="295" t="s">
        <v>421</v>
      </c>
      <c r="B332" s="317" t="s">
        <v>256</v>
      </c>
      <c r="C332" s="222">
        <v>-7845435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">
      <c r="A333" s="295"/>
      <c r="B333" s="317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">
      <c r="A334" s="295" t="s">
        <v>1142</v>
      </c>
      <c r="B334" s="317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">
      <c r="A335" s="295" t="s">
        <v>1143</v>
      </c>
      <c r="B335" s="317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">
      <c r="A336" s="295" t="s">
        <v>423</v>
      </c>
      <c r="B336" s="317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">
      <c r="A337" s="295" t="s">
        <v>422</v>
      </c>
      <c r="B337" s="317" t="s">
        <v>256</v>
      </c>
      <c r="C337" s="189"/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">
      <c r="A338" s="295" t="s">
        <v>1252</v>
      </c>
      <c r="B338" s="317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">
      <c r="A339" s="295" t="s">
        <v>424</v>
      </c>
      <c r="B339" s="295"/>
      <c r="C339" s="303"/>
      <c r="D339" s="295">
        <f>D314+D319+D330+C332+C336+C337</f>
        <v>29567381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">
      <c r="A341" s="295" t="s">
        <v>425</v>
      </c>
      <c r="B341" s="295"/>
      <c r="C341" s="303"/>
      <c r="D341" s="295">
        <f>D292</f>
        <v>29567381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">
      <c r="A357" s="316" t="s">
        <v>426</v>
      </c>
      <c r="B357" s="316"/>
      <c r="C357" s="316"/>
      <c r="D357" s="316"/>
      <c r="E357" s="316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">
      <c r="A358" s="321" t="s">
        <v>427</v>
      </c>
      <c r="B358" s="321"/>
      <c r="C358" s="321"/>
      <c r="D358" s="321"/>
      <c r="E358" s="32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">
      <c r="A359" s="295" t="s">
        <v>428</v>
      </c>
      <c r="B359" s="317" t="s">
        <v>256</v>
      </c>
      <c r="C359" s="189">
        <v>73545818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">
      <c r="A360" s="295" t="s">
        <v>429</v>
      </c>
      <c r="B360" s="317" t="s">
        <v>256</v>
      </c>
      <c r="C360" s="189">
        <v>23098112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">
      <c r="A361" s="295" t="s">
        <v>430</v>
      </c>
      <c r="B361" s="295"/>
      <c r="C361" s="303"/>
      <c r="D361" s="295">
        <f>SUM(C359:C360)</f>
        <v>96643930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">
      <c r="A362" s="321" t="s">
        <v>431</v>
      </c>
      <c r="B362" s="321"/>
      <c r="C362" s="321"/>
      <c r="D362" s="321"/>
      <c r="E362" s="32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">
      <c r="A363" s="295" t="s">
        <v>1254</v>
      </c>
      <c r="B363" s="321"/>
      <c r="C363" s="189">
        <v>-1088186</v>
      </c>
      <c r="D363" s="295"/>
      <c r="E363" s="32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">
      <c r="A364" s="295" t="s">
        <v>432</v>
      </c>
      <c r="B364" s="317" t="s">
        <v>256</v>
      </c>
      <c r="C364" s="189">
        <f>54043003-545840</f>
        <v>53497163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">
      <c r="A365" s="295" t="s">
        <v>433</v>
      </c>
      <c r="B365" s="317" t="s">
        <v>256</v>
      </c>
      <c r="C365" s="189">
        <v>545840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">
      <c r="A366" s="295" t="s">
        <v>434</v>
      </c>
      <c r="B366" s="317" t="s">
        <v>256</v>
      </c>
      <c r="C366" s="189"/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">
      <c r="A367" s="295" t="s">
        <v>359</v>
      </c>
      <c r="B367" s="295"/>
      <c r="C367" s="303"/>
      <c r="D367" s="295">
        <f>SUM(C363:C366)</f>
        <v>52954817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">
      <c r="A368" s="295" t="s">
        <v>435</v>
      </c>
      <c r="B368" s="295"/>
      <c r="C368" s="303"/>
      <c r="D368" s="295">
        <f>D361-D367</f>
        <v>43689113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">
      <c r="A369" s="321" t="s">
        <v>436</v>
      </c>
      <c r="B369" s="321"/>
      <c r="C369" s="321"/>
      <c r="D369" s="321"/>
      <c r="E369" s="32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">
      <c r="A370" s="295" t="s">
        <v>437</v>
      </c>
      <c r="B370" s="317" t="s">
        <v>256</v>
      </c>
      <c r="C370" s="189">
        <v>4022930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">
      <c r="A371" s="295" t="s">
        <v>438</v>
      </c>
      <c r="B371" s="317" t="s">
        <v>256</v>
      </c>
      <c r="C371" s="189"/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">
      <c r="A372" s="295" t="s">
        <v>439</v>
      </c>
      <c r="B372" s="295"/>
      <c r="C372" s="303"/>
      <c r="D372" s="295">
        <f>SUM(C370:C371)</f>
        <v>4022930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">
      <c r="A373" s="295" t="s">
        <v>440</v>
      </c>
      <c r="B373" s="295"/>
      <c r="C373" s="303"/>
      <c r="D373" s="295">
        <f>D368+D372</f>
        <v>47712043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">
      <c r="A377" s="321" t="s">
        <v>441</v>
      </c>
      <c r="B377" s="321"/>
      <c r="C377" s="321"/>
      <c r="D377" s="321"/>
      <c r="E377" s="32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">
      <c r="A378" s="295" t="s">
        <v>442</v>
      </c>
      <c r="B378" s="317" t="s">
        <v>256</v>
      </c>
      <c r="C378" s="189">
        <v>28753642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">
      <c r="A379" s="295" t="s">
        <v>3</v>
      </c>
      <c r="B379" s="317" t="s">
        <v>256</v>
      </c>
      <c r="C379" s="189">
        <v>8018655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">
      <c r="A380" s="295" t="s">
        <v>236</v>
      </c>
      <c r="B380" s="317" t="s">
        <v>256</v>
      </c>
      <c r="C380" s="189">
        <v>453475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">
      <c r="A381" s="295" t="s">
        <v>443</v>
      </c>
      <c r="B381" s="317" t="s">
        <v>256</v>
      </c>
      <c r="C381" s="189">
        <v>1803094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">
      <c r="A382" s="295" t="s">
        <v>444</v>
      </c>
      <c r="B382" s="317" t="s">
        <v>256</v>
      </c>
      <c r="C382" s="189">
        <v>543048</v>
      </c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">
      <c r="A383" s="295" t="s">
        <v>445</v>
      </c>
      <c r="B383" s="317" t="s">
        <v>256</v>
      </c>
      <c r="C383" s="189">
        <f>3253888+2363284</f>
        <v>5617172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">
      <c r="A384" s="295" t="s">
        <v>6</v>
      </c>
      <c r="B384" s="317" t="s">
        <v>256</v>
      </c>
      <c r="C384" s="189">
        <v>1572622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">
      <c r="A385" s="295" t="s">
        <v>446</v>
      </c>
      <c r="B385" s="317" t="s">
        <v>256</v>
      </c>
      <c r="C385" s="189">
        <v>556248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">
      <c r="A386" s="295" t="s">
        <v>447</v>
      </c>
      <c r="B386" s="317" t="s">
        <v>256</v>
      </c>
      <c r="C386" s="189">
        <v>0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">
      <c r="A387" s="295" t="s">
        <v>448</v>
      </c>
      <c r="B387" s="317" t="s">
        <v>256</v>
      </c>
      <c r="C387" s="189">
        <f>-712382+663397</f>
        <v>-48985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">
      <c r="A388" s="295" t="s">
        <v>449</v>
      </c>
      <c r="B388" s="317" t="s">
        <v>256</v>
      </c>
      <c r="C388" s="189">
        <v>4019</v>
      </c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">
      <c r="A389" s="295" t="s">
        <v>451</v>
      </c>
      <c r="B389" s="317" t="s">
        <v>256</v>
      </c>
      <c r="C389" s="189">
        <f>161894+48985+2255+2</f>
        <v>213136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">
      <c r="A390" s="295" t="s">
        <v>452</v>
      </c>
      <c r="B390" s="295"/>
      <c r="C390" s="303"/>
      <c r="D390" s="295">
        <f>SUM(C378:C389)</f>
        <v>47486126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">
      <c r="A391" s="295" t="s">
        <v>453</v>
      </c>
      <c r="B391" s="295"/>
      <c r="C391" s="303"/>
      <c r="D391" s="295">
        <f>D373-D390</f>
        <v>225917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">
      <c r="A392" s="295" t="s">
        <v>454</v>
      </c>
      <c r="B392" s="317" t="s">
        <v>256</v>
      </c>
      <c r="C392" s="189">
        <v>18456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">
      <c r="A393" s="295" t="s">
        <v>455</v>
      </c>
      <c r="B393" s="295"/>
      <c r="C393" s="303"/>
      <c r="D393" s="295">
        <f>D391+C392</f>
        <v>244373</v>
      </c>
      <c r="E393" s="295"/>
      <c r="F393" s="33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">
      <c r="A394" s="295" t="s">
        <v>456</v>
      </c>
      <c r="B394" s="317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">
      <c r="A395" s="295" t="s">
        <v>457</v>
      </c>
      <c r="B395" s="317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">
      <c r="A396" s="295" t="s">
        <v>458</v>
      </c>
      <c r="B396" s="295"/>
      <c r="C396" s="303"/>
      <c r="D396" s="295">
        <f>D393+C394-C395</f>
        <v>244373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">
      <c r="A411" s="2"/>
      <c r="B411" s="2"/>
      <c r="C411" s="333" t="s">
        <v>459</v>
      </c>
      <c r="D411" s="2"/>
      <c r="E411" s="33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">
      <c r="A412" s="2" t="str">
        <f>C84&amp;"   "&amp;"H-"&amp;FIXED(C83,0,TRUE)&amp;"     FYE "&amp;C82</f>
        <v>St. Luke's Rehabilitation Institute   H-0     FYE 12/31/2020</v>
      </c>
      <c r="B412" s="2"/>
      <c r="C412" s="2"/>
      <c r="D412" s="2"/>
      <c r="E412" s="33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">
      <c r="A413" s="2" t="s">
        <v>460</v>
      </c>
      <c r="B413" s="333" t="s">
        <v>461</v>
      </c>
      <c r="C413" s="333" t="s">
        <v>1242</v>
      </c>
      <c r="D413" s="333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">
      <c r="A414" s="2" t="s">
        <v>463</v>
      </c>
      <c r="B414" s="2">
        <f>C111</f>
        <v>1436</v>
      </c>
      <c r="C414" s="2">
        <f>E138</f>
        <v>1436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">
      <c r="A415" s="2" t="s">
        <v>464</v>
      </c>
      <c r="B415" s="2">
        <f>D111</f>
        <v>19870</v>
      </c>
      <c r="C415" s="2">
        <f>E139</f>
        <v>19870</v>
      </c>
      <c r="D415" s="2">
        <f>SUM(C59:H59)+N59</f>
        <v>19870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">
      <c r="A422" s="335"/>
      <c r="B422" s="335"/>
      <c r="C422" s="33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">
      <c r="A423" s="2" t="s">
        <v>469</v>
      </c>
      <c r="B423" s="2">
        <f>C114</f>
        <v>0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">
      <c r="A424" s="2" t="s">
        <v>1243</v>
      </c>
      <c r="B424" s="2">
        <f>D114</f>
        <v>0</v>
      </c>
      <c r="C424" s="2"/>
      <c r="D424" s="2">
        <f>J59</f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">
      <c r="A425" s="335"/>
      <c r="B425" s="335"/>
      <c r="C425" s="335"/>
      <c r="D425" s="335"/>
      <c r="E425" s="2"/>
      <c r="F425" s="335"/>
      <c r="G425" s="335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">
      <c r="A426" s="2" t="s">
        <v>470</v>
      </c>
      <c r="B426" s="333" t="s">
        <v>471</v>
      </c>
      <c r="C426" s="333" t="s">
        <v>462</v>
      </c>
      <c r="D426" s="333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">
      <c r="A427" s="2" t="s">
        <v>473</v>
      </c>
      <c r="B427" s="2">
        <f t="shared" ref="B427:B437" si="12">C378</f>
        <v>28753642</v>
      </c>
      <c r="C427" s="2">
        <f t="shared" ref="C427:C434" si="13">CE61</f>
        <v>28753642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">
      <c r="A428" s="2" t="s">
        <v>3</v>
      </c>
      <c r="B428" s="2">
        <f t="shared" si="12"/>
        <v>8018655</v>
      </c>
      <c r="C428" s="2">
        <f t="shared" si="13"/>
        <v>8018654</v>
      </c>
      <c r="D428" s="2">
        <f>D173</f>
        <v>8018655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">
      <c r="A429" s="2" t="s">
        <v>236</v>
      </c>
      <c r="B429" s="2">
        <f t="shared" si="12"/>
        <v>453475</v>
      </c>
      <c r="C429" s="2">
        <f t="shared" si="13"/>
        <v>453475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">
      <c r="A430" s="2" t="s">
        <v>237</v>
      </c>
      <c r="B430" s="2">
        <f t="shared" si="12"/>
        <v>1803094</v>
      </c>
      <c r="C430" s="2">
        <f t="shared" si="13"/>
        <v>1803094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">
      <c r="A431" s="2" t="s">
        <v>444</v>
      </c>
      <c r="B431" s="2">
        <f t="shared" si="12"/>
        <v>543048</v>
      </c>
      <c r="C431" s="2">
        <f t="shared" si="13"/>
        <v>543048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">
      <c r="A432" s="2" t="s">
        <v>445</v>
      </c>
      <c r="B432" s="2">
        <f t="shared" si="12"/>
        <v>5617172</v>
      </c>
      <c r="C432" s="2">
        <f t="shared" si="13"/>
        <v>5617172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">
      <c r="A433" s="2" t="s">
        <v>6</v>
      </c>
      <c r="B433" s="2">
        <f t="shared" si="12"/>
        <v>1572622</v>
      </c>
      <c r="C433" s="2">
        <f t="shared" si="13"/>
        <v>1572623</v>
      </c>
      <c r="D433" s="2">
        <f>C217</f>
        <v>1572622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">
      <c r="A434" s="2" t="s">
        <v>474</v>
      </c>
      <c r="B434" s="2">
        <f t="shared" si="12"/>
        <v>556248</v>
      </c>
      <c r="C434" s="2">
        <f t="shared" si="13"/>
        <v>556247</v>
      </c>
      <c r="D434" s="2">
        <f>D177</f>
        <v>556248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">
      <c r="A435" s="2" t="s">
        <v>447</v>
      </c>
      <c r="B435" s="2">
        <f t="shared" si="12"/>
        <v>0</v>
      </c>
      <c r="C435" s="2"/>
      <c r="D435" s="2">
        <f>D181</f>
        <v>0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">
      <c r="A436" s="2" t="s">
        <v>475</v>
      </c>
      <c r="B436" s="2">
        <f t="shared" si="12"/>
        <v>-48985</v>
      </c>
      <c r="C436" s="2"/>
      <c r="D436" s="2">
        <f>D186</f>
        <v>-48985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">
      <c r="A437" s="2" t="s">
        <v>449</v>
      </c>
      <c r="B437" s="2">
        <f t="shared" si="12"/>
        <v>4019</v>
      </c>
      <c r="C437" s="2"/>
      <c r="D437" s="2">
        <f>D190</f>
        <v>4019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">
      <c r="A438" s="2" t="s">
        <v>476</v>
      </c>
      <c r="B438" s="2">
        <f>C386+C387+C388</f>
        <v>-44966</v>
      </c>
      <c r="C438" s="2">
        <f>CD69</f>
        <v>-44966</v>
      </c>
      <c r="D438" s="2">
        <f>D181+D186+D190</f>
        <v>-44966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">
      <c r="A439" s="2" t="s">
        <v>451</v>
      </c>
      <c r="B439" s="2">
        <f>C389</f>
        <v>213136</v>
      </c>
      <c r="C439" s="2">
        <f>SUM(C69:CC69)</f>
        <v>213136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">
      <c r="A440" s="2" t="s">
        <v>477</v>
      </c>
      <c r="B440" s="2">
        <f>B438+B439</f>
        <v>168170</v>
      </c>
      <c r="C440" s="2">
        <f>CE69</f>
        <v>168170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">
      <c r="A441" s="2" t="s">
        <v>478</v>
      </c>
      <c r="B441" s="2">
        <f>D390</f>
        <v>47486126</v>
      </c>
      <c r="C441" s="2">
        <f>SUM(C427:C437)+C440</f>
        <v>47486125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">
      <c r="A442" s="335"/>
      <c r="B442" s="335"/>
      <c r="C442" s="335"/>
      <c r="D442" s="335"/>
      <c r="E442" s="2"/>
      <c r="F442" s="335"/>
      <c r="G442" s="335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">
      <c r="A443" s="2" t="s">
        <v>479</v>
      </c>
      <c r="B443" s="333" t="s">
        <v>480</v>
      </c>
      <c r="C443" s="333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">
      <c r="A444" s="2" t="s">
        <v>1256</v>
      </c>
      <c r="B444" s="2">
        <f>D221</f>
        <v>-1088186</v>
      </c>
      <c r="C444" s="2">
        <f>C363</f>
        <v>-1088186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">
      <c r="A445" s="2" t="s">
        <v>343</v>
      </c>
      <c r="B445" s="2">
        <f>D229</f>
        <v>53497163</v>
      </c>
      <c r="C445" s="2">
        <f>C364</f>
        <v>53497163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">
      <c r="A446" s="2" t="s">
        <v>351</v>
      </c>
      <c r="B446" s="2">
        <f>D236</f>
        <v>545840</v>
      </c>
      <c r="C446" s="2">
        <f>C365</f>
        <v>545840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">
      <c r="A447" s="2" t="s">
        <v>356</v>
      </c>
      <c r="B447" s="2">
        <f>D240</f>
        <v>0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">
      <c r="A448" s="2" t="s">
        <v>358</v>
      </c>
      <c r="B448" s="2">
        <f>D242</f>
        <v>52954817</v>
      </c>
      <c r="C448" s="2">
        <f>D367</f>
        <v>52954817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">
      <c r="A449" s="335"/>
      <c r="B449" s="335"/>
      <c r="C449" s="335"/>
      <c r="D449" s="335"/>
      <c r="E449" s="2"/>
      <c r="F449" s="335"/>
      <c r="G449" s="335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">
      <c r="A450" s="2" t="s">
        <v>481</v>
      </c>
      <c r="B450" s="333" t="s">
        <v>482</v>
      </c>
      <c r="C450" s="335"/>
      <c r="D450" s="335"/>
      <c r="E450" s="2"/>
      <c r="F450" s="335"/>
      <c r="G450" s="335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">
      <c r="A451" s="2"/>
      <c r="B451" s="333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">
      <c r="A452" s="2"/>
      <c r="B452" s="333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">
      <c r="A453" s="328" t="s">
        <v>484</v>
      </c>
      <c r="B453" s="2">
        <f>C231</f>
        <v>0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">
      <c r="A454" s="2" t="s">
        <v>168</v>
      </c>
      <c r="B454" s="2">
        <f>C233</f>
        <v>545840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">
      <c r="A455" s="2" t="s">
        <v>131</v>
      </c>
      <c r="B455" s="2">
        <f>C234</f>
        <v>0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">
      <c r="A456" s="335"/>
      <c r="B456" s="335"/>
      <c r="C456" s="335"/>
      <c r="D456" s="335"/>
      <c r="E456" s="2"/>
      <c r="F456" s="335"/>
      <c r="G456" s="335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">
      <c r="A457" s="2" t="s">
        <v>485</v>
      </c>
      <c r="B457" s="333" t="s">
        <v>471</v>
      </c>
      <c r="C457" s="333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">
      <c r="A458" s="2" t="s">
        <v>487</v>
      </c>
      <c r="B458" s="2">
        <f>C370</f>
        <v>4022930</v>
      </c>
      <c r="C458" s="2">
        <f>CE70</f>
        <v>4022928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">
      <c r="A460" s="335"/>
      <c r="B460" s="335"/>
      <c r="C460" s="335"/>
      <c r="D460" s="335"/>
      <c r="E460" s="2"/>
      <c r="F460" s="335"/>
      <c r="G460" s="335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">
      <c r="A461" s="2" t="s">
        <v>488</v>
      </c>
      <c r="B461" s="333"/>
      <c r="C461" s="333"/>
      <c r="D461" s="333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">
      <c r="A462" s="2"/>
      <c r="B462" s="333" t="s">
        <v>471</v>
      </c>
      <c r="C462" s="333" t="s">
        <v>486</v>
      </c>
      <c r="D462" s="333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">
      <c r="A463" s="2" t="s">
        <v>245</v>
      </c>
      <c r="B463" s="2">
        <f>C359</f>
        <v>73545818</v>
      </c>
      <c r="C463" s="2">
        <f>CE73</f>
        <v>73545818</v>
      </c>
      <c r="D463" s="2">
        <f>E141+E147+E153</f>
        <v>73545818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">
      <c r="A464" s="2" t="s">
        <v>246</v>
      </c>
      <c r="B464" s="2">
        <f>C360</f>
        <v>23098112</v>
      </c>
      <c r="C464" s="2">
        <f>CE74</f>
        <v>23098112</v>
      </c>
      <c r="D464" s="2">
        <f>E142+E148+E154</f>
        <v>23098112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">
      <c r="A465" s="2" t="s">
        <v>247</v>
      </c>
      <c r="B465" s="2">
        <f>D361</f>
        <v>96643930</v>
      </c>
      <c r="C465" s="2">
        <f>CE75</f>
        <v>96643930</v>
      </c>
      <c r="D465" s="2">
        <f>D463+D464</f>
        <v>96643930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">
      <c r="A466" s="335"/>
      <c r="B466" s="335"/>
      <c r="C466" s="335"/>
      <c r="D466" s="335"/>
      <c r="E466" s="2"/>
      <c r="F466" s="335"/>
      <c r="G466" s="335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">
      <c r="A467" s="2" t="s">
        <v>491</v>
      </c>
      <c r="B467" s="333" t="s">
        <v>492</v>
      </c>
      <c r="C467" s="333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">
      <c r="A468" s="2" t="s">
        <v>332</v>
      </c>
      <c r="B468" s="2">
        <f t="shared" ref="B468:B475" si="14">C267</f>
        <v>622797</v>
      </c>
      <c r="C468" s="2">
        <f>E195</f>
        <v>622796.51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">
      <c r="A469" s="2" t="s">
        <v>333</v>
      </c>
      <c r="B469" s="2">
        <f t="shared" si="14"/>
        <v>587456</v>
      </c>
      <c r="C469" s="2">
        <f>E196</f>
        <v>587456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">
      <c r="A470" s="2" t="s">
        <v>334</v>
      </c>
      <c r="B470" s="2">
        <f t="shared" si="14"/>
        <v>35504146</v>
      </c>
      <c r="C470" s="2">
        <f>E197</f>
        <v>35504146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">
      <c r="A471" s="2" t="s">
        <v>494</v>
      </c>
      <c r="B471" s="2">
        <f t="shared" si="14"/>
        <v>6631561</v>
      </c>
      <c r="C471" s="2">
        <f>E198</f>
        <v>6631561.3600000003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">
      <c r="A472" s="2" t="s">
        <v>377</v>
      </c>
      <c r="B472" s="2">
        <f t="shared" si="14"/>
        <v>961862</v>
      </c>
      <c r="C472" s="2">
        <f>E199</f>
        <v>961862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">
      <c r="A473" s="2" t="s">
        <v>495</v>
      </c>
      <c r="B473" s="2">
        <f t="shared" si="14"/>
        <v>4608428</v>
      </c>
      <c r="C473" s="2">
        <f>SUM(E200:E201)</f>
        <v>4608427.8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">
      <c r="A474" s="2" t="s">
        <v>339</v>
      </c>
      <c r="B474" s="2">
        <f t="shared" si="14"/>
        <v>0</v>
      </c>
      <c r="C474" s="2">
        <f>E202</f>
        <v>0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">
      <c r="A475" s="2" t="s">
        <v>340</v>
      </c>
      <c r="B475" s="2">
        <f t="shared" si="14"/>
        <v>0</v>
      </c>
      <c r="C475" s="2">
        <f>E203</f>
        <v>0.46999999997206032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">
      <c r="A476" s="2" t="s">
        <v>203</v>
      </c>
      <c r="B476" s="2">
        <f>D275</f>
        <v>48916250</v>
      </c>
      <c r="C476" s="2">
        <f>E204</f>
        <v>48916250.139999993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">
      <c r="A478" s="2" t="s">
        <v>496</v>
      </c>
      <c r="B478" s="2">
        <f>C276</f>
        <v>26539998</v>
      </c>
      <c r="C478" s="2">
        <f>E217</f>
        <v>26539998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">
      <c r="A481" s="2" t="s">
        <v>498</v>
      </c>
      <c r="B481" s="2"/>
      <c r="C481" s="2">
        <f>D341</f>
        <v>29567381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">
      <c r="A482" s="2" t="s">
        <v>499</v>
      </c>
      <c r="B482" s="2"/>
      <c r="C482" s="2">
        <f>D339</f>
        <v>29567381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">
      <c r="A485" s="328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">
      <c r="A486" s="328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">
      <c r="A487" s="328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">
      <c r="A488" s="32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">
      <c r="A489" s="336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">
      <c r="A490" s="328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">
      <c r="A491" s="32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">
      <c r="A493" s="2" t="str">
        <f>C83</f>
        <v>157</v>
      </c>
      <c r="B493" s="337" t="str">
        <f>RIGHT('[1]prior year'!C82,4)</f>
        <v>2019</v>
      </c>
      <c r="C493" s="337" t="str">
        <f>RIGHT(C82,4)</f>
        <v>2020</v>
      </c>
      <c r="D493" s="337" t="str">
        <f>RIGHT('[1]prior year'!C82,4)</f>
        <v>2019</v>
      </c>
      <c r="E493" s="337" t="str">
        <f>RIGHT(C82,4)</f>
        <v>2020</v>
      </c>
      <c r="F493" s="337" t="str">
        <f>RIGHT('[1]prior year'!C82,4)</f>
        <v>2019</v>
      </c>
      <c r="G493" s="337" t="str">
        <f>RIGHT(C82,4)</f>
        <v>2020</v>
      </c>
      <c r="H493" s="337"/>
      <c r="I493" s="2"/>
      <c r="J493" s="2"/>
      <c r="K493" s="337"/>
      <c r="L493" s="337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">
      <c r="A494" s="336"/>
      <c r="B494" s="333" t="s">
        <v>505</v>
      </c>
      <c r="C494" s="333" t="s">
        <v>505</v>
      </c>
      <c r="D494" s="338" t="s">
        <v>506</v>
      </c>
      <c r="E494" s="338" t="s">
        <v>506</v>
      </c>
      <c r="F494" s="337" t="s">
        <v>507</v>
      </c>
      <c r="G494" s="337" t="s">
        <v>507</v>
      </c>
      <c r="H494" s="337" t="s">
        <v>508</v>
      </c>
      <c r="I494" s="2"/>
      <c r="J494" s="2"/>
      <c r="K494" s="337"/>
      <c r="L494" s="337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">
      <c r="A495" s="2"/>
      <c r="B495" s="333" t="s">
        <v>303</v>
      </c>
      <c r="C495" s="333" t="s">
        <v>303</v>
      </c>
      <c r="D495" s="333" t="s">
        <v>509</v>
      </c>
      <c r="E495" s="333" t="s">
        <v>509</v>
      </c>
      <c r="F495" s="337" t="s">
        <v>510</v>
      </c>
      <c r="G495" s="337" t="s">
        <v>510</v>
      </c>
      <c r="H495" s="337" t="s">
        <v>511</v>
      </c>
      <c r="I495" s="2"/>
      <c r="J495" s="2"/>
      <c r="K495" s="337"/>
      <c r="L495" s="337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">
      <c r="A496" s="2" t="s">
        <v>512</v>
      </c>
      <c r="B496" s="339">
        <f>'[1]prior year'!C71</f>
        <v>0</v>
      </c>
      <c r="C496" s="339">
        <f>C71</f>
        <v>0</v>
      </c>
      <c r="D496" s="339">
        <f>'[1]prior year'!C59</f>
        <v>0</v>
      </c>
      <c r="E496" s="2">
        <f>C59</f>
        <v>0</v>
      </c>
      <c r="F496" s="340" t="str">
        <f t="shared" ref="F496:G511" si="15">IF(B496=0,"",IF(D496=0,"",B496/D496))</f>
        <v/>
      </c>
      <c r="G496" s="340" t="str">
        <f t="shared" si="15"/>
        <v/>
      </c>
      <c r="H496" s="341" t="str">
        <f>IF(B496=0,"",IF(C496=0,"",IF(D496=0,"",IF(E496=0,"",IF(G496/F496-1&lt;-0.25,G496/F496-1,IF(G496/F496-1&gt;0.25,G496/F496-1,""))))))</f>
        <v/>
      </c>
      <c r="I496" s="267"/>
      <c r="J496" s="2"/>
      <c r="K496" s="337"/>
      <c r="L496" s="337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">
      <c r="A497" s="2" t="s">
        <v>513</v>
      </c>
      <c r="B497" s="339">
        <f>'[1]prior year'!D71</f>
        <v>0</v>
      </c>
      <c r="C497" s="339">
        <f>D71</f>
        <v>0</v>
      </c>
      <c r="D497" s="339">
        <f>'[1]prior year'!D59</f>
        <v>0</v>
      </c>
      <c r="E497" s="2">
        <f>D59</f>
        <v>0</v>
      </c>
      <c r="F497" s="340" t="str">
        <f t="shared" si="15"/>
        <v/>
      </c>
      <c r="G497" s="340" t="str">
        <f t="shared" si="15"/>
        <v/>
      </c>
      <c r="H497" s="341" t="str">
        <f t="shared" ref="H497:H546" si="16">IF(B497=0,"",IF(C497=0,"",IF(D497=0,"",IF(E497=0,"",IF(G497/F497-1&lt;-0.25,G497/F497-1,IF(G497/F497-1&gt;0.25,G497/F497-1,""))))))</f>
        <v/>
      </c>
      <c r="I497" s="267"/>
      <c r="J497" s="2"/>
      <c r="K497" s="337"/>
      <c r="L497" s="337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">
      <c r="A498" s="2" t="s">
        <v>514</v>
      </c>
      <c r="B498" s="339">
        <f>'[1]prior year'!E71</f>
        <v>0</v>
      </c>
      <c r="C498" s="339">
        <f>E71</f>
        <v>0</v>
      </c>
      <c r="D498" s="339">
        <f>'[1]prior year'!E59</f>
        <v>0</v>
      </c>
      <c r="E498" s="2">
        <f>E59</f>
        <v>0</v>
      </c>
      <c r="F498" s="340" t="str">
        <f t="shared" si="15"/>
        <v/>
      </c>
      <c r="G498" s="340" t="str">
        <f t="shared" si="15"/>
        <v/>
      </c>
      <c r="H498" s="341" t="str">
        <f t="shared" si="16"/>
        <v/>
      </c>
      <c r="I498" s="267"/>
      <c r="J498" s="2"/>
      <c r="K498" s="337"/>
      <c r="L498" s="337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">
      <c r="A499" s="2" t="s">
        <v>515</v>
      </c>
      <c r="B499" s="339">
        <f>'[1]prior year'!F71</f>
        <v>0</v>
      </c>
      <c r="C499" s="339">
        <f>F71</f>
        <v>0</v>
      </c>
      <c r="D499" s="339">
        <f>'[1]prior year'!F59</f>
        <v>0</v>
      </c>
      <c r="E499" s="2">
        <f>F59</f>
        <v>0</v>
      </c>
      <c r="F499" s="340" t="str">
        <f t="shared" si="15"/>
        <v/>
      </c>
      <c r="G499" s="340" t="str">
        <f t="shared" si="15"/>
        <v/>
      </c>
      <c r="H499" s="341" t="str">
        <f t="shared" si="16"/>
        <v/>
      </c>
      <c r="I499" s="267"/>
      <c r="J499" s="2"/>
      <c r="K499" s="337"/>
      <c r="L499" s="337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">
      <c r="A500" s="2" t="s">
        <v>516</v>
      </c>
      <c r="B500" s="339">
        <f>'[1]prior year'!G71</f>
        <v>13293480</v>
      </c>
      <c r="C500" s="339">
        <f>G71</f>
        <v>14088916</v>
      </c>
      <c r="D500" s="339">
        <f>'[1]prior year'!G59</f>
        <v>19848</v>
      </c>
      <c r="E500" s="2">
        <f>G59</f>
        <v>19870</v>
      </c>
      <c r="F500" s="340">
        <f>IF(B500=0,"",IF(D500=0,"",B500/D500))</f>
        <v>669.76420798065294</v>
      </c>
      <c r="G500" s="340">
        <f t="shared" si="15"/>
        <v>709.05465525918476</v>
      </c>
      <c r="H500" s="341" t="str">
        <f>IF(B500=0,"",IF(C500=0,"",IF(D500=0,"",IF(E500=0,"",IF(G500/F500-1&lt;-0.25,G500/F500-1,IF(G500/F500-1&gt;0.25,G500/F500-1,""))))))</f>
        <v/>
      </c>
      <c r="I500" s="267"/>
      <c r="J500" s="2"/>
      <c r="K500" s="337"/>
      <c r="L500" s="337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">
      <c r="A501" s="2" t="s">
        <v>517</v>
      </c>
      <c r="B501" s="339">
        <f>'[1]prior year'!H71</f>
        <v>0</v>
      </c>
      <c r="C501" s="339">
        <f>H71</f>
        <v>0</v>
      </c>
      <c r="D501" s="339">
        <f>'[1]prior year'!H59</f>
        <v>0</v>
      </c>
      <c r="E501" s="2">
        <f>H59</f>
        <v>0</v>
      </c>
      <c r="F501" s="340" t="str">
        <f t="shared" si="15"/>
        <v/>
      </c>
      <c r="G501" s="340" t="str">
        <f t="shared" si="15"/>
        <v/>
      </c>
      <c r="H501" s="341" t="str">
        <f t="shared" si="16"/>
        <v/>
      </c>
      <c r="I501" s="267"/>
      <c r="J501" s="2"/>
      <c r="K501" s="337"/>
      <c r="L501" s="337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">
      <c r="A502" s="2" t="s">
        <v>518</v>
      </c>
      <c r="B502" s="339">
        <f>'[1]prior year'!I71</f>
        <v>0</v>
      </c>
      <c r="C502" s="339">
        <f>I71</f>
        <v>0</v>
      </c>
      <c r="D502" s="339">
        <f>'[1]prior year'!I59</f>
        <v>0</v>
      </c>
      <c r="E502" s="2">
        <f>I59</f>
        <v>0</v>
      </c>
      <c r="F502" s="340" t="str">
        <f t="shared" si="15"/>
        <v/>
      </c>
      <c r="G502" s="340" t="str">
        <f t="shared" si="15"/>
        <v/>
      </c>
      <c r="H502" s="341" t="str">
        <f t="shared" si="16"/>
        <v/>
      </c>
      <c r="I502" s="267"/>
      <c r="J502" s="2"/>
      <c r="K502" s="337"/>
      <c r="L502" s="337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">
      <c r="A503" s="2" t="s">
        <v>519</v>
      </c>
      <c r="B503" s="339">
        <f>'[1]prior year'!J71</f>
        <v>0</v>
      </c>
      <c r="C503" s="339">
        <f>J71</f>
        <v>0</v>
      </c>
      <c r="D503" s="339">
        <f>'[1]prior year'!J59</f>
        <v>0</v>
      </c>
      <c r="E503" s="2">
        <f>J59</f>
        <v>0</v>
      </c>
      <c r="F503" s="340" t="str">
        <f t="shared" si="15"/>
        <v/>
      </c>
      <c r="G503" s="340" t="str">
        <f t="shared" si="15"/>
        <v/>
      </c>
      <c r="H503" s="341" t="str">
        <f t="shared" si="16"/>
        <v/>
      </c>
      <c r="I503" s="267"/>
      <c r="J503" s="2"/>
      <c r="K503" s="337"/>
      <c r="L503" s="337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">
      <c r="A504" s="2" t="s">
        <v>520</v>
      </c>
      <c r="B504" s="339">
        <f>'[1]prior year'!K71</f>
        <v>0</v>
      </c>
      <c r="C504" s="339">
        <f>K71</f>
        <v>0</v>
      </c>
      <c r="D504" s="339">
        <f>'[1]prior year'!K59</f>
        <v>0</v>
      </c>
      <c r="E504" s="2">
        <f>K59</f>
        <v>0</v>
      </c>
      <c r="F504" s="340" t="str">
        <f t="shared" si="15"/>
        <v/>
      </c>
      <c r="G504" s="340" t="str">
        <f t="shared" si="15"/>
        <v/>
      </c>
      <c r="H504" s="341" t="str">
        <f t="shared" si="16"/>
        <v/>
      </c>
      <c r="I504" s="267"/>
      <c r="J504" s="2"/>
      <c r="K504" s="337"/>
      <c r="L504" s="337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">
      <c r="A505" s="2" t="s">
        <v>521</v>
      </c>
      <c r="B505" s="339">
        <f>'[1]prior year'!L71</f>
        <v>0</v>
      </c>
      <c r="C505" s="339">
        <f>L71</f>
        <v>0</v>
      </c>
      <c r="D505" s="339">
        <f>'[1]prior year'!L59</f>
        <v>0</v>
      </c>
      <c r="E505" s="2">
        <f>L59</f>
        <v>0</v>
      </c>
      <c r="F505" s="340" t="str">
        <f t="shared" si="15"/>
        <v/>
      </c>
      <c r="G505" s="340" t="str">
        <f t="shared" si="15"/>
        <v/>
      </c>
      <c r="H505" s="341" t="str">
        <f t="shared" si="16"/>
        <v/>
      </c>
      <c r="I505" s="267"/>
      <c r="J505" s="2"/>
      <c r="K505" s="337"/>
      <c r="L505" s="337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">
      <c r="A506" s="2" t="s">
        <v>522</v>
      </c>
      <c r="B506" s="339">
        <f>'[1]prior year'!M71</f>
        <v>0</v>
      </c>
      <c r="C506" s="339">
        <f>M71</f>
        <v>0</v>
      </c>
      <c r="D506" s="339">
        <f>'[1]prior year'!M59</f>
        <v>0</v>
      </c>
      <c r="E506" s="2">
        <f>M59</f>
        <v>0</v>
      </c>
      <c r="F506" s="340" t="str">
        <f t="shared" si="15"/>
        <v/>
      </c>
      <c r="G506" s="340" t="str">
        <f t="shared" si="15"/>
        <v/>
      </c>
      <c r="H506" s="341" t="str">
        <f t="shared" si="16"/>
        <v/>
      </c>
      <c r="I506" s="267"/>
      <c r="J506" s="2"/>
      <c r="K506" s="337"/>
      <c r="L506" s="337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">
      <c r="A507" s="2" t="s">
        <v>523</v>
      </c>
      <c r="B507" s="339">
        <f>'[1]prior year'!N71</f>
        <v>0</v>
      </c>
      <c r="C507" s="339">
        <f>N71</f>
        <v>0</v>
      </c>
      <c r="D507" s="339">
        <f>'[1]prior year'!N59</f>
        <v>0</v>
      </c>
      <c r="E507" s="2">
        <f>N59</f>
        <v>0</v>
      </c>
      <c r="F507" s="340" t="str">
        <f t="shared" si="15"/>
        <v/>
      </c>
      <c r="G507" s="340" t="str">
        <f t="shared" si="15"/>
        <v/>
      </c>
      <c r="H507" s="341" t="str">
        <f t="shared" si="16"/>
        <v/>
      </c>
      <c r="I507" s="267"/>
      <c r="J507" s="2"/>
      <c r="K507" s="337"/>
      <c r="L507" s="337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">
      <c r="A508" s="2" t="s">
        <v>524</v>
      </c>
      <c r="B508" s="339">
        <f>'[1]prior year'!O71</f>
        <v>0</v>
      </c>
      <c r="C508" s="339">
        <f>O71</f>
        <v>0</v>
      </c>
      <c r="D508" s="339">
        <f>'[1]prior year'!O59</f>
        <v>0</v>
      </c>
      <c r="E508" s="2">
        <f>O59</f>
        <v>0</v>
      </c>
      <c r="F508" s="340" t="str">
        <f t="shared" si="15"/>
        <v/>
      </c>
      <c r="G508" s="340" t="str">
        <f t="shared" si="15"/>
        <v/>
      </c>
      <c r="H508" s="341" t="str">
        <f t="shared" si="16"/>
        <v/>
      </c>
      <c r="I508" s="267"/>
      <c r="J508" s="2"/>
      <c r="K508" s="337"/>
      <c r="L508" s="337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">
      <c r="A509" s="2" t="s">
        <v>525</v>
      </c>
      <c r="B509" s="339">
        <f>'[1]prior year'!P71</f>
        <v>0</v>
      </c>
      <c r="C509" s="339">
        <f>P71</f>
        <v>0</v>
      </c>
      <c r="D509" s="339">
        <f>'[1]prior year'!P59</f>
        <v>0</v>
      </c>
      <c r="E509" s="2">
        <f>P59</f>
        <v>0</v>
      </c>
      <c r="F509" s="340" t="str">
        <f t="shared" si="15"/>
        <v/>
      </c>
      <c r="G509" s="340" t="str">
        <f t="shared" si="15"/>
        <v/>
      </c>
      <c r="H509" s="341" t="str">
        <f t="shared" si="16"/>
        <v/>
      </c>
      <c r="I509" s="267"/>
      <c r="J509" s="2"/>
      <c r="K509" s="337"/>
      <c r="L509" s="337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">
      <c r="A510" s="2" t="s">
        <v>526</v>
      </c>
      <c r="B510" s="339">
        <f>'[1]prior year'!Q71</f>
        <v>0</v>
      </c>
      <c r="C510" s="339">
        <f>Q71</f>
        <v>0</v>
      </c>
      <c r="D510" s="339">
        <f>'[1]prior year'!Q59</f>
        <v>0</v>
      </c>
      <c r="E510" s="2">
        <f>Q59</f>
        <v>0</v>
      </c>
      <c r="F510" s="340" t="str">
        <f t="shared" si="15"/>
        <v/>
      </c>
      <c r="G510" s="340" t="str">
        <f t="shared" si="15"/>
        <v/>
      </c>
      <c r="H510" s="341" t="str">
        <f t="shared" si="16"/>
        <v/>
      </c>
      <c r="I510" s="267"/>
      <c r="J510" s="2"/>
      <c r="K510" s="337"/>
      <c r="L510" s="337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">
      <c r="A511" s="2" t="s">
        <v>527</v>
      </c>
      <c r="B511" s="339">
        <f>'[1]prior year'!R71</f>
        <v>0</v>
      </c>
      <c r="C511" s="339">
        <f>R71</f>
        <v>0</v>
      </c>
      <c r="D511" s="339">
        <f>'[1]prior year'!R59</f>
        <v>0</v>
      </c>
      <c r="E511" s="2">
        <f>R59</f>
        <v>0</v>
      </c>
      <c r="F511" s="340" t="str">
        <f t="shared" si="15"/>
        <v/>
      </c>
      <c r="G511" s="340" t="str">
        <f t="shared" si="15"/>
        <v/>
      </c>
      <c r="H511" s="341" t="str">
        <f t="shared" si="16"/>
        <v/>
      </c>
      <c r="I511" s="267"/>
      <c r="J511" s="2"/>
      <c r="K511" s="337"/>
      <c r="L511" s="337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">
      <c r="A512" s="2" t="s">
        <v>528</v>
      </c>
      <c r="B512" s="339">
        <f>'[1]prior year'!S71</f>
        <v>97379</v>
      </c>
      <c r="C512" s="339">
        <f>S71</f>
        <v>65795</v>
      </c>
      <c r="D512" s="333" t="s">
        <v>529</v>
      </c>
      <c r="E512" s="333" t="s">
        <v>529</v>
      </c>
      <c r="F512" s="340" t="str">
        <f t="shared" ref="F512:G527" si="17">IF(B512=0,"",IF(D512=0,"",B512/D512))</f>
        <v/>
      </c>
      <c r="G512" s="340" t="str">
        <f t="shared" si="17"/>
        <v/>
      </c>
      <c r="H512" s="341" t="str">
        <f t="shared" si="16"/>
        <v/>
      </c>
      <c r="I512" s="267"/>
      <c r="J512" s="2"/>
      <c r="K512" s="337"/>
      <c r="L512" s="337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">
      <c r="A513" s="2" t="s">
        <v>1245</v>
      </c>
      <c r="B513" s="339">
        <f>'[1]prior year'!T71</f>
        <v>0</v>
      </c>
      <c r="C513" s="339">
        <f>T71</f>
        <v>0</v>
      </c>
      <c r="D513" s="333" t="s">
        <v>529</v>
      </c>
      <c r="E513" s="333" t="s">
        <v>529</v>
      </c>
      <c r="F513" s="340" t="str">
        <f t="shared" si="17"/>
        <v/>
      </c>
      <c r="G513" s="340" t="str">
        <f t="shared" si="17"/>
        <v/>
      </c>
      <c r="H513" s="341" t="str">
        <f t="shared" si="16"/>
        <v/>
      </c>
      <c r="I513" s="267"/>
      <c r="J513" s="2"/>
      <c r="K513" s="337"/>
      <c r="L513" s="337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">
      <c r="A514" s="2" t="s">
        <v>530</v>
      </c>
      <c r="B514" s="339">
        <f>'[1]prior year'!U71</f>
        <v>162001</v>
      </c>
      <c r="C514" s="339">
        <f>U71</f>
        <v>164225</v>
      </c>
      <c r="D514" s="339">
        <f>'[1]prior year'!U59</f>
        <v>97213</v>
      </c>
      <c r="E514" s="2">
        <f>U59</f>
        <v>94261</v>
      </c>
      <c r="F514" s="340">
        <f t="shared" si="17"/>
        <v>1.6664540750722641</v>
      </c>
      <c r="G514" s="340">
        <f t="shared" si="17"/>
        <v>1.7422369802993816</v>
      </c>
      <c r="H514" s="341" t="str">
        <f t="shared" si="16"/>
        <v/>
      </c>
      <c r="I514" s="267"/>
      <c r="J514" s="2"/>
      <c r="K514" s="337"/>
      <c r="L514" s="337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">
      <c r="A515" s="2" t="s">
        <v>531</v>
      </c>
      <c r="B515" s="339">
        <f>'[1]prior year'!V71</f>
        <v>0</v>
      </c>
      <c r="C515" s="339">
        <f>V71</f>
        <v>0</v>
      </c>
      <c r="D515" s="339">
        <f>'[1]prior year'!V59</f>
        <v>0</v>
      </c>
      <c r="E515" s="2">
        <f>V59</f>
        <v>0</v>
      </c>
      <c r="F515" s="340" t="str">
        <f t="shared" si="17"/>
        <v/>
      </c>
      <c r="G515" s="340" t="str">
        <f t="shared" si="17"/>
        <v/>
      </c>
      <c r="H515" s="341" t="str">
        <f t="shared" si="16"/>
        <v/>
      </c>
      <c r="I515" s="267"/>
      <c r="J515" s="2"/>
      <c r="K515" s="337"/>
      <c r="L515" s="337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">
      <c r="A516" s="2" t="s">
        <v>532</v>
      </c>
      <c r="B516" s="339">
        <f>'[1]prior year'!W71</f>
        <v>0</v>
      </c>
      <c r="C516" s="339">
        <f>W71</f>
        <v>0</v>
      </c>
      <c r="D516" s="339">
        <f>'[1]prior year'!W59</f>
        <v>25</v>
      </c>
      <c r="E516" s="2">
        <f>W59</f>
        <v>15</v>
      </c>
      <c r="F516" s="340" t="str">
        <f t="shared" si="17"/>
        <v/>
      </c>
      <c r="G516" s="340" t="str">
        <f t="shared" si="17"/>
        <v/>
      </c>
      <c r="H516" s="341" t="str">
        <f t="shared" si="16"/>
        <v/>
      </c>
      <c r="I516" s="267"/>
      <c r="J516" s="2"/>
      <c r="K516" s="337"/>
      <c r="L516" s="337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">
      <c r="A517" s="2" t="s">
        <v>533</v>
      </c>
      <c r="B517" s="339">
        <f>'[1]prior year'!X71</f>
        <v>0</v>
      </c>
      <c r="C517" s="339">
        <f>X71</f>
        <v>0</v>
      </c>
      <c r="D517" s="339">
        <f>'[1]prior year'!X59</f>
        <v>137</v>
      </c>
      <c r="E517" s="2">
        <f>X59</f>
        <v>89</v>
      </c>
      <c r="F517" s="340" t="str">
        <f t="shared" si="17"/>
        <v/>
      </c>
      <c r="G517" s="340" t="str">
        <f t="shared" si="17"/>
        <v/>
      </c>
      <c r="H517" s="341" t="str">
        <f t="shared" si="16"/>
        <v/>
      </c>
      <c r="I517" s="267"/>
      <c r="J517" s="2"/>
      <c r="K517" s="337"/>
      <c r="L517" s="337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">
      <c r="A518" s="2" t="s">
        <v>534</v>
      </c>
      <c r="B518" s="339">
        <f>'[1]prior year'!Y71</f>
        <v>33826</v>
      </c>
      <c r="C518" s="339">
        <f>Y71</f>
        <v>25230</v>
      </c>
      <c r="D518" s="339">
        <f>'[1]prior year'!Y59</f>
        <v>226</v>
      </c>
      <c r="E518" s="2">
        <f>Y59</f>
        <v>153</v>
      </c>
      <c r="F518" s="340">
        <f t="shared" si="17"/>
        <v>149.67256637168143</v>
      </c>
      <c r="G518" s="340">
        <f t="shared" si="17"/>
        <v>164.90196078431373</v>
      </c>
      <c r="H518" s="341" t="str">
        <f t="shared" si="16"/>
        <v/>
      </c>
      <c r="I518" s="267"/>
      <c r="J518" s="2"/>
      <c r="K518" s="337"/>
      <c r="L518" s="337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">
      <c r="A519" s="2" t="s">
        <v>535</v>
      </c>
      <c r="B519" s="339">
        <f>'[1]prior year'!Z71</f>
        <v>0</v>
      </c>
      <c r="C519" s="339">
        <f>Z71</f>
        <v>0</v>
      </c>
      <c r="D519" s="339">
        <f>'[1]prior year'!Z59</f>
        <v>0</v>
      </c>
      <c r="E519" s="2">
        <f>Z59</f>
        <v>0</v>
      </c>
      <c r="F519" s="340" t="str">
        <f t="shared" si="17"/>
        <v/>
      </c>
      <c r="G519" s="340" t="str">
        <f t="shared" si="17"/>
        <v/>
      </c>
      <c r="H519" s="341" t="str">
        <f t="shared" si="16"/>
        <v/>
      </c>
      <c r="I519" s="267"/>
      <c r="J519" s="2"/>
      <c r="K519" s="337"/>
      <c r="L519" s="337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">
      <c r="A520" s="2" t="s">
        <v>536</v>
      </c>
      <c r="B520" s="339">
        <f>'[1]prior year'!AA71</f>
        <v>0</v>
      </c>
      <c r="C520" s="339">
        <f>AA71</f>
        <v>0</v>
      </c>
      <c r="D520" s="339">
        <f>'[1]prior year'!AA59</f>
        <v>4</v>
      </c>
      <c r="E520" s="2">
        <f>AA59</f>
        <v>1</v>
      </c>
      <c r="F520" s="340" t="str">
        <f t="shared" si="17"/>
        <v/>
      </c>
      <c r="G520" s="340" t="str">
        <f t="shared" si="17"/>
        <v/>
      </c>
      <c r="H520" s="341" t="str">
        <f t="shared" si="16"/>
        <v/>
      </c>
      <c r="I520" s="267"/>
      <c r="J520" s="2"/>
      <c r="K520" s="337"/>
      <c r="L520" s="337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">
      <c r="A521" s="2" t="s">
        <v>537</v>
      </c>
      <c r="B521" s="339">
        <f>'[1]prior year'!AB71</f>
        <v>1430198</v>
      </c>
      <c r="C521" s="339">
        <f>AB71</f>
        <v>1528269</v>
      </c>
      <c r="D521" s="333" t="s">
        <v>529</v>
      </c>
      <c r="E521" s="333" t="s">
        <v>529</v>
      </c>
      <c r="F521" s="340" t="str">
        <f t="shared" si="17"/>
        <v/>
      </c>
      <c r="G521" s="340" t="str">
        <f t="shared" si="17"/>
        <v/>
      </c>
      <c r="H521" s="341" t="str">
        <f t="shared" si="16"/>
        <v/>
      </c>
      <c r="I521" s="267"/>
      <c r="J521" s="2"/>
      <c r="K521" s="337"/>
      <c r="L521" s="337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">
      <c r="A522" s="2" t="s">
        <v>538</v>
      </c>
      <c r="B522" s="339">
        <f>'[1]prior year'!AC71</f>
        <v>643589</v>
      </c>
      <c r="C522" s="339">
        <f>AC71</f>
        <v>648555</v>
      </c>
      <c r="D522" s="339">
        <f>'[1]prior year'!AC59</f>
        <v>8219</v>
      </c>
      <c r="E522" s="2">
        <f>AC59</f>
        <v>7195</v>
      </c>
      <c r="F522" s="340">
        <f t="shared" si="17"/>
        <v>78.305024942207083</v>
      </c>
      <c r="G522" s="340">
        <f t="shared" si="17"/>
        <v>90.139680333564982</v>
      </c>
      <c r="H522" s="341" t="str">
        <f t="shared" si="16"/>
        <v/>
      </c>
      <c r="I522" s="267"/>
      <c r="J522" s="2"/>
      <c r="K522" s="337"/>
      <c r="L522" s="337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">
      <c r="A523" s="2" t="s">
        <v>539</v>
      </c>
      <c r="B523" s="339">
        <f>'[1]prior year'!AD71</f>
        <v>0</v>
      </c>
      <c r="C523" s="339">
        <f>AD71</f>
        <v>0</v>
      </c>
      <c r="D523" s="339">
        <f>'[1]prior year'!AD59</f>
        <v>0</v>
      </c>
      <c r="E523" s="2">
        <f>AD59</f>
        <v>0</v>
      </c>
      <c r="F523" s="340" t="str">
        <f t="shared" si="17"/>
        <v/>
      </c>
      <c r="G523" s="340" t="str">
        <f t="shared" si="17"/>
        <v/>
      </c>
      <c r="H523" s="341" t="str">
        <f t="shared" si="16"/>
        <v/>
      </c>
      <c r="I523" s="267"/>
      <c r="J523" s="2"/>
      <c r="K523" s="337"/>
      <c r="L523" s="337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">
      <c r="A524" s="2" t="s">
        <v>540</v>
      </c>
      <c r="B524" s="339">
        <f>'[1]prior year'!AE71</f>
        <v>3084563</v>
      </c>
      <c r="C524" s="339">
        <f>AE71</f>
        <v>2829478</v>
      </c>
      <c r="D524" s="339">
        <f>'[1]prior year'!AE59</f>
        <v>97520</v>
      </c>
      <c r="E524" s="2">
        <f>AE59</f>
        <v>87983</v>
      </c>
      <c r="F524" s="340">
        <f t="shared" si="17"/>
        <v>31.630055373256766</v>
      </c>
      <c r="G524" s="340">
        <f t="shared" si="17"/>
        <v>32.159371696805067</v>
      </c>
      <c r="H524" s="341" t="str">
        <f t="shared" si="16"/>
        <v/>
      </c>
      <c r="I524" s="267"/>
      <c r="J524" s="2"/>
      <c r="K524" s="337"/>
      <c r="L524" s="337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">
      <c r="A525" s="2" t="s">
        <v>541</v>
      </c>
      <c r="B525" s="339">
        <f>'[1]prior year'!AF71</f>
        <v>273452</v>
      </c>
      <c r="C525" s="339">
        <f>AF71</f>
        <v>282713</v>
      </c>
      <c r="D525" s="339">
        <f>'[1]prior year'!AF59</f>
        <v>10647</v>
      </c>
      <c r="E525" s="2">
        <f>AF59</f>
        <v>10977</v>
      </c>
      <c r="F525" s="340">
        <f t="shared" si="17"/>
        <v>25.683478914248145</v>
      </c>
      <c r="G525" s="340">
        <f t="shared" si="17"/>
        <v>25.755033251343718</v>
      </c>
      <c r="H525" s="341" t="str">
        <f t="shared" si="16"/>
        <v/>
      </c>
      <c r="I525" s="267"/>
      <c r="J525" s="2"/>
      <c r="K525" s="337"/>
      <c r="L525" s="337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">
      <c r="A526" s="2" t="s">
        <v>542</v>
      </c>
      <c r="B526" s="339">
        <f>'[1]prior year'!AG71</f>
        <v>0</v>
      </c>
      <c r="C526" s="339">
        <f>AG71</f>
        <v>0</v>
      </c>
      <c r="D526" s="339">
        <f>'[1]prior year'!AG59</f>
        <v>0</v>
      </c>
      <c r="E526" s="2">
        <f>AG59</f>
        <v>0</v>
      </c>
      <c r="F526" s="340" t="str">
        <f t="shared" si="17"/>
        <v/>
      </c>
      <c r="G526" s="340" t="str">
        <f t="shared" si="17"/>
        <v/>
      </c>
      <c r="H526" s="341" t="str">
        <f t="shared" si="16"/>
        <v/>
      </c>
      <c r="I526" s="267"/>
      <c r="J526" s="2"/>
      <c r="K526" s="337"/>
      <c r="L526" s="337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">
      <c r="A527" s="2" t="s">
        <v>543</v>
      </c>
      <c r="B527" s="339">
        <f>'[1]prior year'!AH71</f>
        <v>0</v>
      </c>
      <c r="C527" s="339">
        <f>AH71</f>
        <v>0</v>
      </c>
      <c r="D527" s="339">
        <f>'[1]prior year'!AH59</f>
        <v>0</v>
      </c>
      <c r="E527" s="2">
        <f>AH59</f>
        <v>0</v>
      </c>
      <c r="F527" s="340" t="str">
        <f t="shared" si="17"/>
        <v/>
      </c>
      <c r="G527" s="340" t="str">
        <f t="shared" si="17"/>
        <v/>
      </c>
      <c r="H527" s="341" t="str">
        <f t="shared" si="16"/>
        <v/>
      </c>
      <c r="I527" s="267"/>
      <c r="J527" s="2"/>
      <c r="K527" s="337"/>
      <c r="L527" s="337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">
      <c r="A528" s="2" t="s">
        <v>544</v>
      </c>
      <c r="B528" s="339">
        <f>'[1]prior year'!AI71</f>
        <v>0</v>
      </c>
      <c r="C528" s="339">
        <f>AI71</f>
        <v>0</v>
      </c>
      <c r="D528" s="339">
        <f>'[1]prior year'!AI59</f>
        <v>0</v>
      </c>
      <c r="E528" s="2">
        <f>AI59</f>
        <v>0</v>
      </c>
      <c r="F528" s="340" t="str">
        <f t="shared" ref="F528:G540" si="18">IF(B528=0,"",IF(D528=0,"",B528/D528))</f>
        <v/>
      </c>
      <c r="G528" s="340" t="str">
        <f t="shared" si="18"/>
        <v/>
      </c>
      <c r="H528" s="341" t="str">
        <f t="shared" si="16"/>
        <v/>
      </c>
      <c r="I528" s="267"/>
      <c r="J528" s="2"/>
      <c r="K528" s="337"/>
      <c r="L528" s="337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">
      <c r="A529" s="2" t="s">
        <v>545</v>
      </c>
      <c r="B529" s="339">
        <f>'[1]prior year'!AJ71</f>
        <v>8813546.2599999998</v>
      </c>
      <c r="C529" s="339">
        <f>AJ71</f>
        <v>3746904</v>
      </c>
      <c r="D529" s="339">
        <f>'[1]prior year'!AJ59</f>
        <v>58575</v>
      </c>
      <c r="E529" s="2">
        <f>AJ59</f>
        <v>36494</v>
      </c>
      <c r="F529" s="340">
        <f t="shared" si="18"/>
        <v>150.46600529236022</v>
      </c>
      <c r="G529" s="340">
        <f t="shared" si="18"/>
        <v>102.67178166273908</v>
      </c>
      <c r="H529" s="341">
        <f>IF(B529=0,"",IF(C529=0,"",IF(D529=0,"",IF(E529=0,"",IF(G529/F529-1&lt;-0.25,G529/F529-1,IF(G529/F529-1&gt;0.25,G529/F529-1,""))))))</f>
        <v>-0.31764134055898841</v>
      </c>
      <c r="I529" s="267"/>
      <c r="J529" s="2"/>
      <c r="K529" s="337"/>
      <c r="L529" s="337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">
      <c r="A530" s="2" t="s">
        <v>546</v>
      </c>
      <c r="B530" s="339">
        <f>'[1]prior year'!AK71</f>
        <v>1771438.5</v>
      </c>
      <c r="C530" s="339">
        <f>AK71</f>
        <v>1714739</v>
      </c>
      <c r="D530" s="339">
        <f>'[1]prior year'!AK59</f>
        <v>104962</v>
      </c>
      <c r="E530" s="2">
        <f>AK59</f>
        <v>102221</v>
      </c>
      <c r="F530" s="340">
        <f t="shared" si="18"/>
        <v>16.876950705969779</v>
      </c>
      <c r="G530" s="340">
        <f t="shared" si="18"/>
        <v>16.774821220688509</v>
      </c>
      <c r="H530" s="341" t="str">
        <f t="shared" si="16"/>
        <v/>
      </c>
      <c r="I530" s="267"/>
      <c r="J530" s="2"/>
      <c r="K530" s="337"/>
      <c r="L530" s="337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">
      <c r="A531" s="2" t="s">
        <v>547</v>
      </c>
      <c r="B531" s="339">
        <f>'[1]prior year'!AL71</f>
        <v>729363</v>
      </c>
      <c r="C531" s="339">
        <f>AL71</f>
        <v>772161</v>
      </c>
      <c r="D531" s="339">
        <f>'[1]prior year'!AL59</f>
        <v>20781</v>
      </c>
      <c r="E531" s="2">
        <f>AL59</f>
        <v>20740</v>
      </c>
      <c r="F531" s="340">
        <f t="shared" si="18"/>
        <v>35.097589143929554</v>
      </c>
      <c r="G531" s="340">
        <f t="shared" si="18"/>
        <v>37.230520732883321</v>
      </c>
      <c r="H531" s="341" t="str">
        <f t="shared" si="16"/>
        <v/>
      </c>
      <c r="I531" s="267"/>
      <c r="J531" s="2"/>
      <c r="K531" s="337"/>
      <c r="L531" s="337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">
      <c r="A532" s="2" t="s">
        <v>548</v>
      </c>
      <c r="B532" s="339">
        <f>'[1]prior year'!AM71</f>
        <v>257228</v>
      </c>
      <c r="C532" s="339">
        <f>AM71</f>
        <v>255005</v>
      </c>
      <c r="D532" s="339">
        <f>'[1]prior year'!AM59</f>
        <v>15749</v>
      </c>
      <c r="E532" s="2">
        <f>AM59</f>
        <v>14990</v>
      </c>
      <c r="F532" s="340">
        <f t="shared" si="18"/>
        <v>16.332973522128388</v>
      </c>
      <c r="G532" s="340">
        <f t="shared" si="18"/>
        <v>17.011674449633087</v>
      </c>
      <c r="H532" s="341" t="str">
        <f t="shared" si="16"/>
        <v/>
      </c>
      <c r="I532" s="267"/>
      <c r="J532" s="2"/>
      <c r="K532" s="337"/>
      <c r="L532" s="337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">
      <c r="A533" s="2" t="s">
        <v>1246</v>
      </c>
      <c r="B533" s="339">
        <f>'[1]prior year'!AN71</f>
        <v>0</v>
      </c>
      <c r="C533" s="339">
        <f>AN71</f>
        <v>0</v>
      </c>
      <c r="D533" s="339">
        <f>'[1]prior year'!AN59</f>
        <v>0</v>
      </c>
      <c r="E533" s="2">
        <f>AN59</f>
        <v>0</v>
      </c>
      <c r="F533" s="340" t="str">
        <f t="shared" si="18"/>
        <v/>
      </c>
      <c r="G533" s="340" t="str">
        <f t="shared" si="18"/>
        <v/>
      </c>
      <c r="H533" s="341" t="str">
        <f t="shared" si="16"/>
        <v/>
      </c>
      <c r="I533" s="267"/>
      <c r="J533" s="2"/>
      <c r="K533" s="337"/>
      <c r="L533" s="337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">
      <c r="A534" s="2" t="s">
        <v>549</v>
      </c>
      <c r="B534" s="339">
        <f>'[1]prior year'!AO71</f>
        <v>0</v>
      </c>
      <c r="C534" s="339">
        <f>AO71</f>
        <v>0</v>
      </c>
      <c r="D534" s="339">
        <f>'[1]prior year'!AO59</f>
        <v>0</v>
      </c>
      <c r="E534" s="2">
        <f>AO59</f>
        <v>0</v>
      </c>
      <c r="F534" s="340" t="str">
        <f t="shared" si="18"/>
        <v/>
      </c>
      <c r="G534" s="340" t="str">
        <f t="shared" si="18"/>
        <v/>
      </c>
      <c r="H534" s="341" t="str">
        <f t="shared" si="16"/>
        <v/>
      </c>
      <c r="I534" s="267"/>
      <c r="J534" s="2"/>
      <c r="K534" s="337"/>
      <c r="L534" s="337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">
      <c r="A535" s="2" t="s">
        <v>550</v>
      </c>
      <c r="B535" s="339">
        <f>'[1]prior year'!AP71</f>
        <v>4071312.88</v>
      </c>
      <c r="C535" s="339">
        <f>AP71</f>
        <v>2740068</v>
      </c>
      <c r="D535" s="339">
        <f>'[1]prior year'!AP59</f>
        <v>48710</v>
      </c>
      <c r="E535" s="2">
        <f>AP59</f>
        <v>27451</v>
      </c>
      <c r="F535" s="340">
        <f t="shared" si="18"/>
        <v>83.582691028536232</v>
      </c>
      <c r="G535" s="340">
        <f t="shared" si="18"/>
        <v>99.816691559506026</v>
      </c>
      <c r="H535" s="341" t="str">
        <f t="shared" si="16"/>
        <v/>
      </c>
      <c r="I535" s="267"/>
      <c r="J535" s="2"/>
      <c r="K535" s="337"/>
      <c r="L535" s="337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">
      <c r="A536" s="2" t="s">
        <v>551</v>
      </c>
      <c r="B536" s="339">
        <f>'[1]prior year'!AQ71</f>
        <v>0</v>
      </c>
      <c r="C536" s="339">
        <f>AQ71</f>
        <v>0</v>
      </c>
      <c r="D536" s="339">
        <f>'[1]prior year'!AQ59</f>
        <v>0</v>
      </c>
      <c r="E536" s="2">
        <f>AQ59</f>
        <v>0</v>
      </c>
      <c r="F536" s="340" t="str">
        <f t="shared" si="18"/>
        <v/>
      </c>
      <c r="G536" s="340" t="str">
        <f t="shared" si="18"/>
        <v/>
      </c>
      <c r="H536" s="341" t="str">
        <f t="shared" si="16"/>
        <v/>
      </c>
      <c r="I536" s="267"/>
      <c r="J536" s="2"/>
      <c r="K536" s="337"/>
      <c r="L536" s="337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">
      <c r="A537" s="2" t="s">
        <v>552</v>
      </c>
      <c r="B537" s="339">
        <f>'[1]prior year'!AR71</f>
        <v>0</v>
      </c>
      <c r="C537" s="339">
        <f>AR71</f>
        <v>0</v>
      </c>
      <c r="D537" s="339">
        <f>'[1]prior year'!AR59</f>
        <v>0</v>
      </c>
      <c r="E537" s="2">
        <f>AR59</f>
        <v>0</v>
      </c>
      <c r="F537" s="340" t="str">
        <f t="shared" si="18"/>
        <v/>
      </c>
      <c r="G537" s="340" t="str">
        <f t="shared" si="18"/>
        <v/>
      </c>
      <c r="H537" s="341" t="str">
        <f t="shared" si="16"/>
        <v/>
      </c>
      <c r="I537" s="267"/>
      <c r="J537" s="2"/>
      <c r="K537" s="337"/>
      <c r="L537" s="337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">
      <c r="A538" s="2" t="s">
        <v>553</v>
      </c>
      <c r="B538" s="339">
        <f>'[1]prior year'!AS71</f>
        <v>0</v>
      </c>
      <c r="C538" s="339">
        <f>AS71</f>
        <v>0</v>
      </c>
      <c r="D538" s="339">
        <f>'[1]prior year'!AS59</f>
        <v>0</v>
      </c>
      <c r="E538" s="2">
        <f>AS59</f>
        <v>0</v>
      </c>
      <c r="F538" s="340" t="str">
        <f t="shared" si="18"/>
        <v/>
      </c>
      <c r="G538" s="340" t="str">
        <f t="shared" si="18"/>
        <v/>
      </c>
      <c r="H538" s="341" t="str">
        <f t="shared" si="16"/>
        <v/>
      </c>
      <c r="I538" s="267"/>
      <c r="J538" s="2"/>
      <c r="K538" s="337"/>
      <c r="L538" s="337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">
      <c r="A539" s="2" t="s">
        <v>554</v>
      </c>
      <c r="B539" s="339">
        <f>'[1]prior year'!AT71</f>
        <v>0</v>
      </c>
      <c r="C539" s="339">
        <f>AT71</f>
        <v>0</v>
      </c>
      <c r="D539" s="339">
        <f>'[1]prior year'!AT59</f>
        <v>0</v>
      </c>
      <c r="E539" s="2">
        <f>AT59</f>
        <v>0</v>
      </c>
      <c r="F539" s="340" t="str">
        <f t="shared" si="18"/>
        <v/>
      </c>
      <c r="G539" s="340" t="str">
        <f t="shared" si="18"/>
        <v/>
      </c>
      <c r="H539" s="341" t="str">
        <f t="shared" si="16"/>
        <v/>
      </c>
      <c r="I539" s="267"/>
      <c r="J539" s="2"/>
      <c r="K539" s="337"/>
      <c r="L539" s="337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">
      <c r="A540" s="2" t="s">
        <v>555</v>
      </c>
      <c r="B540" s="339">
        <f>'[1]prior year'!AU71</f>
        <v>0</v>
      </c>
      <c r="C540" s="339">
        <f>AU71</f>
        <v>0</v>
      </c>
      <c r="D540" s="339">
        <f>'[1]prior year'!AU59</f>
        <v>0</v>
      </c>
      <c r="E540" s="2">
        <f>AU59</f>
        <v>0</v>
      </c>
      <c r="F540" s="340" t="str">
        <f t="shared" si="18"/>
        <v/>
      </c>
      <c r="G540" s="340" t="str">
        <f t="shared" si="18"/>
        <v/>
      </c>
      <c r="H540" s="341" t="str">
        <f t="shared" si="16"/>
        <v/>
      </c>
      <c r="I540" s="267"/>
      <c r="J540" s="2"/>
      <c r="K540" s="337"/>
      <c r="L540" s="337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">
      <c r="A541" s="2" t="s">
        <v>556</v>
      </c>
      <c r="B541" s="339">
        <f>'[1]prior year'!AV71</f>
        <v>152057</v>
      </c>
      <c r="C541" s="339">
        <f>AV71</f>
        <v>134438</v>
      </c>
      <c r="D541" s="333" t="s">
        <v>529</v>
      </c>
      <c r="E541" s="333" t="s">
        <v>529</v>
      </c>
      <c r="F541" s="340"/>
      <c r="G541" s="340"/>
      <c r="H541" s="341"/>
      <c r="I541" s="267"/>
      <c r="J541" s="2"/>
      <c r="K541" s="337"/>
      <c r="L541" s="337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">
      <c r="A542" s="2" t="s">
        <v>1247</v>
      </c>
      <c r="B542" s="339">
        <f>'[1]prior year'!AW71</f>
        <v>160483</v>
      </c>
      <c r="C542" s="339">
        <f>AW71</f>
        <v>163380</v>
      </c>
      <c r="D542" s="333" t="s">
        <v>529</v>
      </c>
      <c r="E542" s="333" t="s">
        <v>529</v>
      </c>
      <c r="F542" s="340"/>
      <c r="G542" s="340"/>
      <c r="H542" s="341"/>
      <c r="I542" s="267"/>
      <c r="J542" s="2"/>
      <c r="K542" s="337"/>
      <c r="L542" s="337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">
      <c r="A543" s="2" t="s">
        <v>557</v>
      </c>
      <c r="B543" s="339">
        <f>'[1]prior year'!AX71</f>
        <v>0</v>
      </c>
      <c r="C543" s="339">
        <f>AX71</f>
        <v>0</v>
      </c>
      <c r="D543" s="333" t="s">
        <v>529</v>
      </c>
      <c r="E543" s="333" t="s">
        <v>529</v>
      </c>
      <c r="F543" s="340"/>
      <c r="G543" s="340"/>
      <c r="H543" s="341"/>
      <c r="I543" s="267"/>
      <c r="J543" s="2"/>
      <c r="K543" s="337"/>
      <c r="L543" s="337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">
      <c r="A544" s="2" t="s">
        <v>558</v>
      </c>
      <c r="B544" s="339">
        <f>'[1]prior year'!AY71</f>
        <v>1896782</v>
      </c>
      <c r="C544" s="339">
        <f>AY71</f>
        <v>1823436</v>
      </c>
      <c r="D544" s="339">
        <f>'[1]prior year'!AY59</f>
        <v>59439</v>
      </c>
      <c r="E544" s="2">
        <f>AY59</f>
        <v>58849</v>
      </c>
      <c r="F544" s="340">
        <f t="shared" ref="F544:G550" si="19">IF(B544=0,"",IF(D544=0,"",B544/D544))</f>
        <v>31.911404969800973</v>
      </c>
      <c r="G544" s="340">
        <f t="shared" si="19"/>
        <v>30.984995496949821</v>
      </c>
      <c r="H544" s="341" t="str">
        <f>IF(B544=0,"",IF(C544=0,"",IF(D544=0,"",IF(E544=0,"",IF(G544/F544-1&lt;-0.25,G544/F544-1,IF(G544/F544-1&gt;0.25,G544/F544-1,""))))))</f>
        <v/>
      </c>
      <c r="I544" s="267"/>
      <c r="J544" s="2"/>
      <c r="K544" s="337"/>
      <c r="L544" s="337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">
      <c r="A545" s="2" t="s">
        <v>559</v>
      </c>
      <c r="B545" s="339">
        <f>'[1]prior year'!AZ71</f>
        <v>-382506</v>
      </c>
      <c r="C545" s="339">
        <f>AZ71</f>
        <v>-237031</v>
      </c>
      <c r="D545" s="339">
        <f>'[1]prior year'!AZ59</f>
        <v>0</v>
      </c>
      <c r="E545" s="2">
        <f>AZ59</f>
        <v>0</v>
      </c>
      <c r="F545" s="340" t="str">
        <f t="shared" si="19"/>
        <v/>
      </c>
      <c r="G545" s="340" t="str">
        <f t="shared" si="19"/>
        <v/>
      </c>
      <c r="H545" s="341" t="str">
        <f t="shared" si="16"/>
        <v/>
      </c>
      <c r="I545" s="267"/>
      <c r="J545" s="2"/>
      <c r="K545" s="337"/>
      <c r="L545" s="337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">
      <c r="A546" s="2" t="s">
        <v>560</v>
      </c>
      <c r="B546" s="339">
        <f>'[1]prior year'!BA71</f>
        <v>159313</v>
      </c>
      <c r="C546" s="339">
        <f>BA71</f>
        <v>141252</v>
      </c>
      <c r="D546" s="339">
        <f>'[1]prior year'!BA59</f>
        <v>0</v>
      </c>
      <c r="E546" s="2">
        <f>BA59</f>
        <v>0</v>
      </c>
      <c r="F546" s="340" t="str">
        <f t="shared" si="19"/>
        <v/>
      </c>
      <c r="G546" s="340" t="str">
        <f t="shared" si="19"/>
        <v/>
      </c>
      <c r="H546" s="341" t="str">
        <f t="shared" si="16"/>
        <v/>
      </c>
      <c r="I546" s="267"/>
      <c r="J546" s="2"/>
      <c r="K546" s="337"/>
      <c r="L546" s="337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">
      <c r="A547" s="2" t="s">
        <v>561</v>
      </c>
      <c r="B547" s="339">
        <f>'[1]prior year'!BB71</f>
        <v>1059483</v>
      </c>
      <c r="C547" s="339">
        <f>BB71</f>
        <v>997873</v>
      </c>
      <c r="D547" s="333" t="s">
        <v>529</v>
      </c>
      <c r="E547" s="333" t="s">
        <v>529</v>
      </c>
      <c r="F547" s="340"/>
      <c r="G547" s="340"/>
      <c r="H547" s="341"/>
      <c r="I547" s="267"/>
      <c r="J547" s="2"/>
      <c r="K547" s="337"/>
      <c r="L547" s="337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">
      <c r="A548" s="2" t="s">
        <v>562</v>
      </c>
      <c r="B548" s="339">
        <f>'[1]prior year'!BC71</f>
        <v>104119</v>
      </c>
      <c r="C548" s="339">
        <f>BC71</f>
        <v>103046</v>
      </c>
      <c r="D548" s="333" t="s">
        <v>529</v>
      </c>
      <c r="E548" s="333" t="s">
        <v>529</v>
      </c>
      <c r="F548" s="340"/>
      <c r="G548" s="340"/>
      <c r="H548" s="341"/>
      <c r="I548" s="267"/>
      <c r="J548" s="2"/>
      <c r="K548" s="337"/>
      <c r="L548" s="337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">
      <c r="A549" s="2" t="s">
        <v>563</v>
      </c>
      <c r="B549" s="339">
        <f>'[1]prior year'!BD71</f>
        <v>0</v>
      </c>
      <c r="C549" s="339">
        <f>BD71</f>
        <v>0</v>
      </c>
      <c r="D549" s="333" t="s">
        <v>529</v>
      </c>
      <c r="E549" s="333" t="s">
        <v>529</v>
      </c>
      <c r="F549" s="340"/>
      <c r="G549" s="340"/>
      <c r="H549" s="341"/>
      <c r="I549" s="267"/>
      <c r="J549" s="2"/>
      <c r="K549" s="337"/>
      <c r="L549" s="337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">
      <c r="A550" s="2" t="s">
        <v>564</v>
      </c>
      <c r="B550" s="339">
        <f>'[1]prior year'!BE71</f>
        <v>2305595.21</v>
      </c>
      <c r="C550" s="339">
        <f>BE71</f>
        <v>2481582</v>
      </c>
      <c r="D550" s="339">
        <f>'[1]prior year'!BE59</f>
        <v>190169</v>
      </c>
      <c r="E550" s="2">
        <f>BE59</f>
        <v>180994</v>
      </c>
      <c r="F550" s="340">
        <f t="shared" si="19"/>
        <v>12.123927716925472</v>
      </c>
      <c r="G550" s="340">
        <f t="shared" si="19"/>
        <v>13.710852293446191</v>
      </c>
      <c r="H550" s="341" t="str">
        <f>IF(B550=0,"",IF(C550=0,"",IF(D550=0,"",IF(E550=0,"",IF(G550/F550-1&lt;-0.25,G550/F550-1,IF(G550/F550-1&gt;0.25,G550/F550-1,""))))))</f>
        <v/>
      </c>
      <c r="I550" s="267"/>
      <c r="J550" s="2"/>
      <c r="K550" s="337"/>
      <c r="L550" s="337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">
      <c r="A551" s="2" t="s">
        <v>565</v>
      </c>
      <c r="B551" s="339">
        <f>'[1]prior year'!BF71</f>
        <v>758376</v>
      </c>
      <c r="C551" s="339">
        <f>BF71</f>
        <v>767470</v>
      </c>
      <c r="D551" s="333" t="s">
        <v>529</v>
      </c>
      <c r="E551" s="333" t="s">
        <v>529</v>
      </c>
      <c r="F551" s="340"/>
      <c r="G551" s="340"/>
      <c r="H551" s="341"/>
      <c r="I551" s="267"/>
      <c r="J551" s="328"/>
      <c r="K551" s="2"/>
      <c r="L551" s="2"/>
      <c r="M551" s="341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">
      <c r="A552" s="2" t="s">
        <v>566</v>
      </c>
      <c r="B552" s="339">
        <f>'[1]prior year'!BG71</f>
        <v>151594</v>
      </c>
      <c r="C552" s="339">
        <f>BG71</f>
        <v>166799</v>
      </c>
      <c r="D552" s="333" t="s">
        <v>529</v>
      </c>
      <c r="E552" s="333" t="s">
        <v>529</v>
      </c>
      <c r="F552" s="340"/>
      <c r="G552" s="340"/>
      <c r="H552" s="341"/>
      <c r="I552" s="2"/>
      <c r="J552" s="328"/>
      <c r="K552" s="2"/>
      <c r="L552" s="2"/>
      <c r="M552" s="341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">
      <c r="A553" s="2" t="s">
        <v>567</v>
      </c>
      <c r="B553" s="339">
        <f>'[1]prior year'!BH71</f>
        <v>0</v>
      </c>
      <c r="C553" s="339">
        <f>BH71</f>
        <v>0</v>
      </c>
      <c r="D553" s="333" t="s">
        <v>529</v>
      </c>
      <c r="E553" s="333" t="s">
        <v>529</v>
      </c>
      <c r="F553" s="340"/>
      <c r="G553" s="340"/>
      <c r="H553" s="341"/>
      <c r="I553" s="2"/>
      <c r="J553" s="328"/>
      <c r="K553" s="2"/>
      <c r="L553" s="2"/>
      <c r="M553" s="341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">
      <c r="A554" s="2" t="s">
        <v>568</v>
      </c>
      <c r="B554" s="339">
        <f>'[1]prior year'!BI71</f>
        <v>0</v>
      </c>
      <c r="C554" s="339">
        <f>BI71</f>
        <v>8602</v>
      </c>
      <c r="D554" s="333" t="s">
        <v>529</v>
      </c>
      <c r="E554" s="333" t="s">
        <v>529</v>
      </c>
      <c r="F554" s="340"/>
      <c r="G554" s="340"/>
      <c r="H554" s="341"/>
      <c r="I554" s="2"/>
      <c r="J554" s="328"/>
      <c r="K554" s="2"/>
      <c r="L554" s="2"/>
      <c r="M554" s="341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">
      <c r="A555" s="2" t="s">
        <v>569</v>
      </c>
      <c r="B555" s="339">
        <f>'[1]prior year'!BJ71</f>
        <v>0</v>
      </c>
      <c r="C555" s="339">
        <f>BJ71</f>
        <v>0</v>
      </c>
      <c r="D555" s="333" t="s">
        <v>529</v>
      </c>
      <c r="E555" s="333" t="s">
        <v>529</v>
      </c>
      <c r="F555" s="340"/>
      <c r="G555" s="340"/>
      <c r="H555" s="341"/>
      <c r="I555" s="2"/>
      <c r="J555" s="328"/>
      <c r="K555" s="2"/>
      <c r="L555" s="2"/>
      <c r="M555" s="341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">
      <c r="A556" s="2" t="s">
        <v>570</v>
      </c>
      <c r="B556" s="339">
        <f>'[1]prior year'!BK71</f>
        <v>707587</v>
      </c>
      <c r="C556" s="339">
        <f>BK71</f>
        <v>866271</v>
      </c>
      <c r="D556" s="333" t="s">
        <v>529</v>
      </c>
      <c r="E556" s="333" t="s">
        <v>529</v>
      </c>
      <c r="F556" s="340"/>
      <c r="G556" s="340"/>
      <c r="H556" s="341"/>
      <c r="I556" s="2"/>
      <c r="J556" s="328"/>
      <c r="K556" s="2"/>
      <c r="L556" s="2"/>
      <c r="M556" s="341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">
      <c r="A557" s="2" t="s">
        <v>571</v>
      </c>
      <c r="B557" s="339">
        <f>'[1]prior year'!BL71</f>
        <v>1236372</v>
      </c>
      <c r="C557" s="339">
        <f>BL71</f>
        <v>975614</v>
      </c>
      <c r="D557" s="333" t="s">
        <v>529</v>
      </c>
      <c r="E557" s="333" t="s">
        <v>529</v>
      </c>
      <c r="F557" s="340"/>
      <c r="G557" s="340"/>
      <c r="H557" s="341"/>
      <c r="I557" s="2"/>
      <c r="J557" s="328"/>
      <c r="K557" s="2"/>
      <c r="L557" s="2"/>
      <c r="M557" s="34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">
      <c r="A558" s="2" t="s">
        <v>572</v>
      </c>
      <c r="B558" s="339">
        <f>'[1]prior year'!BM71</f>
        <v>0</v>
      </c>
      <c r="C558" s="339">
        <f>BM71</f>
        <v>0</v>
      </c>
      <c r="D558" s="333" t="s">
        <v>529</v>
      </c>
      <c r="E558" s="333" t="s">
        <v>529</v>
      </c>
      <c r="F558" s="340"/>
      <c r="G558" s="340"/>
      <c r="H558" s="341"/>
      <c r="I558" s="2"/>
      <c r="J558" s="328"/>
      <c r="K558" s="2"/>
      <c r="L558" s="2"/>
      <c r="M558" s="34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">
      <c r="A559" s="2" t="s">
        <v>573</v>
      </c>
      <c r="B559" s="339">
        <f>'[1]prior year'!BN71</f>
        <v>4552723.97</v>
      </c>
      <c r="C559" s="339">
        <f>BN71</f>
        <v>2905013</v>
      </c>
      <c r="D559" s="333" t="s">
        <v>529</v>
      </c>
      <c r="E559" s="333" t="s">
        <v>529</v>
      </c>
      <c r="F559" s="340"/>
      <c r="G559" s="340"/>
      <c r="H559" s="341"/>
      <c r="I559" s="2"/>
      <c r="J559" s="328"/>
      <c r="K559" s="2"/>
      <c r="L559" s="2"/>
      <c r="M559" s="34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">
      <c r="A560" s="2" t="s">
        <v>574</v>
      </c>
      <c r="B560" s="339">
        <f>'[1]prior year'!BO71</f>
        <v>2602</v>
      </c>
      <c r="C560" s="339">
        <f>BO71</f>
        <v>271</v>
      </c>
      <c r="D560" s="333" t="s">
        <v>529</v>
      </c>
      <c r="E560" s="333" t="s">
        <v>529</v>
      </c>
      <c r="F560" s="340"/>
      <c r="G560" s="340"/>
      <c r="H560" s="341"/>
      <c r="I560" s="2"/>
      <c r="J560" s="328"/>
      <c r="K560" s="2"/>
      <c r="L560" s="2"/>
      <c r="M560" s="34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">
      <c r="A561" s="2" t="s">
        <v>575</v>
      </c>
      <c r="B561" s="339">
        <f>'[1]prior year'!BP71</f>
        <v>16365</v>
      </c>
      <c r="C561" s="339">
        <f>BP71</f>
        <v>71622</v>
      </c>
      <c r="D561" s="333" t="s">
        <v>529</v>
      </c>
      <c r="E561" s="333" t="s">
        <v>529</v>
      </c>
      <c r="F561" s="340"/>
      <c r="G561" s="340"/>
      <c r="H561" s="341"/>
      <c r="I561" s="2"/>
      <c r="J561" s="328"/>
      <c r="K561" s="2"/>
      <c r="L561" s="2"/>
      <c r="M561" s="34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">
      <c r="A562" s="2" t="s">
        <v>576</v>
      </c>
      <c r="B562" s="339">
        <f>'[1]prior year'!BQ71</f>
        <v>0</v>
      </c>
      <c r="C562" s="339">
        <f>BQ71</f>
        <v>0</v>
      </c>
      <c r="D562" s="333" t="s">
        <v>529</v>
      </c>
      <c r="E562" s="333" t="s">
        <v>529</v>
      </c>
      <c r="F562" s="340"/>
      <c r="G562" s="340"/>
      <c r="H562" s="341"/>
      <c r="I562" s="2"/>
      <c r="J562" s="328"/>
      <c r="K562" s="2"/>
      <c r="L562" s="2"/>
      <c r="M562" s="34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">
      <c r="A563" s="2" t="s">
        <v>577</v>
      </c>
      <c r="B563" s="339">
        <f>'[1]prior year'!BR71</f>
        <v>0</v>
      </c>
      <c r="C563" s="339">
        <f>BR71</f>
        <v>0</v>
      </c>
      <c r="D563" s="333" t="s">
        <v>529</v>
      </c>
      <c r="E563" s="333" t="s">
        <v>529</v>
      </c>
      <c r="F563" s="340"/>
      <c r="G563" s="340"/>
      <c r="H563" s="341"/>
      <c r="I563" s="2"/>
      <c r="J563" s="328"/>
      <c r="K563" s="2"/>
      <c r="L563" s="2"/>
      <c r="M563" s="34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">
      <c r="A564" s="2" t="s">
        <v>1248</v>
      </c>
      <c r="B564" s="339">
        <f>'[1]prior year'!BS71</f>
        <v>14848</v>
      </c>
      <c r="C564" s="339">
        <f>BS71</f>
        <v>1466</v>
      </c>
      <c r="D564" s="333" t="s">
        <v>529</v>
      </c>
      <c r="E564" s="333" t="s">
        <v>529</v>
      </c>
      <c r="F564" s="340"/>
      <c r="G564" s="340"/>
      <c r="H564" s="341"/>
      <c r="I564" s="2"/>
      <c r="J564" s="328"/>
      <c r="K564" s="2"/>
      <c r="L564" s="2"/>
      <c r="M564" s="34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">
      <c r="A565" s="2" t="s">
        <v>578</v>
      </c>
      <c r="B565" s="339">
        <f>'[1]prior year'!BT71</f>
        <v>134545</v>
      </c>
      <c r="C565" s="339">
        <f>BT71</f>
        <v>119906</v>
      </c>
      <c r="D565" s="333" t="s">
        <v>529</v>
      </c>
      <c r="E565" s="333" t="s">
        <v>529</v>
      </c>
      <c r="F565" s="340"/>
      <c r="G565" s="340"/>
      <c r="H565" s="341"/>
      <c r="I565" s="2"/>
      <c r="J565" s="328"/>
      <c r="K565" s="2"/>
      <c r="L565" s="2"/>
      <c r="M565" s="34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">
      <c r="A566" s="2" t="s">
        <v>579</v>
      </c>
      <c r="B566" s="339">
        <f>'[1]prior year'!BU71</f>
        <v>0</v>
      </c>
      <c r="C566" s="339">
        <f>BU71</f>
        <v>0</v>
      </c>
      <c r="D566" s="333" t="s">
        <v>529</v>
      </c>
      <c r="E566" s="333" t="s">
        <v>529</v>
      </c>
      <c r="F566" s="340"/>
      <c r="G566" s="340"/>
      <c r="H566" s="341"/>
      <c r="I566" s="2"/>
      <c r="J566" s="328"/>
      <c r="K566" s="2"/>
      <c r="L566" s="2"/>
      <c r="M566" s="341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">
      <c r="A567" s="2" t="s">
        <v>580</v>
      </c>
      <c r="B567" s="339">
        <f>'[1]prior year'!BV71</f>
        <v>368356.18</v>
      </c>
      <c r="C567" s="339">
        <f>BV71</f>
        <v>347592</v>
      </c>
      <c r="D567" s="333" t="s">
        <v>529</v>
      </c>
      <c r="E567" s="333" t="s">
        <v>529</v>
      </c>
      <c r="F567" s="340"/>
      <c r="G567" s="340"/>
      <c r="H567" s="341"/>
      <c r="I567" s="2"/>
      <c r="J567" s="328"/>
      <c r="K567" s="2"/>
      <c r="L567" s="2"/>
      <c r="M567" s="341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">
      <c r="A568" s="2" t="s">
        <v>581</v>
      </c>
      <c r="B568" s="339">
        <f>'[1]prior year'!BW71</f>
        <v>970053.3</v>
      </c>
      <c r="C568" s="339">
        <f>BW71</f>
        <v>606079</v>
      </c>
      <c r="D568" s="333" t="s">
        <v>529</v>
      </c>
      <c r="E568" s="333" t="s">
        <v>529</v>
      </c>
      <c r="F568" s="340"/>
      <c r="G568" s="340"/>
      <c r="H568" s="341"/>
      <c r="I568" s="2"/>
      <c r="J568" s="328"/>
      <c r="K568" s="2"/>
      <c r="L568" s="2"/>
      <c r="M568" s="341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">
      <c r="A569" s="2" t="s">
        <v>582</v>
      </c>
      <c r="B569" s="339">
        <f>'[1]prior year'!BX71</f>
        <v>1505387</v>
      </c>
      <c r="C569" s="339">
        <f>BX71</f>
        <v>2169513</v>
      </c>
      <c r="D569" s="333" t="s">
        <v>529</v>
      </c>
      <c r="E569" s="333" t="s">
        <v>529</v>
      </c>
      <c r="F569" s="340"/>
      <c r="G569" s="340"/>
      <c r="H569" s="341"/>
      <c r="I569" s="2"/>
      <c r="J569" s="328"/>
      <c r="K569" s="2"/>
      <c r="L569" s="2"/>
      <c r="M569" s="341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">
      <c r="A570" s="2" t="s">
        <v>583</v>
      </c>
      <c r="B570" s="339">
        <f>'[1]prior year'!BY71</f>
        <v>66489</v>
      </c>
      <c r="C570" s="339">
        <f>BY71</f>
        <v>28594</v>
      </c>
      <c r="D570" s="333" t="s">
        <v>529</v>
      </c>
      <c r="E570" s="333" t="s">
        <v>529</v>
      </c>
      <c r="F570" s="340"/>
      <c r="G570" s="340"/>
      <c r="H570" s="341"/>
      <c r="I570" s="2"/>
      <c r="J570" s="328"/>
      <c r="K570" s="2"/>
      <c r="L570" s="2"/>
      <c r="M570" s="341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">
      <c r="A571" s="2" t="s">
        <v>584</v>
      </c>
      <c r="B571" s="339">
        <f>'[1]prior year'!BZ71</f>
        <v>0</v>
      </c>
      <c r="C571" s="339">
        <f>BZ71</f>
        <v>0</v>
      </c>
      <c r="D571" s="333" t="s">
        <v>529</v>
      </c>
      <c r="E571" s="333" t="s">
        <v>529</v>
      </c>
      <c r="F571" s="340"/>
      <c r="G571" s="340"/>
      <c r="H571" s="341"/>
      <c r="I571" s="2"/>
      <c r="J571" s="328"/>
      <c r="K571" s="2"/>
      <c r="L571" s="2"/>
      <c r="M571" s="341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">
      <c r="A572" s="2" t="s">
        <v>585</v>
      </c>
      <c r="B572" s="339">
        <f>'[1]prior year'!CA71</f>
        <v>5171</v>
      </c>
      <c r="C572" s="339">
        <f>CA71</f>
        <v>15</v>
      </c>
      <c r="D572" s="333" t="s">
        <v>529</v>
      </c>
      <c r="E572" s="333" t="s">
        <v>529</v>
      </c>
      <c r="F572" s="340"/>
      <c r="G572" s="340"/>
      <c r="H572" s="341"/>
      <c r="I572" s="2"/>
      <c r="J572" s="328"/>
      <c r="K572" s="2"/>
      <c r="L572" s="2"/>
      <c r="M572" s="34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">
      <c r="A573" s="2" t="s">
        <v>586</v>
      </c>
      <c r="B573" s="339">
        <f>'[1]prior year'!CB71</f>
        <v>-963</v>
      </c>
      <c r="C573" s="339">
        <f>CB71</f>
        <v>0</v>
      </c>
      <c r="D573" s="333" t="s">
        <v>529</v>
      </c>
      <c r="E573" s="333" t="s">
        <v>529</v>
      </c>
      <c r="F573" s="340"/>
      <c r="G573" s="340"/>
      <c r="H573" s="341"/>
      <c r="I573" s="2"/>
      <c r="J573" s="328"/>
      <c r="K573" s="2"/>
      <c r="L573" s="2"/>
      <c r="M573" s="341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">
      <c r="A574" s="2" t="s">
        <v>587</v>
      </c>
      <c r="B574" s="339">
        <f>'[1]prior year'!CC71</f>
        <v>32012</v>
      </c>
      <c r="C574" s="339">
        <f>CC71</f>
        <v>3302</v>
      </c>
      <c r="D574" s="333" t="s">
        <v>529</v>
      </c>
      <c r="E574" s="333" t="s">
        <v>529</v>
      </c>
      <c r="F574" s="340"/>
      <c r="G574" s="340"/>
      <c r="H574" s="341"/>
      <c r="I574" s="2"/>
      <c r="J574" s="328"/>
      <c r="K574" s="2"/>
      <c r="L574" s="2"/>
      <c r="M574" s="341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">
      <c r="A575" s="2" t="s">
        <v>588</v>
      </c>
      <c r="B575" s="339">
        <f>'[1]prior year'!CD71</f>
        <v>951535.37</v>
      </c>
      <c r="C575" s="339">
        <f>CD71</f>
        <v>-44966</v>
      </c>
      <c r="D575" s="333" t="s">
        <v>529</v>
      </c>
      <c r="E575" s="333" t="s">
        <v>529</v>
      </c>
      <c r="F575" s="340"/>
      <c r="G575" s="340"/>
      <c r="H575" s="34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41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41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41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">
      <c r="A612" s="342"/>
      <c r="B612" s="2"/>
      <c r="C612" s="333" t="s">
        <v>589</v>
      </c>
      <c r="D612" s="2">
        <f>CE76-(BE76+CD76)</f>
        <v>126820</v>
      </c>
      <c r="E612" s="2">
        <f>SUM(C624:D647)+SUM(C668:D713)</f>
        <v>40026111.362781897</v>
      </c>
      <c r="F612" s="2">
        <f>CE64-(AX64+BD64+BE64+BG64+BJ64+BN64+BP64+BQ64+CB64+CC64+CD64)</f>
        <v>1682234</v>
      </c>
      <c r="G612" s="2">
        <f>CE77-(AX77+AY77+BD77+BE77+BG77+BJ77+BN77+BP77+BQ77+CB77+CC77+CD77)</f>
        <v>58849</v>
      </c>
      <c r="H612" s="332">
        <f>CE60-(AX60+AY60+AZ60+BD60+BE60+BG60+BJ60+BN60+BO60+BP60+BQ60+BR60+CB60+CC60+CD60)</f>
        <v>356.5</v>
      </c>
      <c r="I612" s="2">
        <f>CE78-(AX78+AY78+AZ78+BD78+BE78+BF78+BG78+BJ78+BN78+BO78+BP78+BQ78+BR78+CB78+CC78+CD78)</f>
        <v>104896</v>
      </c>
      <c r="J612" s="2">
        <f>CE79-(AX79+AY79+AZ79+BA79+BD79+BE79+BF79+BG79+BJ79+BN79+BO79+BP79+BQ79+BR79+CB79+CC79+CD79)</f>
        <v>162361</v>
      </c>
      <c r="K612" s="2">
        <f>CE75-(AW75+AX75+AY75+AZ75+BA75+BB75+BC75+BD75+BE75+BF75+BG75+BH75+BI75+BJ75+BK75+BL75+BM75+BN75+BO75+BP75+BQ75+BR75+BS75+BT75+BU75+BV75+BW75+BX75+CB75+CC75+CD75)</f>
        <v>96643930</v>
      </c>
      <c r="L612" s="332">
        <f>CE80-(AW80+AX80+AY80+AZ80+BA80+BB80+BC80+BD80+BE80+BF80+BG80+BH80+BI80+BJ80+BK80+BL80+BM80+BN80+BO80+BP80+BQ80+BR80+BS80+BT80+BU80+BV80+BW80+BX80+BY80+BZ80+CA80+CB80+CC80+CD80)</f>
        <v>66.69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">
      <c r="A613" s="342"/>
      <c r="B613" s="2"/>
      <c r="C613" s="333" t="s">
        <v>590</v>
      </c>
      <c r="D613" s="333" t="s">
        <v>591</v>
      </c>
      <c r="E613" s="336" t="s">
        <v>592</v>
      </c>
      <c r="F613" s="333" t="s">
        <v>593</v>
      </c>
      <c r="G613" s="333" t="s">
        <v>594</v>
      </c>
      <c r="H613" s="333" t="s">
        <v>595</v>
      </c>
      <c r="I613" s="333" t="s">
        <v>596</v>
      </c>
      <c r="J613" s="333" t="s">
        <v>597</v>
      </c>
      <c r="K613" s="333" t="s">
        <v>598</v>
      </c>
      <c r="L613" s="336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">
      <c r="A614" s="342">
        <v>8430</v>
      </c>
      <c r="B614" s="336" t="s">
        <v>140</v>
      </c>
      <c r="C614" s="2">
        <f>BE71</f>
        <v>2481582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8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">
      <c r="A615" s="342"/>
      <c r="B615" s="336" t="s">
        <v>601</v>
      </c>
      <c r="C615" s="343">
        <f>CD69-CD70</f>
        <v>-44966</v>
      </c>
      <c r="D615" s="344">
        <f>SUM(C614:C615)</f>
        <v>2436616</v>
      </c>
      <c r="E615" s="2"/>
      <c r="F615" s="2"/>
      <c r="G615" s="2"/>
      <c r="H615" s="2"/>
      <c r="I615" s="2"/>
      <c r="J615" s="2"/>
      <c r="K615" s="2"/>
      <c r="L615" s="2"/>
      <c r="M615" s="2"/>
      <c r="N615" s="328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">
      <c r="A616" s="342">
        <v>8310</v>
      </c>
      <c r="B616" s="345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8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">
      <c r="A617" s="342">
        <v>8510</v>
      </c>
      <c r="B617" s="345" t="s">
        <v>145</v>
      </c>
      <c r="C617" s="2">
        <f>BJ71</f>
        <v>0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8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">
      <c r="A618" s="342">
        <v>8470</v>
      </c>
      <c r="B618" s="345" t="s">
        <v>606</v>
      </c>
      <c r="C618" s="2">
        <f>BG71</f>
        <v>166799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8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">
      <c r="A619" s="342">
        <v>8610</v>
      </c>
      <c r="B619" s="345" t="s">
        <v>608</v>
      </c>
      <c r="C619" s="2">
        <f>BN71</f>
        <v>2905013</v>
      </c>
      <c r="D619" s="2">
        <f>(D615/D612)*BN76</f>
        <v>283048.62728276296</v>
      </c>
      <c r="E619" s="2"/>
      <c r="F619" s="2"/>
      <c r="G619" s="2"/>
      <c r="H619" s="2"/>
      <c r="I619" s="2"/>
      <c r="J619" s="2"/>
      <c r="K619" s="2"/>
      <c r="L619" s="2"/>
      <c r="M619" s="2"/>
      <c r="N619" s="328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">
      <c r="A620" s="342">
        <v>8790</v>
      </c>
      <c r="B620" s="345" t="s">
        <v>610</v>
      </c>
      <c r="C620" s="2">
        <f>CC71</f>
        <v>3302</v>
      </c>
      <c r="D620" s="2">
        <f>(D615/D612)*CC76</f>
        <v>7301.0099353414289</v>
      </c>
      <c r="E620" s="2"/>
      <c r="F620" s="2"/>
      <c r="G620" s="2"/>
      <c r="H620" s="2"/>
      <c r="I620" s="2"/>
      <c r="J620" s="2"/>
      <c r="K620" s="2"/>
      <c r="L620" s="2"/>
      <c r="M620" s="2"/>
      <c r="N620" s="328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">
      <c r="A621" s="342">
        <v>8630</v>
      </c>
      <c r="B621" s="345" t="s">
        <v>612</v>
      </c>
      <c r="C621" s="2">
        <f>BP71</f>
        <v>71622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8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">
      <c r="A622" s="342">
        <v>8770</v>
      </c>
      <c r="B622" s="336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8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">
      <c r="A623" s="342">
        <v>8640</v>
      </c>
      <c r="B623" s="345" t="s">
        <v>616</v>
      </c>
      <c r="C623" s="2">
        <f>BQ71</f>
        <v>0</v>
      </c>
      <c r="D623" s="2">
        <f>(D615/D612)*BQ76</f>
        <v>0</v>
      </c>
      <c r="E623" s="2">
        <f>SUM(C616:D623)</f>
        <v>3437085.6372181042</v>
      </c>
      <c r="F623" s="2"/>
      <c r="G623" s="2"/>
      <c r="H623" s="2"/>
      <c r="I623" s="2"/>
      <c r="J623" s="2"/>
      <c r="K623" s="2"/>
      <c r="L623" s="2"/>
      <c r="M623" s="2"/>
      <c r="N623" s="328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">
      <c r="A624" s="342">
        <v>8420</v>
      </c>
      <c r="B624" s="345" t="s">
        <v>139</v>
      </c>
      <c r="C624" s="2">
        <f>BD71</f>
        <v>0</v>
      </c>
      <c r="D624" s="2">
        <f>(D615/D612)*BD76</f>
        <v>0</v>
      </c>
      <c r="E624" s="2">
        <f>(E623/E612)*SUM(C624:D624)</f>
        <v>0</v>
      </c>
      <c r="F624" s="2">
        <f>SUM(C624:E624)</f>
        <v>0</v>
      </c>
      <c r="G624" s="2"/>
      <c r="H624" s="2"/>
      <c r="I624" s="2"/>
      <c r="J624" s="2"/>
      <c r="K624" s="2"/>
      <c r="L624" s="2"/>
      <c r="M624" s="2"/>
      <c r="N624" s="328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">
      <c r="A625" s="342">
        <v>8320</v>
      </c>
      <c r="B625" s="345" t="s">
        <v>135</v>
      </c>
      <c r="C625" s="2">
        <f>AY71</f>
        <v>1823436</v>
      </c>
      <c r="D625" s="2">
        <f>(D615/D612)*AY76</f>
        <v>87785.037880460499</v>
      </c>
      <c r="E625" s="2">
        <f>(E623/E612)*SUM(C625:D625)</f>
        <v>164118.6254469924</v>
      </c>
      <c r="F625" s="2">
        <f>(F624/F612)*AY64</f>
        <v>0</v>
      </c>
      <c r="G625" s="2">
        <f>SUM(C625:F625)</f>
        <v>2075339.663327453</v>
      </c>
      <c r="H625" s="2"/>
      <c r="I625" s="2"/>
      <c r="J625" s="2"/>
      <c r="K625" s="2"/>
      <c r="L625" s="2"/>
      <c r="M625" s="2"/>
      <c r="N625" s="328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">
      <c r="A626" s="342">
        <v>8650</v>
      </c>
      <c r="B626" s="345" t="s">
        <v>152</v>
      </c>
      <c r="C626" s="2">
        <f>BR71</f>
        <v>0</v>
      </c>
      <c r="D626" s="2">
        <f>(D615/D612)*BR76</f>
        <v>0</v>
      </c>
      <c r="E626" s="2">
        <f>(E623/E612)*SUM(C626:D626)</f>
        <v>0</v>
      </c>
      <c r="F626" s="2">
        <f>(F624/F612)*BR64</f>
        <v>0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8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">
      <c r="A627" s="342">
        <v>8620</v>
      </c>
      <c r="B627" s="336" t="s">
        <v>621</v>
      </c>
      <c r="C627" s="2">
        <f>BO71</f>
        <v>271</v>
      </c>
      <c r="D627" s="2">
        <f>(D615/D612)*BO76</f>
        <v>0</v>
      </c>
      <c r="E627" s="2">
        <f>(E623/E612)*SUM(C627:D627)</f>
        <v>23.271064212153544</v>
      </c>
      <c r="F627" s="2">
        <f>(F624/F612)*BO64</f>
        <v>0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8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">
      <c r="A628" s="342">
        <v>8330</v>
      </c>
      <c r="B628" s="345" t="s">
        <v>136</v>
      </c>
      <c r="C628" s="2">
        <f>AZ71</f>
        <v>-237031</v>
      </c>
      <c r="D628" s="2">
        <f>(D615/D612)*AZ76</f>
        <v>33142.742469642013</v>
      </c>
      <c r="E628" s="2">
        <f>(E623/E612)*SUM(C628:D628)</f>
        <v>-17508.106026173649</v>
      </c>
      <c r="F628" s="2">
        <f>(F624/F612)*AZ64</f>
        <v>0</v>
      </c>
      <c r="G628" s="2">
        <f>(G625/G612)*AZ77</f>
        <v>0</v>
      </c>
      <c r="H628" s="2">
        <f>SUM(C626:G628)</f>
        <v>-221102.09249231947</v>
      </c>
      <c r="I628" s="2"/>
      <c r="J628" s="2"/>
      <c r="K628" s="2"/>
      <c r="L628" s="2"/>
      <c r="M628" s="2"/>
      <c r="N628" s="328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">
      <c r="A629" s="342">
        <v>8460</v>
      </c>
      <c r="B629" s="345" t="s">
        <v>141</v>
      </c>
      <c r="C629" s="2">
        <f>BF71</f>
        <v>767470</v>
      </c>
      <c r="D629" s="2">
        <f>(D615/D612)*BF76</f>
        <v>9952.4293329127886</v>
      </c>
      <c r="E629" s="2">
        <f>(E623/E612)*SUM(C629:D629)</f>
        <v>66758.108018356521</v>
      </c>
      <c r="F629" s="2">
        <f>(F624/F612)*BF64</f>
        <v>0</v>
      </c>
      <c r="G629" s="2">
        <f>(G625/G612)*BF77</f>
        <v>0</v>
      </c>
      <c r="H629" s="2">
        <f>(H628/H612)*BF60</f>
        <v>-9241.0131223998869</v>
      </c>
      <c r="I629" s="2">
        <f>SUM(C629:H629)</f>
        <v>834939.52422886936</v>
      </c>
      <c r="J629" s="2"/>
      <c r="K629" s="2"/>
      <c r="L629" s="2"/>
      <c r="M629" s="2"/>
      <c r="N629" s="328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">
      <c r="A630" s="342">
        <v>8350</v>
      </c>
      <c r="B630" s="345" t="s">
        <v>625</v>
      </c>
      <c r="C630" s="2">
        <f>BA71</f>
        <v>141252</v>
      </c>
      <c r="D630" s="2">
        <f>(D615/D612)*BA76</f>
        <v>19924.071849865952</v>
      </c>
      <c r="E630" s="2">
        <f>(E623/E612)*SUM(C630:D630)</f>
        <v>13840.364271147248</v>
      </c>
      <c r="F630" s="2">
        <f>(F624/F612)*BA64</f>
        <v>0</v>
      </c>
      <c r="G630" s="2">
        <f>(G625/G612)*BA77</f>
        <v>0</v>
      </c>
      <c r="H630" s="2">
        <f>(H628/H612)*BA60</f>
        <v>-558.18200068187241</v>
      </c>
      <c r="I630" s="2">
        <f>(I629/I612)*BA78</f>
        <v>8254.1973633440502</v>
      </c>
      <c r="J630" s="2">
        <f>SUM(C630:I630)</f>
        <v>182712.45148367537</v>
      </c>
      <c r="K630" s="2"/>
      <c r="L630" s="2"/>
      <c r="M630" s="2"/>
      <c r="N630" s="328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">
      <c r="A631" s="342">
        <v>8200</v>
      </c>
      <c r="B631" s="345" t="s">
        <v>627</v>
      </c>
      <c r="C631" s="2">
        <f>AW71</f>
        <v>163380</v>
      </c>
      <c r="D631" s="2">
        <f>(D615/D612)*AW76</f>
        <v>0</v>
      </c>
      <c r="E631" s="2">
        <f>(E623/E612)*SUM(C631:D631)</f>
        <v>14029.617974102015</v>
      </c>
      <c r="F631" s="2">
        <f>(F624/F612)*AW64</f>
        <v>0</v>
      </c>
      <c r="G631" s="2">
        <f>(G625/G612)*AW77</f>
        <v>0</v>
      </c>
      <c r="H631" s="2">
        <f>(H628/H612)*AW60</f>
        <v>-620.20222297985822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8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">
      <c r="A632" s="342">
        <v>8360</v>
      </c>
      <c r="B632" s="345" t="s">
        <v>629</v>
      </c>
      <c r="C632" s="2">
        <f>BB71</f>
        <v>997873</v>
      </c>
      <c r="D632" s="2">
        <f>(D615/D612)*BB76</f>
        <v>0</v>
      </c>
      <c r="E632" s="2">
        <f>(E623/E612)*SUM(C632:D632)</f>
        <v>85688.437854517688</v>
      </c>
      <c r="F632" s="2">
        <f>(F624/F612)*BB64</f>
        <v>0</v>
      </c>
      <c r="G632" s="2">
        <f>(G625/G612)*BB77</f>
        <v>0</v>
      </c>
      <c r="H632" s="2">
        <f>(H628/H612)*BB60</f>
        <v>-4837.5773392428937</v>
      </c>
      <c r="I632" s="2">
        <f>(I629/I612)*BB78</f>
        <v>0</v>
      </c>
      <c r="J632" s="2">
        <f>(J630/J612)*BB79</f>
        <v>0</v>
      </c>
      <c r="K632" s="2"/>
      <c r="L632" s="2"/>
      <c r="M632" s="2"/>
      <c r="N632" s="328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">
      <c r="A633" s="342">
        <v>8370</v>
      </c>
      <c r="B633" s="345" t="s">
        <v>631</v>
      </c>
      <c r="C633" s="2">
        <f>BC71</f>
        <v>103046</v>
      </c>
      <c r="D633" s="2">
        <f>(D615/D612)*BC76</f>
        <v>0</v>
      </c>
      <c r="E633" s="2">
        <f>(E623/E612)*SUM(C633:D633)</f>
        <v>8848.6718922714917</v>
      </c>
      <c r="F633" s="2">
        <f>(F624/F612)*BC64</f>
        <v>0</v>
      </c>
      <c r="G633" s="2">
        <f>(G625/G612)*BC77</f>
        <v>0</v>
      </c>
      <c r="H633" s="2">
        <f>(H628/H612)*BC60</f>
        <v>-806.26288987381577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8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">
      <c r="A634" s="342">
        <v>8490</v>
      </c>
      <c r="B634" s="345" t="s">
        <v>633</v>
      </c>
      <c r="C634" s="2">
        <f>BI71</f>
        <v>8602</v>
      </c>
      <c r="D634" s="2">
        <f>(D615/D612)*BI76</f>
        <v>0</v>
      </c>
      <c r="E634" s="2">
        <f>(E623/E612)*SUM(C634:D634)</f>
        <v>738.66307879315423</v>
      </c>
      <c r="F634" s="2">
        <f>(F624/F612)*BI64</f>
        <v>0</v>
      </c>
      <c r="G634" s="2">
        <f>(G625/G612)*BI77</f>
        <v>0</v>
      </c>
      <c r="H634" s="2">
        <f>(H628/H612)*BI60</f>
        <v>-124.04044459597165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8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">
      <c r="A635" s="342">
        <v>8530</v>
      </c>
      <c r="B635" s="345" t="s">
        <v>635</v>
      </c>
      <c r="C635" s="2">
        <f>BK71</f>
        <v>866271</v>
      </c>
      <c r="D635" s="2">
        <f>(D615/D612)*BK76</f>
        <v>0</v>
      </c>
      <c r="E635" s="2">
        <f>(E623/E612)*SUM(C635:D635)</f>
        <v>74387.631240319053</v>
      </c>
      <c r="F635" s="2">
        <f>(F624/F612)*BK64</f>
        <v>0</v>
      </c>
      <c r="G635" s="2">
        <f>(G625/G612)*BK77</f>
        <v>0</v>
      </c>
      <c r="H635" s="2">
        <f>(H628/H612)*BK60</f>
        <v>-4465.4560054549793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8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">
      <c r="A636" s="342">
        <v>8480</v>
      </c>
      <c r="B636" s="345" t="s">
        <v>637</v>
      </c>
      <c r="C636" s="2">
        <f>BH71</f>
        <v>0</v>
      </c>
      <c r="D636" s="2">
        <f>(D615/D612)*BH76</f>
        <v>0</v>
      </c>
      <c r="E636" s="2">
        <f>(E623/E612)*SUM(C636:D636)</f>
        <v>0</v>
      </c>
      <c r="F636" s="2">
        <f>(F624/F612)*BH64</f>
        <v>0</v>
      </c>
      <c r="G636" s="2">
        <f>(G625/G612)*BH77</f>
        <v>0</v>
      </c>
      <c r="H636" s="2">
        <f>(H628/H612)*BH60</f>
        <v>0</v>
      </c>
      <c r="I636" s="2">
        <f>(I629/I612)*BH78</f>
        <v>0</v>
      </c>
      <c r="J636" s="2">
        <f>(J630/J612)*BH79</f>
        <v>0</v>
      </c>
      <c r="K636" s="2"/>
      <c r="L636" s="2"/>
      <c r="M636" s="2"/>
      <c r="N636" s="328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">
      <c r="A637" s="342">
        <v>8560</v>
      </c>
      <c r="B637" s="345" t="s">
        <v>147</v>
      </c>
      <c r="C637" s="2">
        <f>BL71</f>
        <v>975614</v>
      </c>
      <c r="D637" s="2">
        <f>(D615/D612)*BL76</f>
        <v>0</v>
      </c>
      <c r="E637" s="2">
        <f>(E623/E612)*SUM(C637:D637)</f>
        <v>83777.033358951914</v>
      </c>
      <c r="F637" s="2">
        <f>(F624/F612)*BL64</f>
        <v>0</v>
      </c>
      <c r="G637" s="2">
        <f>(G625/G612)*BL77</f>
        <v>0</v>
      </c>
      <c r="H637" s="2">
        <f>(H628/H612)*BL60</f>
        <v>-11349.700680531407</v>
      </c>
      <c r="I637" s="2">
        <f>(I629/I612)*BL78</f>
        <v>0</v>
      </c>
      <c r="J637" s="2">
        <f>(J630/J612)*BL79</f>
        <v>0</v>
      </c>
      <c r="K637" s="2"/>
      <c r="L637" s="2"/>
      <c r="M637" s="2"/>
      <c r="N637" s="328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">
      <c r="A638" s="342">
        <v>8590</v>
      </c>
      <c r="B638" s="345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8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">
      <c r="A639" s="342">
        <v>8660</v>
      </c>
      <c r="B639" s="345" t="s">
        <v>642</v>
      </c>
      <c r="C639" s="2">
        <f>BS71</f>
        <v>1466</v>
      </c>
      <c r="D639" s="2">
        <f>(D615/D612)*BS76</f>
        <v>0</v>
      </c>
      <c r="E639" s="2">
        <f>(E623/E612)*SUM(C639:D639)</f>
        <v>125.88701156832877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28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">
      <c r="A640" s="342">
        <v>8670</v>
      </c>
      <c r="B640" s="345" t="s">
        <v>644</v>
      </c>
      <c r="C640" s="2">
        <f>BT71</f>
        <v>119906</v>
      </c>
      <c r="D640" s="2">
        <f>(D615/D612)*BT76</f>
        <v>0</v>
      </c>
      <c r="E640" s="2">
        <f>(E623/E612)*SUM(C640:D640)</f>
        <v>10296.458396392925</v>
      </c>
      <c r="F640" s="2">
        <f>(F624/F612)*BT64</f>
        <v>0</v>
      </c>
      <c r="G640" s="2">
        <f>(G625/G612)*BT77</f>
        <v>0</v>
      </c>
      <c r="H640" s="2">
        <f>(H628/H612)*BT60</f>
        <v>-744.24266757582984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8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">
      <c r="A641" s="342">
        <v>8680</v>
      </c>
      <c r="B641" s="345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8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">
      <c r="A642" s="342">
        <v>8690</v>
      </c>
      <c r="B642" s="345" t="s">
        <v>648</v>
      </c>
      <c r="C642" s="2">
        <f>BV71</f>
        <v>347592</v>
      </c>
      <c r="D642" s="2">
        <f>(D615/D612)*BV76</f>
        <v>26514.19397571361</v>
      </c>
      <c r="E642" s="2">
        <f>(E623/E612)*SUM(C642:D642)</f>
        <v>32124.90502646938</v>
      </c>
      <c r="F642" s="2">
        <f>(F624/F612)*BV64</f>
        <v>0</v>
      </c>
      <c r="G642" s="2">
        <f>(G625/G612)*BV77</f>
        <v>0</v>
      </c>
      <c r="H642" s="2">
        <f>(H628/H612)*BV60</f>
        <v>-3101.011114899291</v>
      </c>
      <c r="I642" s="2">
        <f>(I629/I612)*BV78</f>
        <v>10984.370647458814</v>
      </c>
      <c r="J642" s="2">
        <f>(J630/J612)*BV79</f>
        <v>0</v>
      </c>
      <c r="K642" s="2"/>
      <c r="L642" s="2"/>
      <c r="M642" s="2"/>
      <c r="N642" s="328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">
      <c r="A643" s="342">
        <v>8700</v>
      </c>
      <c r="B643" s="345" t="s">
        <v>650</v>
      </c>
      <c r="C643" s="2">
        <f>BW71</f>
        <v>606079</v>
      </c>
      <c r="D643" s="2">
        <f>(D615/D612)*BW76</f>
        <v>180027.53445828732</v>
      </c>
      <c r="E643" s="2">
        <f>(E623/E612)*SUM(C643:D643)</f>
        <v>67503.821553403308</v>
      </c>
      <c r="F643" s="2">
        <f>(F624/F612)*BW64</f>
        <v>0</v>
      </c>
      <c r="G643" s="2">
        <f>(G625/G612)*BW77</f>
        <v>0</v>
      </c>
      <c r="H643" s="2">
        <f>(H628/H612)*BW60</f>
        <v>-620.20222297985822</v>
      </c>
      <c r="I643" s="2">
        <f>(I629/I612)*BW78</f>
        <v>74582.284758470356</v>
      </c>
      <c r="J643" s="2">
        <f>(J630/J612)*BW79</f>
        <v>0</v>
      </c>
      <c r="K643" s="2"/>
      <c r="L643" s="2"/>
      <c r="M643" s="2"/>
      <c r="N643" s="328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">
      <c r="A644" s="342">
        <v>8710</v>
      </c>
      <c r="B644" s="345" t="s">
        <v>652</v>
      </c>
      <c r="C644" s="2">
        <f>BX71</f>
        <v>2169513</v>
      </c>
      <c r="D644" s="2">
        <f>(D615/D612)*BX76</f>
        <v>28723.710140356408</v>
      </c>
      <c r="E644" s="2">
        <f>(E623/E612)*SUM(C644:D644)</f>
        <v>188764.97282357709</v>
      </c>
      <c r="F644" s="2">
        <f>(F624/F612)*BX64</f>
        <v>0</v>
      </c>
      <c r="G644" s="2">
        <f>(G625/G612)*BX77</f>
        <v>0</v>
      </c>
      <c r="H644" s="2">
        <f>(H628/H612)*BX60</f>
        <v>-13706.469127854867</v>
      </c>
      <c r="I644" s="2">
        <f>(I629/I612)*BX78</f>
        <v>11899.734868080381</v>
      </c>
      <c r="J644" s="2">
        <f>(J630/J612)*BX79</f>
        <v>0</v>
      </c>
      <c r="K644" s="2">
        <f>SUM(C631:J644)</f>
        <v>7217984.7643427439</v>
      </c>
      <c r="L644" s="2"/>
      <c r="M644" s="2"/>
      <c r="N644" s="328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">
      <c r="A645" s="342">
        <v>8720</v>
      </c>
      <c r="B645" s="345" t="s">
        <v>654</v>
      </c>
      <c r="C645" s="2">
        <f>BY71</f>
        <v>28594</v>
      </c>
      <c r="D645" s="2">
        <f>(D615/D612)*BY76</f>
        <v>42326.644440939912</v>
      </c>
      <c r="E645" s="2">
        <f>(E623/E612)*SUM(C645:D645)</f>
        <v>6090.0327334037747</v>
      </c>
      <c r="F645" s="2">
        <f>(F624/F612)*BY64</f>
        <v>0</v>
      </c>
      <c r="G645" s="2">
        <f>(G625/G612)*BY77</f>
        <v>0</v>
      </c>
      <c r="H645" s="2">
        <f>(H628/H612)*BY60</f>
        <v>-62.020222297985825</v>
      </c>
      <c r="I645" s="2">
        <f>(I629/I612)*BY78</f>
        <v>17535.194591559251</v>
      </c>
      <c r="J645" s="2">
        <f>(J630/J612)*BY79</f>
        <v>0</v>
      </c>
      <c r="K645" s="2">
        <v>0</v>
      </c>
      <c r="L645" s="2"/>
      <c r="M645" s="2"/>
      <c r="N645" s="328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">
      <c r="A646" s="342">
        <v>8730</v>
      </c>
      <c r="B646" s="345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8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">
      <c r="A647" s="342">
        <v>8740</v>
      </c>
      <c r="B647" s="345" t="s">
        <v>658</v>
      </c>
      <c r="C647" s="2">
        <f>CA71</f>
        <v>15</v>
      </c>
      <c r="D647" s="2">
        <f>(D615/D612)*CA76</f>
        <v>0</v>
      </c>
      <c r="E647" s="2">
        <f>(E623/E612)*SUM(C647:D647)</f>
        <v>1.2880662848055469</v>
      </c>
      <c r="F647" s="2">
        <f>(F624/F612)*CA64</f>
        <v>0</v>
      </c>
      <c r="G647" s="2">
        <f>(G625/G612)*CA77</f>
        <v>0</v>
      </c>
      <c r="H647" s="2">
        <f>(H628/H612)*CA60</f>
        <v>0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94500.139609889753</v>
      </c>
      <c r="M647" s="2"/>
      <c r="N647" s="328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">
      <c r="A648" s="342"/>
      <c r="B648" s="342"/>
      <c r="C648" s="2">
        <f>SUM(C614:C647)</f>
        <v>14466701</v>
      </c>
      <c r="D648" s="2"/>
      <c r="E648" s="2"/>
      <c r="F648" s="2"/>
      <c r="G648" s="2"/>
      <c r="H648" s="2"/>
      <c r="I648" s="2"/>
      <c r="J648" s="2"/>
      <c r="K648" s="2"/>
      <c r="L648" s="34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">
      <c r="A666" s="2"/>
      <c r="B666" s="2"/>
      <c r="C666" s="333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33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">
      <c r="A667" s="2"/>
      <c r="B667" s="2"/>
      <c r="C667" s="333" t="s">
        <v>590</v>
      </c>
      <c r="D667" s="333" t="s">
        <v>591</v>
      </c>
      <c r="E667" s="336" t="s">
        <v>592</v>
      </c>
      <c r="F667" s="333" t="s">
        <v>593</v>
      </c>
      <c r="G667" s="333" t="s">
        <v>594</v>
      </c>
      <c r="H667" s="333" t="s">
        <v>595</v>
      </c>
      <c r="I667" s="333" t="s">
        <v>596</v>
      </c>
      <c r="J667" s="333" t="s">
        <v>597</v>
      </c>
      <c r="K667" s="333" t="s">
        <v>598</v>
      </c>
      <c r="L667" s="336" t="s">
        <v>599</v>
      </c>
      <c r="M667" s="333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">
      <c r="A668" s="342">
        <v>6010</v>
      </c>
      <c r="B668" s="336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>
        <f>(H628/H612)*C60</f>
        <v>0</v>
      </c>
      <c r="I668" s="2">
        <f>(I629/I612)*C78</f>
        <v>0</v>
      </c>
      <c r="J668" s="2">
        <f>(J630/J612)*C79</f>
        <v>0</v>
      </c>
      <c r="K668" s="2">
        <f>(K644/K612)*C75</f>
        <v>0</v>
      </c>
      <c r="L668" s="2">
        <f>(L647/L612)*C80</f>
        <v>0</v>
      </c>
      <c r="M668" s="2">
        <f t="shared" ref="M668:M713" si="20">ROUND(SUM(D668:L668),0)</f>
        <v>0</v>
      </c>
      <c r="N668" s="336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">
      <c r="A669" s="342">
        <v>6030</v>
      </c>
      <c r="B669" s="336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6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">
      <c r="A670" s="342">
        <v>6070</v>
      </c>
      <c r="B670" s="336" t="s">
        <v>665</v>
      </c>
      <c r="C670" s="2">
        <f>E71</f>
        <v>0</v>
      </c>
      <c r="D670" s="2">
        <f>(D615/D612)*E76</f>
        <v>0</v>
      </c>
      <c r="E670" s="2">
        <f>(E623/E612)*SUM(C670:D670)</f>
        <v>0</v>
      </c>
      <c r="F670" s="2">
        <f>(F624/F612)*E64</f>
        <v>0</v>
      </c>
      <c r="G670" s="2">
        <f>(G625/G612)*E77</f>
        <v>0</v>
      </c>
      <c r="H670" s="2">
        <f>(H628/H612)*E60</f>
        <v>0</v>
      </c>
      <c r="I670" s="2">
        <f>(I629/I612)*E78</f>
        <v>0</v>
      </c>
      <c r="J670" s="2">
        <f>(J630/J612)*E79</f>
        <v>0</v>
      </c>
      <c r="K670" s="2">
        <f>(K644/K612)*E75</f>
        <v>0</v>
      </c>
      <c r="L670" s="2">
        <f>(L647/L612)*E80</f>
        <v>0</v>
      </c>
      <c r="M670" s="2">
        <f t="shared" si="20"/>
        <v>0</v>
      </c>
      <c r="N670" s="336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">
      <c r="A671" s="342">
        <v>6100</v>
      </c>
      <c r="B671" s="336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6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">
      <c r="A672" s="342">
        <v>6120</v>
      </c>
      <c r="B672" s="336" t="s">
        <v>669</v>
      </c>
      <c r="C672" s="2">
        <f>G71</f>
        <v>14088916</v>
      </c>
      <c r="D672" s="2">
        <f>(D615/D612)*G76</f>
        <v>693000.33515218413</v>
      </c>
      <c r="E672" s="2">
        <f>(E623/E612)*SUM(C672:D672)</f>
        <v>1269339.2037417265</v>
      </c>
      <c r="F672" s="2">
        <f>(F624/F612)*G64</f>
        <v>0</v>
      </c>
      <c r="G672" s="2">
        <f>(G625/G612)*G77</f>
        <v>2075339.6633274532</v>
      </c>
      <c r="H672" s="2">
        <f>(H628/H612)*G60</f>
        <v>-84347.502325260721</v>
      </c>
      <c r="I672" s="2">
        <f>(I629/I612)*G78</f>
        <v>287098.01803129853</v>
      </c>
      <c r="J672" s="2">
        <f>(J630/J612)*G79</f>
        <v>138287.13107285593</v>
      </c>
      <c r="K672" s="2">
        <f>(K644/K612)*G75</f>
        <v>2807479.196219522</v>
      </c>
      <c r="L672" s="2">
        <f>(L647/L612)*G80</f>
        <v>94500.139609889753</v>
      </c>
      <c r="M672" s="2">
        <f t="shared" si="20"/>
        <v>7280696</v>
      </c>
      <c r="N672" s="336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">
      <c r="A673" s="342">
        <v>6140</v>
      </c>
      <c r="B673" s="336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36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">
      <c r="A674" s="342">
        <v>6150</v>
      </c>
      <c r="B674" s="336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6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">
      <c r="A675" s="342">
        <v>6170</v>
      </c>
      <c r="B675" s="336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0"/>
        <v>0</v>
      </c>
      <c r="N675" s="336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">
      <c r="A676" s="342">
        <v>6200</v>
      </c>
      <c r="B676" s="336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6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">
      <c r="A677" s="342">
        <v>6210</v>
      </c>
      <c r="B677" s="336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6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">
      <c r="A678" s="342">
        <v>6330</v>
      </c>
      <c r="B678" s="336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6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">
      <c r="A679" s="342">
        <v>6400</v>
      </c>
      <c r="B679" s="336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6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">
      <c r="A680" s="342">
        <v>7010</v>
      </c>
      <c r="B680" s="336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2">
        <f t="shared" si="20"/>
        <v>0</v>
      </c>
      <c r="N680" s="336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">
      <c r="A681" s="342">
        <v>7020</v>
      </c>
      <c r="B681" s="336" t="s">
        <v>684</v>
      </c>
      <c r="C681" s="2">
        <f>P71</f>
        <v>0</v>
      </c>
      <c r="D681" s="2">
        <f>(D615/D612)*P76</f>
        <v>0</v>
      </c>
      <c r="E681" s="2">
        <f>(E623/E612)*SUM(C681:D681)</f>
        <v>0</v>
      </c>
      <c r="F681" s="2">
        <f>(F624/F612)*P64</f>
        <v>0</v>
      </c>
      <c r="G681" s="2">
        <f>(G625/G612)*P77</f>
        <v>0</v>
      </c>
      <c r="H681" s="2">
        <f>(H628/H612)*P60</f>
        <v>0</v>
      </c>
      <c r="I681" s="2">
        <f>(I629/I612)*P78</f>
        <v>0</v>
      </c>
      <c r="J681" s="2">
        <f>(J630/J612)*P79</f>
        <v>0</v>
      </c>
      <c r="K681" s="2">
        <f>(K644/K612)*P75</f>
        <v>0</v>
      </c>
      <c r="L681" s="2">
        <f>(L647/L612)*P80</f>
        <v>0</v>
      </c>
      <c r="M681" s="2">
        <f t="shared" si="20"/>
        <v>0</v>
      </c>
      <c r="N681" s="336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">
      <c r="A682" s="342">
        <v>7030</v>
      </c>
      <c r="B682" s="336" t="s">
        <v>686</v>
      </c>
      <c r="C682" s="2">
        <f>Q71</f>
        <v>0</v>
      </c>
      <c r="D682" s="2">
        <f>(D615/D612)*Q76</f>
        <v>0</v>
      </c>
      <c r="E682" s="2">
        <f>(E623/E612)*SUM(C682:D682)</f>
        <v>0</v>
      </c>
      <c r="F682" s="2">
        <f>(F624/F612)*Q64</f>
        <v>0</v>
      </c>
      <c r="G682" s="2">
        <f>(G625/G612)*Q77</f>
        <v>0</v>
      </c>
      <c r="H682" s="2">
        <f>(H628/H612)*Q60</f>
        <v>0</v>
      </c>
      <c r="I682" s="2">
        <f>(I629/I612)*Q78</f>
        <v>0</v>
      </c>
      <c r="J682" s="2">
        <f>(J630/J612)*Q79</f>
        <v>0</v>
      </c>
      <c r="K682" s="2">
        <f>(K644/K612)*Q75</f>
        <v>0</v>
      </c>
      <c r="L682" s="2">
        <f>(L647/L612)*Q80</f>
        <v>0</v>
      </c>
      <c r="M682" s="2">
        <f t="shared" si="20"/>
        <v>0</v>
      </c>
      <c r="N682" s="336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">
      <c r="A683" s="342">
        <v>7040</v>
      </c>
      <c r="B683" s="336" t="s">
        <v>107</v>
      </c>
      <c r="C683" s="2">
        <f>R71</f>
        <v>0</v>
      </c>
      <c r="D683" s="2">
        <f>(D615/D612)*R76</f>
        <v>0</v>
      </c>
      <c r="E683" s="2">
        <f>(E623/E612)*SUM(C683:D683)</f>
        <v>0</v>
      </c>
      <c r="F683" s="2">
        <f>(F624/F612)*R64</f>
        <v>0</v>
      </c>
      <c r="G683" s="2">
        <f>(G625/G612)*R77</f>
        <v>0</v>
      </c>
      <c r="H683" s="2">
        <f>(H628/H612)*R60</f>
        <v>0</v>
      </c>
      <c r="I683" s="2">
        <f>(I629/I612)*R78</f>
        <v>0</v>
      </c>
      <c r="J683" s="2">
        <f>(J630/J612)*R79</f>
        <v>0</v>
      </c>
      <c r="K683" s="2">
        <f>(K644/K612)*R75</f>
        <v>0</v>
      </c>
      <c r="L683" s="2">
        <f>(L647/L612)*R80</f>
        <v>0</v>
      </c>
      <c r="M683" s="2">
        <f t="shared" si="20"/>
        <v>0</v>
      </c>
      <c r="N683" s="336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">
      <c r="A684" s="342">
        <v>7050</v>
      </c>
      <c r="B684" s="336" t="s">
        <v>689</v>
      </c>
      <c r="C684" s="2">
        <f>S71</f>
        <v>65795</v>
      </c>
      <c r="D684" s="2">
        <f>(D615/D612)*S76</f>
        <v>0</v>
      </c>
      <c r="E684" s="2">
        <f>(E623/E612)*SUM(C684:D684)</f>
        <v>5649.8880805853969</v>
      </c>
      <c r="F684" s="2">
        <f>(F624/F612)*S64</f>
        <v>0</v>
      </c>
      <c r="G684" s="2">
        <f>(G625/G612)*S77</f>
        <v>0</v>
      </c>
      <c r="H684" s="2">
        <f>(H628/H612)*S60</f>
        <v>-1302.4246682577023</v>
      </c>
      <c r="I684" s="2">
        <f>(I629/I612)*S78</f>
        <v>0</v>
      </c>
      <c r="J684" s="2">
        <f>(J630/J612)*S79</f>
        <v>0</v>
      </c>
      <c r="K684" s="2">
        <f>(K644/K612)*S75</f>
        <v>0</v>
      </c>
      <c r="L684" s="2">
        <f>(L647/L612)*S80</f>
        <v>0</v>
      </c>
      <c r="M684" s="2">
        <f t="shared" si="20"/>
        <v>4347</v>
      </c>
      <c r="N684" s="336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">
      <c r="A685" s="342">
        <v>7060</v>
      </c>
      <c r="B685" s="336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336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">
      <c r="A686" s="342">
        <v>7070</v>
      </c>
      <c r="B686" s="336" t="s">
        <v>109</v>
      </c>
      <c r="C686" s="2">
        <f>U71</f>
        <v>164225</v>
      </c>
      <c r="D686" s="2">
        <f>(D615/D612)*U76</f>
        <v>0</v>
      </c>
      <c r="E686" s="2">
        <f>(E623/E612)*SUM(C686:D686)</f>
        <v>14102.179041479394</v>
      </c>
      <c r="F686" s="2">
        <f>(F624/F612)*U64</f>
        <v>0</v>
      </c>
      <c r="G686" s="2">
        <f>(G625/G612)*U77</f>
        <v>0</v>
      </c>
      <c r="H686" s="2">
        <f>(H628/H612)*U60</f>
        <v>0</v>
      </c>
      <c r="I686" s="2">
        <f>(I629/I612)*U78</f>
        <v>0</v>
      </c>
      <c r="J686" s="2">
        <f>(J630/J612)*U79</f>
        <v>0</v>
      </c>
      <c r="K686" s="2">
        <f>(K644/K612)*U75</f>
        <v>331593.01432213589</v>
      </c>
      <c r="L686" s="2">
        <f>(L647/L612)*U80</f>
        <v>0</v>
      </c>
      <c r="M686" s="2">
        <f t="shared" si="20"/>
        <v>345695</v>
      </c>
      <c r="N686" s="336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">
      <c r="A687" s="342">
        <v>7110</v>
      </c>
      <c r="B687" s="336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0</v>
      </c>
      <c r="L687" s="2">
        <f>(L647/L612)*V80</f>
        <v>0</v>
      </c>
      <c r="M687" s="2">
        <f t="shared" si="20"/>
        <v>0</v>
      </c>
      <c r="N687" s="336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">
      <c r="A688" s="342">
        <v>7120</v>
      </c>
      <c r="B688" s="336" t="s">
        <v>696</v>
      </c>
      <c r="C688" s="2">
        <f>W71</f>
        <v>0</v>
      </c>
      <c r="D688" s="2">
        <f>(D615/D612)*W76</f>
        <v>0</v>
      </c>
      <c r="E688" s="2">
        <f>(E623/E612)*SUM(C688:D688)</f>
        <v>0</v>
      </c>
      <c r="F688" s="2">
        <f>(F624/F612)*W64</f>
        <v>0</v>
      </c>
      <c r="G688" s="2">
        <f>(G625/G612)*W77</f>
        <v>0</v>
      </c>
      <c r="H688" s="2">
        <f>(H628/H612)*W60</f>
        <v>0</v>
      </c>
      <c r="I688" s="2">
        <f>(I629/I612)*W78</f>
        <v>0</v>
      </c>
      <c r="J688" s="2">
        <f>(J630/J612)*W79</f>
        <v>0</v>
      </c>
      <c r="K688" s="2">
        <f>(K644/K612)*W75</f>
        <v>2329.393339189392</v>
      </c>
      <c r="L688" s="2">
        <f>(L647/L612)*W80</f>
        <v>0</v>
      </c>
      <c r="M688" s="2">
        <f t="shared" si="20"/>
        <v>2329</v>
      </c>
      <c r="N688" s="336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">
      <c r="A689" s="342">
        <v>7130</v>
      </c>
      <c r="B689" s="336" t="s">
        <v>698</v>
      </c>
      <c r="C689" s="2">
        <f>X71</f>
        <v>0</v>
      </c>
      <c r="D689" s="2">
        <f>(D615/D612)*X76</f>
        <v>0</v>
      </c>
      <c r="E689" s="2">
        <f>(E623/E612)*SUM(C689:D689)</f>
        <v>0</v>
      </c>
      <c r="F689" s="2">
        <f>(F624/F612)*X64</f>
        <v>0</v>
      </c>
      <c r="G689" s="2">
        <f>(G625/G612)*X77</f>
        <v>0</v>
      </c>
      <c r="H689" s="2">
        <f>(H628/H612)*X60</f>
        <v>0</v>
      </c>
      <c r="I689" s="2">
        <f>(I629/I612)*X78</f>
        <v>0</v>
      </c>
      <c r="J689" s="2">
        <f>(J630/J612)*X79</f>
        <v>0</v>
      </c>
      <c r="K689" s="2">
        <f>(K644/K612)*X75</f>
        <v>10792.031765243795</v>
      </c>
      <c r="L689" s="2">
        <f>(L647/L612)*X80</f>
        <v>0</v>
      </c>
      <c r="M689" s="2">
        <f t="shared" si="20"/>
        <v>10792</v>
      </c>
      <c r="N689" s="336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">
      <c r="A690" s="342">
        <v>7140</v>
      </c>
      <c r="B690" s="336" t="s">
        <v>1249</v>
      </c>
      <c r="C690" s="2">
        <f>Y71</f>
        <v>25230</v>
      </c>
      <c r="D690" s="2">
        <f>(D615/D612)*Y76</f>
        <v>0</v>
      </c>
      <c r="E690" s="2">
        <f>(E623/E612)*SUM(C690:D690)</f>
        <v>2166.5274910429298</v>
      </c>
      <c r="F690" s="2">
        <f>(F624/F612)*Y64</f>
        <v>0</v>
      </c>
      <c r="G690" s="2">
        <f>(G625/G612)*Y77</f>
        <v>0</v>
      </c>
      <c r="H690" s="2">
        <f>(H628/H612)*Y60</f>
        <v>0</v>
      </c>
      <c r="I690" s="2">
        <f>(I629/I612)*Y78</f>
        <v>0</v>
      </c>
      <c r="J690" s="2">
        <f>(J630/J612)*Y79</f>
        <v>0</v>
      </c>
      <c r="K690" s="2">
        <f>(K644/K612)*Y75</f>
        <v>15675.101626718726</v>
      </c>
      <c r="L690" s="2">
        <f>(L647/L612)*Y80</f>
        <v>0</v>
      </c>
      <c r="M690" s="2">
        <f t="shared" si="20"/>
        <v>17842</v>
      </c>
      <c r="N690" s="336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">
      <c r="A691" s="342">
        <v>7150</v>
      </c>
      <c r="B691" s="336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336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">
      <c r="A692" s="342">
        <v>7160</v>
      </c>
      <c r="B692" s="336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>
        <f>(F624/F612)*AA64</f>
        <v>0</v>
      </c>
      <c r="G692" s="2">
        <f>(G625/G612)*AA77</f>
        <v>0</v>
      </c>
      <c r="H692" s="2">
        <f>(H628/H612)*AA60</f>
        <v>0</v>
      </c>
      <c r="I692" s="2">
        <f>(I629/I612)*AA78</f>
        <v>0</v>
      </c>
      <c r="J692" s="2">
        <f>(J630/J612)*AA79</f>
        <v>0</v>
      </c>
      <c r="K692" s="2">
        <f>(K644/K612)*AA75</f>
        <v>93.955459318998848</v>
      </c>
      <c r="L692" s="2">
        <f>(L647/L612)*AA80</f>
        <v>0</v>
      </c>
      <c r="M692" s="2">
        <f t="shared" si="20"/>
        <v>94</v>
      </c>
      <c r="N692" s="336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">
      <c r="A693" s="342">
        <v>7170</v>
      </c>
      <c r="B693" s="336" t="s">
        <v>115</v>
      </c>
      <c r="C693" s="2">
        <f>AB71</f>
        <v>1528269</v>
      </c>
      <c r="D693" s="2">
        <f>(D615/D612)*AB76</f>
        <v>20308.335530673394</v>
      </c>
      <c r="E693" s="2">
        <f>(E623/E612)*SUM(C693:D693)</f>
        <v>132978.01702073781</v>
      </c>
      <c r="F693" s="2">
        <f>(F624/F612)*AB64</f>
        <v>0</v>
      </c>
      <c r="G693" s="2">
        <f>(G625/G612)*AB77</f>
        <v>0</v>
      </c>
      <c r="H693" s="2">
        <f>(H628/H612)*AB60</f>
        <v>-4341.4155608590072</v>
      </c>
      <c r="I693" s="2">
        <f>(I629/I612)*AB78</f>
        <v>8413.3911408434542</v>
      </c>
      <c r="J693" s="2">
        <f>(J630/J612)*AB79</f>
        <v>0</v>
      </c>
      <c r="K693" s="2">
        <f>(K644/K612)*AB75</f>
        <v>331764.34486559994</v>
      </c>
      <c r="L693" s="2">
        <f>(L647/L612)*AB80</f>
        <v>0</v>
      </c>
      <c r="M693" s="2">
        <f t="shared" si="20"/>
        <v>489123</v>
      </c>
      <c r="N693" s="336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">
      <c r="A694" s="342">
        <v>7180</v>
      </c>
      <c r="B694" s="336" t="s">
        <v>706</v>
      </c>
      <c r="C694" s="2">
        <f>AC71</f>
        <v>648555</v>
      </c>
      <c r="D694" s="2">
        <f>(D615/D612)*AC76</f>
        <v>10759.383062608422</v>
      </c>
      <c r="E694" s="2">
        <f>(E623/E612)*SUM(C694:D694)</f>
        <v>56616.041860687677</v>
      </c>
      <c r="F694" s="2">
        <f>(F624/F612)*AC64</f>
        <v>0</v>
      </c>
      <c r="G694" s="2">
        <f>(G625/G612)*AC77</f>
        <v>0</v>
      </c>
      <c r="H694" s="2">
        <f>(H628/H612)*AC60</f>
        <v>-3597.1728932831775</v>
      </c>
      <c r="I694" s="2">
        <f>(I629/I612)*AC78</f>
        <v>4457.425769983287</v>
      </c>
      <c r="J694" s="2">
        <f>(J630/J612)*AC79</f>
        <v>0</v>
      </c>
      <c r="K694" s="2">
        <f>(K644/K612)*AC75</f>
        <v>118744.91267703238</v>
      </c>
      <c r="L694" s="2">
        <f>(L647/L612)*AC80</f>
        <v>0</v>
      </c>
      <c r="M694" s="2">
        <f t="shared" si="20"/>
        <v>186981</v>
      </c>
      <c r="N694" s="336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">
      <c r="A695" s="342">
        <v>7190</v>
      </c>
      <c r="B695" s="336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6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">
      <c r="A696" s="342">
        <v>7200</v>
      </c>
      <c r="B696" s="336" t="s">
        <v>709</v>
      </c>
      <c r="C696" s="2">
        <f>AE71</f>
        <v>2829478</v>
      </c>
      <c r="D696" s="2">
        <f>(D615/D612)*AE76</f>
        <v>190306.58791988646</v>
      </c>
      <c r="E696" s="2">
        <f>(E623/E612)*SUM(C696:D696)</f>
        <v>259312.18100500113</v>
      </c>
      <c r="F696" s="2">
        <f>(F624/F612)*AE64</f>
        <v>0</v>
      </c>
      <c r="G696" s="2">
        <f>(G625/G612)*AE77</f>
        <v>0</v>
      </c>
      <c r="H696" s="2">
        <f>(H628/H612)*AE60</f>
        <v>-19474.34980156755</v>
      </c>
      <c r="I696" s="2">
        <f>(I629/I612)*AE78</f>
        <v>78840.71830657938</v>
      </c>
      <c r="J696" s="2">
        <f>(J630/J612)*AE79</f>
        <v>0</v>
      </c>
      <c r="K696" s="2">
        <f>(K644/K612)*AE75</f>
        <v>671770.18180189375</v>
      </c>
      <c r="L696" s="2">
        <f>(L647/L612)*AE80</f>
        <v>0</v>
      </c>
      <c r="M696" s="2">
        <f t="shared" si="20"/>
        <v>1180755</v>
      </c>
      <c r="N696" s="336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">
      <c r="A697" s="342">
        <v>7220</v>
      </c>
      <c r="B697" s="336" t="s">
        <v>711</v>
      </c>
      <c r="C697" s="2">
        <f>AF71</f>
        <v>282713</v>
      </c>
      <c r="D697" s="2">
        <f>(D615/D612)*AF76</f>
        <v>0</v>
      </c>
      <c r="E697" s="2">
        <f>(E623/E612)*SUM(C697:D697)</f>
        <v>24276.87223841537</v>
      </c>
      <c r="F697" s="2">
        <f>(F624/F612)*AF64</f>
        <v>0</v>
      </c>
      <c r="G697" s="2">
        <f>(G625/G612)*AF77</f>
        <v>0</v>
      </c>
      <c r="H697" s="2">
        <f>(H628/H612)*AF60</f>
        <v>-1240.4044459597164</v>
      </c>
      <c r="I697" s="2">
        <f>(I629/I612)*AF78</f>
        <v>0</v>
      </c>
      <c r="J697" s="2">
        <f>(J630/J612)*AF79</f>
        <v>0</v>
      </c>
      <c r="K697" s="2">
        <f>(K644/K612)*AF75</f>
        <v>74830.519360480539</v>
      </c>
      <c r="L697" s="2">
        <f>(L647/L612)*AF80</f>
        <v>0</v>
      </c>
      <c r="M697" s="2">
        <f t="shared" si="20"/>
        <v>97867</v>
      </c>
      <c r="N697" s="336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">
      <c r="A698" s="342">
        <v>7230</v>
      </c>
      <c r="B698" s="336" t="s">
        <v>713</v>
      </c>
      <c r="C698" s="2">
        <f>AG71</f>
        <v>0</v>
      </c>
      <c r="D698" s="2">
        <f>(D615/D612)*AG76</f>
        <v>0</v>
      </c>
      <c r="E698" s="2">
        <f>(E623/E612)*SUM(C698:D698)</f>
        <v>0</v>
      </c>
      <c r="F698" s="2">
        <f>(F624/F612)*AG64</f>
        <v>0</v>
      </c>
      <c r="G698" s="2">
        <f>(G625/G612)*AG77</f>
        <v>0</v>
      </c>
      <c r="H698" s="2">
        <f>(H628/H612)*AG60</f>
        <v>0</v>
      </c>
      <c r="I698" s="2">
        <f>(I629/I612)*AG78</f>
        <v>0</v>
      </c>
      <c r="J698" s="2">
        <f>(J630/J612)*AG79</f>
        <v>0</v>
      </c>
      <c r="K698" s="2">
        <f>(K644/K612)*AG75</f>
        <v>0</v>
      </c>
      <c r="L698" s="2">
        <f>(L647/L612)*AG80</f>
        <v>0</v>
      </c>
      <c r="M698" s="2">
        <f t="shared" si="20"/>
        <v>0</v>
      </c>
      <c r="N698" s="336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">
      <c r="A699" s="342">
        <v>7240</v>
      </c>
      <c r="B699" s="336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6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">
      <c r="A700" s="342">
        <v>7250</v>
      </c>
      <c r="B700" s="336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36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">
      <c r="A701" s="342">
        <v>7260</v>
      </c>
      <c r="B701" s="336" t="s">
        <v>121</v>
      </c>
      <c r="C701" s="2">
        <f>AJ71</f>
        <v>3746904</v>
      </c>
      <c r="D701" s="2">
        <f>(D615/D612)*AJ76</f>
        <v>370968.15745150606</v>
      </c>
      <c r="E701" s="2">
        <f>(E623/E612)*SUM(C701:D701)</f>
        <v>353606.15274351754</v>
      </c>
      <c r="F701" s="2">
        <f>(F624/F612)*AJ64</f>
        <v>0</v>
      </c>
      <c r="G701" s="2">
        <f>(G625/G612)*AJ77</f>
        <v>0</v>
      </c>
      <c r="H701" s="2">
        <f>(H628/H612)*AJ60</f>
        <v>-26916.77647732585</v>
      </c>
      <c r="I701" s="2">
        <f>(I629/I612)*AJ78</f>
        <v>153685.67279792376</v>
      </c>
      <c r="J701" s="2">
        <f>(J630/J612)*AJ79</f>
        <v>22521.567935297237</v>
      </c>
      <c r="K701" s="2">
        <f>(K644/K612)*AJ75</f>
        <v>1010648.7025991089</v>
      </c>
      <c r="L701" s="2">
        <f>(L647/L612)*AJ80</f>
        <v>0</v>
      </c>
      <c r="M701" s="2">
        <f t="shared" si="20"/>
        <v>1884513</v>
      </c>
      <c r="N701" s="336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">
      <c r="A702" s="342">
        <v>7310</v>
      </c>
      <c r="B702" s="336" t="s">
        <v>719</v>
      </c>
      <c r="C702" s="2">
        <f>AK71</f>
        <v>1714739</v>
      </c>
      <c r="D702" s="2">
        <f>(D615/D612)*AK76</f>
        <v>0</v>
      </c>
      <c r="E702" s="2">
        <f>(E623/E612)*SUM(C702:D702)</f>
        <v>147246.49954274524</v>
      </c>
      <c r="F702" s="2">
        <f>(F624/F612)*AK64</f>
        <v>0</v>
      </c>
      <c r="G702" s="2">
        <f>(G625/G612)*AK77</f>
        <v>0</v>
      </c>
      <c r="H702" s="2">
        <f>(H628/H612)*AK60</f>
        <v>-10357.377123763632</v>
      </c>
      <c r="I702" s="2">
        <f>(I629/I612)*AK78</f>
        <v>0</v>
      </c>
      <c r="J702" s="2">
        <f>(J630/J612)*AK79</f>
        <v>0</v>
      </c>
      <c r="K702" s="2">
        <f>(K644/K612)*AK75</f>
        <v>838512.069093375</v>
      </c>
      <c r="L702" s="2">
        <f>(L647/L612)*AK80</f>
        <v>0</v>
      </c>
      <c r="M702" s="2">
        <f t="shared" si="20"/>
        <v>975401</v>
      </c>
      <c r="N702" s="336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">
      <c r="A703" s="342">
        <v>7320</v>
      </c>
      <c r="B703" s="336" t="s">
        <v>721</v>
      </c>
      <c r="C703" s="2">
        <f>AL71</f>
        <v>772161</v>
      </c>
      <c r="D703" s="2">
        <f>(D615/D612)*AL76</f>
        <v>0</v>
      </c>
      <c r="E703" s="2">
        <f>(E623/E612)*SUM(C703:D703)</f>
        <v>66306.303369449059</v>
      </c>
      <c r="F703" s="2">
        <f>(F624/F612)*AL64</f>
        <v>0</v>
      </c>
      <c r="G703" s="2">
        <f>(G625/G612)*AL77</f>
        <v>0</v>
      </c>
      <c r="H703" s="2">
        <f>(H628/H612)*AL60</f>
        <v>-4217.375116263036</v>
      </c>
      <c r="I703" s="2">
        <f>(I629/I612)*AL78</f>
        <v>0</v>
      </c>
      <c r="J703" s="2">
        <f>(J630/J612)*AL79</f>
        <v>0</v>
      </c>
      <c r="K703" s="2">
        <f>(K644/K612)*AL75</f>
        <v>166403.10989603528</v>
      </c>
      <c r="L703" s="2">
        <f>(L647/L612)*AL80</f>
        <v>0</v>
      </c>
      <c r="M703" s="2">
        <f t="shared" si="20"/>
        <v>228492</v>
      </c>
      <c r="N703" s="336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">
      <c r="A704" s="342">
        <v>7330</v>
      </c>
      <c r="B704" s="336" t="s">
        <v>723</v>
      </c>
      <c r="C704" s="2">
        <f>AM71</f>
        <v>255005</v>
      </c>
      <c r="D704" s="2">
        <f>(D615/D612)*AM76</f>
        <v>0</v>
      </c>
      <c r="E704" s="2">
        <f>(E623/E612)*SUM(C704:D704)</f>
        <v>21897.556197122565</v>
      </c>
      <c r="F704" s="2">
        <f>(F624/F612)*AM64</f>
        <v>0</v>
      </c>
      <c r="G704" s="2">
        <f>(G625/G612)*AM77</f>
        <v>0</v>
      </c>
      <c r="H704" s="2">
        <f>(H628/H612)*AM60</f>
        <v>-1984.6471135355464</v>
      </c>
      <c r="I704" s="2">
        <f>(I629/I612)*AM78</f>
        <v>0</v>
      </c>
      <c r="J704" s="2">
        <f>(J630/J612)*AM79</f>
        <v>0</v>
      </c>
      <c r="K704" s="2">
        <f>(K644/K612)*AM75</f>
        <v>104822.55089077332</v>
      </c>
      <c r="L704" s="2">
        <f>(L647/L612)*AM80</f>
        <v>0</v>
      </c>
      <c r="M704" s="2">
        <f t="shared" si="20"/>
        <v>124735</v>
      </c>
      <c r="N704" s="336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">
      <c r="A705" s="342">
        <v>7340</v>
      </c>
      <c r="B705" s="336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6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">
      <c r="A706" s="342">
        <v>7350</v>
      </c>
      <c r="B706" s="336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6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">
      <c r="A707" s="342">
        <v>7380</v>
      </c>
      <c r="B707" s="336" t="s">
        <v>729</v>
      </c>
      <c r="C707" s="2">
        <f>AP71</f>
        <v>2740068</v>
      </c>
      <c r="D707" s="2">
        <f>(D615/D612)*AP76</f>
        <v>364589.3803501025</v>
      </c>
      <c r="E707" s="2">
        <f>(E623/E612)*SUM(C707:D707)</f>
        <v>266600.29983344523</v>
      </c>
      <c r="F707" s="2">
        <f>(F624/F612)*AP64</f>
        <v>0</v>
      </c>
      <c r="G707" s="2">
        <f>(G625/G612)*AP77</f>
        <v>0</v>
      </c>
      <c r="H707" s="2">
        <f>(H628/H612)*AP60</f>
        <v>-13086.266904875009</v>
      </c>
      <c r="I707" s="2">
        <f>(I629/I612)*AP78</f>
        <v>151043.05609143365</v>
      </c>
      <c r="J707" s="2">
        <f>(J630/J612)*AP79</f>
        <v>21903.752475522182</v>
      </c>
      <c r="K707" s="2">
        <f>(K644/K612)*AP75</f>
        <v>714465.54411128769</v>
      </c>
      <c r="L707" s="2">
        <f>(L647/L612)*AP80</f>
        <v>0</v>
      </c>
      <c r="M707" s="2">
        <f t="shared" si="20"/>
        <v>1505516</v>
      </c>
      <c r="N707" s="336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">
      <c r="A708" s="342">
        <v>7390</v>
      </c>
      <c r="B708" s="336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6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">
      <c r="A709" s="342">
        <v>7400</v>
      </c>
      <c r="B709" s="336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6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">
      <c r="A710" s="342">
        <v>7410</v>
      </c>
      <c r="B710" s="336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6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">
      <c r="A711" s="342">
        <v>7420</v>
      </c>
      <c r="B711" s="336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6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">
      <c r="A712" s="342">
        <v>7430</v>
      </c>
      <c r="B712" s="336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6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">
      <c r="A713" s="342">
        <v>7490</v>
      </c>
      <c r="B713" s="336" t="s">
        <v>740</v>
      </c>
      <c r="C713" s="2">
        <f>AV71</f>
        <v>134438</v>
      </c>
      <c r="D713" s="2">
        <f>(D615/D612)*AV76</f>
        <v>67937.818766756027</v>
      </c>
      <c r="E713" s="2">
        <f>(E623/E612)*SUM(C713:D713)</f>
        <v>17378.231267558407</v>
      </c>
      <c r="F713" s="2">
        <f>(F624/F612)*AV64</f>
        <v>0</v>
      </c>
      <c r="G713" s="2">
        <f>(G625/G612)*AV77</f>
        <v>0</v>
      </c>
      <c r="H713" s="2">
        <f>(H628/H612)*AV60</f>
        <v>0</v>
      </c>
      <c r="I713" s="2">
        <f>(I629/I612)*AV78</f>
        <v>28145.459861894469</v>
      </c>
      <c r="J713" s="2">
        <f>(J630/J612)*AV79</f>
        <v>0</v>
      </c>
      <c r="K713" s="2">
        <f>(K644/K612)*AV75</f>
        <v>18060.136315027874</v>
      </c>
      <c r="L713" s="2">
        <f>(L647/L612)*AV80</f>
        <v>0</v>
      </c>
      <c r="M713" s="2">
        <f t="shared" si="20"/>
        <v>131522</v>
      </c>
      <c r="N713" s="328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">
      <c r="A715" s="2"/>
      <c r="B715" s="2"/>
      <c r="C715" s="2">
        <f>SUM(C614:C647)+SUM(C668:C713)</f>
        <v>43463197</v>
      </c>
      <c r="D715" s="2">
        <f>SUM(D616:D647)+SUM(D668:D713)</f>
        <v>2436616</v>
      </c>
      <c r="E715" s="2">
        <f>SUM(E624:E647)+SUM(E668:E713)</f>
        <v>3437085.6372181037</v>
      </c>
      <c r="F715" s="2">
        <f>SUM(F625:F648)+SUM(F668:F713)</f>
        <v>0</v>
      </c>
      <c r="G715" s="2">
        <f>SUM(G626:G647)+SUM(G668:G713)</f>
        <v>2075339.6633274532</v>
      </c>
      <c r="H715" s="2">
        <f>SUM(H629:H647)+SUM(H668:H713)</f>
        <v>-221102.09249231947</v>
      </c>
      <c r="I715" s="2">
        <f>SUM(I630:I647)+SUM(I668:I713)</f>
        <v>834939.52422886936</v>
      </c>
      <c r="J715" s="2">
        <f>SUM(J631:J647)+SUM(J668:J713)</f>
        <v>182712.45148367534</v>
      </c>
      <c r="K715" s="2">
        <f>SUM(K668:K713)</f>
        <v>7217984.7643427448</v>
      </c>
      <c r="L715" s="2">
        <f>SUM(L668:L713)</f>
        <v>94500.139609889753</v>
      </c>
      <c r="M715" s="2">
        <f>SUM(M668:M713)</f>
        <v>14466700</v>
      </c>
      <c r="N715" s="336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">
      <c r="A716" s="2"/>
      <c r="B716" s="2"/>
      <c r="C716" s="2">
        <f>CE71</f>
        <v>43463197</v>
      </c>
      <c r="D716" s="2">
        <f>D615</f>
        <v>2436616</v>
      </c>
      <c r="E716" s="2">
        <f>E623</f>
        <v>3437085.6372181042</v>
      </c>
      <c r="F716" s="2">
        <f>F624</f>
        <v>0</v>
      </c>
      <c r="G716" s="2">
        <f>G625</f>
        <v>2075339.663327453</v>
      </c>
      <c r="H716" s="2">
        <f>H628</f>
        <v>-221102.09249231947</v>
      </c>
      <c r="I716" s="2">
        <f>I629</f>
        <v>834939.52422886936</v>
      </c>
      <c r="J716" s="2">
        <f>J630</f>
        <v>182712.45148367537</v>
      </c>
      <c r="K716" s="2">
        <f>K644</f>
        <v>7217984.7643427439</v>
      </c>
      <c r="L716" s="2">
        <f>L647</f>
        <v>94500.139609889753</v>
      </c>
      <c r="M716" s="2">
        <f>C648</f>
        <v>14466701</v>
      </c>
      <c r="N716" s="336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">
      <c r="O717" s="198"/>
    </row>
    <row r="718" spans="1:84" ht="12.65" customHeight="1" x14ac:dyDescent="0.3">
      <c r="O718" s="198"/>
    </row>
    <row r="719" spans="1:84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4" t="str">
        <f>RIGHT(C84,3)&amp;"*"&amp;RIGHT(C83,4)&amp;"*"&amp;"A"</f>
        <v>ute*157*A</v>
      </c>
      <c r="B721" s="282">
        <f>ROUND(C166,0)</f>
        <v>323722</v>
      </c>
      <c r="C721" s="282">
        <f>ROUND(C167,0)</f>
        <v>-40835</v>
      </c>
      <c r="D721" s="282">
        <f>ROUND(C168,0)</f>
        <v>0</v>
      </c>
      <c r="E721" s="282">
        <f>ROUND(C169,0)</f>
        <v>0</v>
      </c>
      <c r="F721" s="282">
        <f>ROUND(C170,0)</f>
        <v>1438273</v>
      </c>
      <c r="G721" s="282">
        <f>ROUND(C171,0)</f>
        <v>4159459</v>
      </c>
      <c r="H721" s="282">
        <f>ROUND(C172+C173,0)</f>
        <v>0</v>
      </c>
      <c r="I721" s="282">
        <f>ROUND(C176,0)</f>
        <v>201913</v>
      </c>
      <c r="J721" s="282">
        <f>ROUND(C177,0)</f>
        <v>0</v>
      </c>
      <c r="K721" s="282">
        <f>ROUND(C180,0)</f>
        <v>0</v>
      </c>
      <c r="L721" s="282">
        <f>ROUND(C181,0)</f>
        <v>0</v>
      </c>
      <c r="M721" s="282">
        <f>ROUND(C184,0)</f>
        <v>-48985</v>
      </c>
      <c r="N721" s="282">
        <f>ROUND(C185,0)</f>
        <v>0</v>
      </c>
      <c r="O721" s="282">
        <f>ROUND(C186,0)</f>
        <v>0</v>
      </c>
      <c r="P721" s="282">
        <f>ROUND(C189,0)</f>
        <v>4019</v>
      </c>
      <c r="Q721" s="282">
        <f>ROUND(C190,0)</f>
        <v>0</v>
      </c>
      <c r="R721" s="282">
        <f>ROUND(B196,0)</f>
        <v>587456</v>
      </c>
      <c r="S721" s="282">
        <f>ROUND(C196,0)</f>
        <v>0</v>
      </c>
      <c r="T721" s="282">
        <f>ROUND(D196,0)</f>
        <v>0</v>
      </c>
      <c r="U721" s="282">
        <f>ROUND(B197,0)</f>
        <v>21162488</v>
      </c>
      <c r="V721" s="282">
        <f>ROUND(C197,0)</f>
        <v>15774432</v>
      </c>
      <c r="W721" s="282">
        <f>ROUND(D197,0)</f>
        <v>1432774</v>
      </c>
      <c r="X721" s="282">
        <f>ROUND(B198,0)</f>
        <v>6336232</v>
      </c>
      <c r="Y721" s="282">
        <f>ROUND(C198,0)</f>
        <v>299143</v>
      </c>
      <c r="Z721" s="282">
        <f>ROUND(D198,0)</f>
        <v>3814</v>
      </c>
      <c r="AA721" s="282">
        <f>ROUND(B199,0)</f>
        <v>979108</v>
      </c>
      <c r="AB721" s="282">
        <f>ROUND(C199,0)</f>
        <v>258587</v>
      </c>
      <c r="AC721" s="282">
        <f>ROUND(D199,0)</f>
        <v>275833</v>
      </c>
      <c r="AD721" s="282">
        <f>ROUND(B200,0)</f>
        <v>5099176</v>
      </c>
      <c r="AE721" s="282">
        <f>ROUND(C200,0)</f>
        <v>0</v>
      </c>
      <c r="AF721" s="282">
        <f>ROUND(D200,0)</f>
        <v>618820</v>
      </c>
      <c r="AG721" s="282">
        <f>ROUND(B201,0)</f>
        <v>686414</v>
      </c>
      <c r="AH721" s="282">
        <f>ROUND(C201,0)</f>
        <v>0</v>
      </c>
      <c r="AI721" s="282">
        <f>ROUND(D201,0)</f>
        <v>558342</v>
      </c>
      <c r="AJ721" s="282">
        <f>ROUND(B202,0)</f>
        <v>0</v>
      </c>
      <c r="AK721" s="282">
        <f>ROUND(C202,0)</f>
        <v>0</v>
      </c>
      <c r="AL721" s="282">
        <f>ROUND(D202,0)</f>
        <v>0</v>
      </c>
      <c r="AM721" s="282">
        <f>ROUND(B203,0)</f>
        <v>771702</v>
      </c>
      <c r="AN721" s="282">
        <f>ROUND(C203,0)</f>
        <v>-771702</v>
      </c>
      <c r="AO721" s="282">
        <f>ROUND(D203,0)</f>
        <v>0</v>
      </c>
      <c r="AP721" s="282">
        <f>ROUND(B204,0)</f>
        <v>36245373</v>
      </c>
      <c r="AQ721" s="282">
        <f>ROUND(C204,0)</f>
        <v>15560460</v>
      </c>
      <c r="AR721" s="282">
        <f>ROUND(D204,0)</f>
        <v>2889583</v>
      </c>
      <c r="AS721" s="282"/>
      <c r="AT721" s="282"/>
      <c r="AU721" s="282"/>
      <c r="AV721" s="282">
        <f>ROUND(B210,0)</f>
        <v>13572748</v>
      </c>
      <c r="AW721" s="282">
        <f>ROUND(C210,0)</f>
        <v>1131403</v>
      </c>
      <c r="AX721" s="282">
        <f>ROUND(D210,0)</f>
        <v>-1753877</v>
      </c>
      <c r="AY721" s="282">
        <f>ROUND(B211,0)</f>
        <v>4630549</v>
      </c>
      <c r="AZ721" s="282">
        <f>ROUND(C211,0)</f>
        <v>149074</v>
      </c>
      <c r="BA721" s="282">
        <f>ROUND(D211,0)</f>
        <v>3814</v>
      </c>
      <c r="BB721" s="282">
        <f>ROUND(B212,0)</f>
        <v>971294</v>
      </c>
      <c r="BC721" s="282">
        <f>ROUND(C212,0)</f>
        <v>12057</v>
      </c>
      <c r="BD721" s="282">
        <f>ROUND(D212,0)</f>
        <v>275833</v>
      </c>
      <c r="BE721" s="282">
        <f>ROUND(B213,0)</f>
        <v>4195446</v>
      </c>
      <c r="BF721" s="282">
        <f>ROUND(C213,0)</f>
        <v>264957</v>
      </c>
      <c r="BG721" s="282">
        <f>ROUND(D213,0)</f>
        <v>591187</v>
      </c>
      <c r="BH721" s="282">
        <f>ROUND(B214,0)</f>
        <v>686414</v>
      </c>
      <c r="BI721" s="282">
        <f>ROUND(C214,0)</f>
        <v>13899</v>
      </c>
      <c r="BJ721" s="282">
        <f>ROUND(D214,0)</f>
        <v>558341</v>
      </c>
      <c r="BK721" s="282">
        <f>ROUND(B215,0)</f>
        <v>0</v>
      </c>
      <c r="BL721" s="282">
        <f>ROUND(C215,0)</f>
        <v>0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24642674</v>
      </c>
      <c r="BR721" s="282">
        <f>ROUND(C217,0)</f>
        <v>1572622</v>
      </c>
      <c r="BS721" s="282">
        <f>ROUND(D217,0)</f>
        <v>-324702</v>
      </c>
      <c r="BT721" s="282">
        <f>ROUND(C222,0)</f>
        <v>0</v>
      </c>
      <c r="BU721" s="282">
        <f>ROUND(C223,0)</f>
        <v>25554479</v>
      </c>
      <c r="BV721" s="282">
        <f>ROUND(C224,0)</f>
        <v>13236356</v>
      </c>
      <c r="BW721" s="282">
        <f>ROUND(C225,0)</f>
        <v>3008813</v>
      </c>
      <c r="BX721" s="282">
        <f>ROUND(C226,0)</f>
        <v>3204668</v>
      </c>
      <c r="BY721" s="282">
        <f>ROUND(C227,0)</f>
        <v>0</v>
      </c>
      <c r="BZ721" s="282">
        <f>ROUND(C230,0)</f>
        <v>0</v>
      </c>
      <c r="CA721" s="282">
        <f>ROUND(C232,0)</f>
        <v>0</v>
      </c>
      <c r="CB721" s="282">
        <f>ROUND(C233,0)</f>
        <v>545840</v>
      </c>
      <c r="CC721" s="282">
        <f>ROUND(C237+C238,0)</f>
        <v>0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4" t="str">
        <f>RIGHT(C84,3)&amp;"*"&amp;RIGHT(C83,4)&amp;"*"&amp;"A"</f>
        <v>ute*157*A</v>
      </c>
      <c r="B725" s="282">
        <f>ROUND(C112,0)</f>
        <v>0</v>
      </c>
      <c r="C725" s="282">
        <f>ROUND(C113,0)</f>
        <v>0</v>
      </c>
      <c r="D725" s="282">
        <f>ROUND(C114,0)</f>
        <v>0</v>
      </c>
      <c r="E725" s="282">
        <f>ROUND(C115,0)</f>
        <v>0</v>
      </c>
      <c r="F725" s="282">
        <f>ROUND(D112,0)</f>
        <v>0</v>
      </c>
      <c r="G725" s="282">
        <f>ROUND(D113,0)</f>
        <v>0</v>
      </c>
      <c r="H725" s="282">
        <f>ROUND(D114,0)</f>
        <v>0</v>
      </c>
      <c r="I725" s="282">
        <f>ROUND(D115,0)</f>
        <v>0</v>
      </c>
      <c r="J725" s="282">
        <f>ROUND(C117,0)</f>
        <v>0</v>
      </c>
      <c r="K725" s="282">
        <f>ROUND(C118,0)</f>
        <v>0</v>
      </c>
      <c r="L725" s="282">
        <f>ROUND(C119,0)</f>
        <v>0</v>
      </c>
      <c r="M725" s="282">
        <f>ROUND(C120,0)</f>
        <v>0</v>
      </c>
      <c r="N725" s="282">
        <f>ROUND(C121,0)</f>
        <v>72</v>
      </c>
      <c r="O725" s="282">
        <f>ROUND(C122,0)</f>
        <v>0</v>
      </c>
      <c r="P725" s="282">
        <f>ROUND(C123,0)</f>
        <v>0</v>
      </c>
      <c r="Q725" s="282">
        <f>ROUND(C124,0)</f>
        <v>0</v>
      </c>
      <c r="R725" s="282">
        <f>ROUND(C125,0)</f>
        <v>0</v>
      </c>
      <c r="S725" s="282">
        <f>ROUND(C126,0)</f>
        <v>0</v>
      </c>
      <c r="T725" s="282"/>
      <c r="U725" s="282">
        <f>ROUND(C127,0)</f>
        <v>0</v>
      </c>
      <c r="V725" s="282">
        <f>ROUND(C129,0)</f>
        <v>0</v>
      </c>
      <c r="W725" s="282">
        <f>ROUND(C130,0)</f>
        <v>0</v>
      </c>
      <c r="X725" s="282">
        <f>ROUND(B139,0)</f>
        <v>11570</v>
      </c>
      <c r="Y725" s="282">
        <f>ROUND(B140,0)</f>
        <v>0</v>
      </c>
      <c r="Z725" s="282">
        <f>ROUND(B141,0)</f>
        <v>42285375</v>
      </c>
      <c r="AA725" s="282">
        <f>ROUND(B142,0)</f>
        <v>6632031</v>
      </c>
      <c r="AB725" s="282">
        <f>ROUND(B143,0)</f>
        <v>0</v>
      </c>
      <c r="AC725" s="282">
        <f>ROUND(C139,0)</f>
        <v>3564</v>
      </c>
      <c r="AD725" s="282">
        <f>ROUND(C140,0)</f>
        <v>0</v>
      </c>
      <c r="AE725" s="282">
        <f>ROUND(C141,0)</f>
        <v>13995690</v>
      </c>
      <c r="AF725" s="282">
        <f>ROUND(C142,0)</f>
        <v>5144373</v>
      </c>
      <c r="AG725" s="282">
        <f>ROUND(C143,0)</f>
        <v>0</v>
      </c>
      <c r="AH725" s="282">
        <f>ROUND(D139,0)</f>
        <v>4736</v>
      </c>
      <c r="AI725" s="282">
        <f>ROUND(D140,0)</f>
        <v>0</v>
      </c>
      <c r="AJ725" s="282">
        <f>ROUND(D141,0)</f>
        <v>17264753</v>
      </c>
      <c r="AK725" s="282">
        <f>ROUND(D142,0)</f>
        <v>11321708</v>
      </c>
      <c r="AL725" s="282">
        <f>ROUND(D143,0)</f>
        <v>0</v>
      </c>
      <c r="AM725" s="282">
        <f>ROUND(B145,0)</f>
        <v>0</v>
      </c>
      <c r="AN725" s="282">
        <f>ROUND(B146,0)</f>
        <v>0</v>
      </c>
      <c r="AO725" s="282">
        <f>ROUND(B147,0)</f>
        <v>0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4" t="str">
        <f>RIGHT(C84,3)&amp;"*"&amp;RIGHT(C83,4)&amp;"*"&amp;"A"</f>
        <v>ute*157*A</v>
      </c>
      <c r="B729" s="282">
        <f>ROUND(C249,0)</f>
        <v>0</v>
      </c>
      <c r="C729" s="282">
        <f>ROUND(C250,0)</f>
        <v>1425</v>
      </c>
      <c r="D729" s="282">
        <f>ROUND(C251,0)</f>
        <v>0</v>
      </c>
      <c r="E729" s="282">
        <f>ROUND(C252,0)</f>
        <v>14558534</v>
      </c>
      <c r="F729" s="282">
        <f>ROUND(C253,0)</f>
        <v>8404034</v>
      </c>
      <c r="G729" s="282">
        <f>ROUND(C254,0)</f>
        <v>191529</v>
      </c>
      <c r="H729" s="282">
        <f>ROUND(C255,0)</f>
        <v>466523</v>
      </c>
      <c r="I729" s="282">
        <f>ROUND(C256,0)</f>
        <v>0</v>
      </c>
      <c r="J729" s="282">
        <f>ROUND(C257,0)</f>
        <v>208682</v>
      </c>
      <c r="K729" s="282">
        <f>ROUND(C258,0)</f>
        <v>39828</v>
      </c>
      <c r="L729" s="282">
        <f>ROUND(C261,0)</f>
        <v>0</v>
      </c>
      <c r="M729" s="282">
        <f>ROUND(C262,0)</f>
        <v>0</v>
      </c>
      <c r="N729" s="282">
        <f>ROUND(C263,0)</f>
        <v>0</v>
      </c>
      <c r="O729" s="282">
        <f>ROUND(C266,0)</f>
        <v>0</v>
      </c>
      <c r="P729" s="282">
        <f>ROUND(C267,0)</f>
        <v>622797</v>
      </c>
      <c r="Q729" s="282">
        <f>ROUND(C268,0)</f>
        <v>587456</v>
      </c>
      <c r="R729" s="282">
        <f>ROUND(C269,0)</f>
        <v>35504146</v>
      </c>
      <c r="S729" s="282">
        <f>ROUND(C270,0)</f>
        <v>6631561</v>
      </c>
      <c r="T729" s="282">
        <f>ROUND(C271,0)</f>
        <v>961862</v>
      </c>
      <c r="U729" s="282">
        <f>ROUND(C272,0)</f>
        <v>4608428</v>
      </c>
      <c r="V729" s="282">
        <f>ROUND(C273,0)</f>
        <v>0</v>
      </c>
      <c r="W729" s="282">
        <f>ROUND(C274,0)</f>
        <v>0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128642</v>
      </c>
      <c r="AC729" s="282">
        <f>ROUND(C285,0)</f>
        <v>0</v>
      </c>
      <c r="AD729" s="282">
        <f>ROUND(C286,0)</f>
        <v>0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1457553</v>
      </c>
      <c r="AJ729" s="282">
        <f>ROUND(C306,0)</f>
        <v>1860425</v>
      </c>
      <c r="AK729" s="282">
        <f>ROUND(C307,0)</f>
        <v>0</v>
      </c>
      <c r="AL729" s="282">
        <f>ROUND(C308,0)</f>
        <v>0</v>
      </c>
      <c r="AM729" s="282">
        <f>ROUND(C309,0)</f>
        <v>4789660</v>
      </c>
      <c r="AN729" s="282">
        <f>ROUND(C310,0)</f>
        <v>0</v>
      </c>
      <c r="AO729" s="282">
        <f>ROUND(C311,0)</f>
        <v>0</v>
      </c>
      <c r="AP729" s="282">
        <f>ROUND(C312,0)</f>
        <v>29157178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0</v>
      </c>
      <c r="AY729" s="282">
        <f>ROUND(C325,0)</f>
        <v>0</v>
      </c>
      <c r="AZ729" s="282">
        <f>ROUND(C326,0)</f>
        <v>0</v>
      </c>
      <c r="BA729" s="282">
        <f>ROUND(C327,0)</f>
        <v>148000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408.9</v>
      </c>
      <c r="BJ729" s="282">
        <f>ROUND(C358,0)</f>
        <v>0</v>
      </c>
      <c r="BK729" s="282">
        <f>ROUND(C359,0)</f>
        <v>73545818</v>
      </c>
      <c r="BL729" s="282">
        <f>ROUND(C362,0)</f>
        <v>0</v>
      </c>
      <c r="BM729" s="282">
        <f>ROUND(C363,0)</f>
        <v>-1088186</v>
      </c>
      <c r="BN729" s="282">
        <f>ROUND(C364,0)</f>
        <v>53497163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28753642</v>
      </c>
      <c r="BT729" s="282">
        <f>ROUND(C379,0)</f>
        <v>8018655</v>
      </c>
      <c r="BU729" s="282">
        <f>ROUND(C380,0)</f>
        <v>453475</v>
      </c>
      <c r="BV729" s="282">
        <f>ROUND(C381,0)</f>
        <v>1803094</v>
      </c>
      <c r="BW729" s="282">
        <f>ROUND(C382,0)</f>
        <v>543048</v>
      </c>
      <c r="BX729" s="282">
        <f>ROUND(C383,0)</f>
        <v>5617172</v>
      </c>
      <c r="BY729" s="282">
        <f>ROUND(C384,0)</f>
        <v>1572622</v>
      </c>
      <c r="BZ729" s="282">
        <f>ROUND(C385,0)</f>
        <v>556248</v>
      </c>
      <c r="CA729" s="282">
        <f>ROUND(C386,0)</f>
        <v>0</v>
      </c>
      <c r="CB729" s="282">
        <f>ROUND(C387,0)</f>
        <v>-48985</v>
      </c>
      <c r="CC729" s="282">
        <f>ROUND(C388,0)</f>
        <v>4019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>ute*157*6010*A</v>
      </c>
      <c r="B733" s="282">
        <f>ROUND(C59,0)</f>
        <v>0</v>
      </c>
      <c r="C733" s="285">
        <f>ROUND(C60,2)</f>
        <v>0</v>
      </c>
      <c r="D733" s="282">
        <f>ROUND(C61,0)</f>
        <v>0</v>
      </c>
      <c r="E733" s="282">
        <f>ROUND(C62,0)</f>
        <v>0</v>
      </c>
      <c r="F733" s="282">
        <f>ROUND(C63,0)</f>
        <v>0</v>
      </c>
      <c r="G733" s="282">
        <f>ROUND(C64,0)</f>
        <v>0</v>
      </c>
      <c r="H733" s="282">
        <f>ROUND(C65,0)</f>
        <v>0</v>
      </c>
      <c r="I733" s="282">
        <f>ROUND(C66,0)</f>
        <v>0</v>
      </c>
      <c r="J733" s="282">
        <f>ROUND(C67,0)</f>
        <v>0</v>
      </c>
      <c r="K733" s="282">
        <f>ROUND(C68,0)</f>
        <v>0</v>
      </c>
      <c r="L733" s="282">
        <f>ROUND(C70,0)</f>
        <v>0</v>
      </c>
      <c r="M733" s="282">
        <f>ROUND(C71,0)</f>
        <v>0</v>
      </c>
      <c r="N733" s="282">
        <f>ROUND(C76,0)</f>
        <v>0</v>
      </c>
      <c r="O733" s="282">
        <f>ROUND(C74,0)</f>
        <v>0</v>
      </c>
      <c r="P733" s="282">
        <f>IF(C77&gt;0,ROUND(C77,0),0)</f>
        <v>0</v>
      </c>
      <c r="Q733" s="282">
        <f>IF(C78&gt;0,ROUND(C78,0),0)</f>
        <v>0</v>
      </c>
      <c r="R733" s="282">
        <f>IF(C79&gt;0,ROUND(C79,0),0)</f>
        <v>0</v>
      </c>
      <c r="S733" s="282">
        <f>IF(C80&gt;0,ROUND(C80,0),0)</f>
        <v>0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">
      <c r="A734" s="209" t="str">
        <f>RIGHT($C$84,3)&amp;"*"&amp;RIGHT($C$83,4)&amp;"*"&amp;D$55&amp;"*"&amp;"A"</f>
        <v>ute*157*6030*A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>
        <f t="shared" ref="Z734:Z778" si="21">IF(M668&lt;&gt;0,ROUND(M668,0),0)</f>
        <v>0</v>
      </c>
    </row>
    <row r="735" spans="1:84" ht="12.65" customHeight="1" x14ac:dyDescent="0.3">
      <c r="A735" s="209" t="str">
        <f>RIGHT($C$84,3)&amp;"*"&amp;RIGHT($C$83,4)&amp;"*"&amp;E$55&amp;"*"&amp;"A"</f>
        <v>ute*157*6070*A</v>
      </c>
      <c r="B735" s="282">
        <f>ROUND(E59,0)</f>
        <v>0</v>
      </c>
      <c r="C735" s="285">
        <f>ROUND(E60,2)</f>
        <v>0</v>
      </c>
      <c r="D735" s="282">
        <f>ROUND(E61,0)</f>
        <v>0</v>
      </c>
      <c r="E735" s="282">
        <f>ROUND(E62,0)</f>
        <v>0</v>
      </c>
      <c r="F735" s="282">
        <f>ROUND(E63,0)</f>
        <v>0</v>
      </c>
      <c r="G735" s="282">
        <f>ROUND(E64,0)</f>
        <v>0</v>
      </c>
      <c r="H735" s="282">
        <f>ROUND(E65,0)</f>
        <v>0</v>
      </c>
      <c r="I735" s="282">
        <f>ROUND(E66,0)</f>
        <v>0</v>
      </c>
      <c r="J735" s="282">
        <f>ROUND(E67,0)</f>
        <v>0</v>
      </c>
      <c r="K735" s="282">
        <f>ROUND(E68,0)</f>
        <v>0</v>
      </c>
      <c r="L735" s="282">
        <f>ROUND(E70,0)</f>
        <v>0</v>
      </c>
      <c r="M735" s="282">
        <f>ROUND(E71,0)</f>
        <v>0</v>
      </c>
      <c r="N735" s="282">
        <f>ROUND(E76,0)</f>
        <v>0</v>
      </c>
      <c r="O735" s="282">
        <f>ROUND(E74,0)</f>
        <v>0</v>
      </c>
      <c r="P735" s="282">
        <f>IF(E77&gt;0,ROUND(E77,0),0)</f>
        <v>0</v>
      </c>
      <c r="Q735" s="282">
        <f>IF(E78&gt;0,ROUND(E78,0),0)</f>
        <v>0</v>
      </c>
      <c r="R735" s="282">
        <f>IF(E79&gt;0,ROUND(E79,0),0)</f>
        <v>0</v>
      </c>
      <c r="S735" s="282">
        <f>IF(E80&gt;0,ROUND(E80,0),0)</f>
        <v>0</v>
      </c>
      <c r="T735" s="285">
        <f>IF(E81&gt;0,ROUND(E81,2),0)</f>
        <v>0</v>
      </c>
      <c r="U735" s="282"/>
      <c r="X735" s="282"/>
      <c r="Y735" s="282"/>
      <c r="Z735" s="282">
        <f t="shared" si="21"/>
        <v>0</v>
      </c>
    </row>
    <row r="736" spans="1:84" ht="12.65" customHeight="1" x14ac:dyDescent="0.3">
      <c r="A736" s="209" t="str">
        <f>RIGHT($C$84,3)&amp;"*"&amp;RIGHT($C$83,4)&amp;"*"&amp;F$55&amp;"*"&amp;"A"</f>
        <v>ute*157*6100*A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>
        <f t="shared" si="21"/>
        <v>0</v>
      </c>
    </row>
    <row r="737" spans="1:26" ht="12.65" customHeight="1" x14ac:dyDescent="0.3">
      <c r="A737" s="209" t="str">
        <f>RIGHT($C$84,3)&amp;"*"&amp;RIGHT($C$83,4)&amp;"*"&amp;G$55&amp;"*"&amp;"A"</f>
        <v>ute*157*6120*A</v>
      </c>
      <c r="B737" s="282">
        <f>ROUND(G59,0)</f>
        <v>19870</v>
      </c>
      <c r="C737" s="285">
        <f>ROUND(G60,2)</f>
        <v>136</v>
      </c>
      <c r="D737" s="282">
        <f>ROUND(G61,0)</f>
        <v>9528639</v>
      </c>
      <c r="E737" s="282">
        <f>ROUND(G62,0)</f>
        <v>2657294</v>
      </c>
      <c r="F737" s="282">
        <f>ROUND(G63,0)</f>
        <v>0</v>
      </c>
      <c r="G737" s="282">
        <f>ROUND(G64,0)</f>
        <v>445064</v>
      </c>
      <c r="H737" s="282">
        <f>ROUND(G65,0)</f>
        <v>2355</v>
      </c>
      <c r="I737" s="282">
        <f>ROUND(G66,0)</f>
        <v>1077497</v>
      </c>
      <c r="J737" s="282">
        <f>ROUND(G67,0)</f>
        <v>313397</v>
      </c>
      <c r="K737" s="282">
        <f>ROUND(G68,0)</f>
        <v>103353</v>
      </c>
      <c r="L737" s="282">
        <f>ROUND(G70,0)</f>
        <v>42286</v>
      </c>
      <c r="M737" s="282">
        <f>ROUND(G71,0)</f>
        <v>14088916</v>
      </c>
      <c r="N737" s="282">
        <f>ROUND(G76,0)</f>
        <v>36069</v>
      </c>
      <c r="O737" s="282">
        <f>ROUND(G74,0)</f>
        <v>0</v>
      </c>
      <c r="P737" s="282">
        <f>IF(G77&gt;0,ROUND(G77,0),0)</f>
        <v>58849</v>
      </c>
      <c r="Q737" s="282">
        <f>IF(G78&gt;0,ROUND(G78,0),0)</f>
        <v>36069</v>
      </c>
      <c r="R737" s="282">
        <f>IF(G79&gt;0,ROUND(G79,0),0)</f>
        <v>122884</v>
      </c>
      <c r="S737" s="282">
        <f>IF(G80&gt;0,ROUND(G80,0),0)</f>
        <v>67</v>
      </c>
      <c r="T737" s="285">
        <f>IF(G81&gt;0,ROUND(G81,2),0)</f>
        <v>0</v>
      </c>
      <c r="U737" s="282"/>
      <c r="X737" s="282"/>
      <c r="Y737" s="282"/>
      <c r="Z737" s="282">
        <f t="shared" si="21"/>
        <v>0</v>
      </c>
    </row>
    <row r="738" spans="1:26" ht="12.65" customHeight="1" x14ac:dyDescent="0.3">
      <c r="A738" s="209" t="str">
        <f>RIGHT($C$84,3)&amp;"*"&amp;RIGHT($C$83,4)&amp;"*"&amp;H$55&amp;"*"&amp;"A"</f>
        <v>ute*157*6140*A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>
        <f t="shared" si="21"/>
        <v>7280696</v>
      </c>
    </row>
    <row r="739" spans="1:26" ht="12.65" customHeight="1" x14ac:dyDescent="0.3">
      <c r="A739" s="209" t="str">
        <f>RIGHT($C$84,3)&amp;"*"&amp;RIGHT($C$83,4)&amp;"*"&amp;I$55&amp;"*"&amp;"A"</f>
        <v>ute*157*6150*A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>
        <f t="shared" si="21"/>
        <v>0</v>
      </c>
    </row>
    <row r="740" spans="1:26" ht="12.65" customHeight="1" x14ac:dyDescent="0.3">
      <c r="A740" s="209" t="str">
        <f>RIGHT($C$84,3)&amp;"*"&amp;RIGHT($C$83,4)&amp;"*"&amp;J$55&amp;"*"&amp;"A"</f>
        <v>ute*157*6170*A</v>
      </c>
      <c r="B740" s="282">
        <f>ROUND(J59,0)</f>
        <v>0</v>
      </c>
      <c r="C740" s="285">
        <f>ROUND(J60,2)</f>
        <v>0</v>
      </c>
      <c r="D740" s="282">
        <f>ROUND(J61,0)</f>
        <v>0</v>
      </c>
      <c r="E740" s="282">
        <f>ROUND(J62,0)</f>
        <v>0</v>
      </c>
      <c r="F740" s="282">
        <f>ROUND(J63,0)</f>
        <v>0</v>
      </c>
      <c r="G740" s="282">
        <f>ROUND(J64,0)</f>
        <v>0</v>
      </c>
      <c r="H740" s="282">
        <f>ROUND(J65,0)</f>
        <v>0</v>
      </c>
      <c r="I740" s="282">
        <f>ROUND(J66,0)</f>
        <v>0</v>
      </c>
      <c r="J740" s="282">
        <f>ROUND(J67,0)</f>
        <v>0</v>
      </c>
      <c r="K740" s="282">
        <f>ROUND(J68,0)</f>
        <v>0</v>
      </c>
      <c r="L740" s="282">
        <f>ROUND(J70,0)</f>
        <v>0</v>
      </c>
      <c r="M740" s="282">
        <f>ROUND(J71,0)</f>
        <v>0</v>
      </c>
      <c r="N740" s="282">
        <f>ROUND(J76,0)</f>
        <v>0</v>
      </c>
      <c r="O740" s="282">
        <f>ROUND(J74,0)</f>
        <v>0</v>
      </c>
      <c r="P740" s="282">
        <f>IF(J77&gt;0,ROUND(J77,0),0)</f>
        <v>0</v>
      </c>
      <c r="Q740" s="282">
        <f>IF(J78&gt;0,ROUND(J78,0),0)</f>
        <v>0</v>
      </c>
      <c r="R740" s="282">
        <f>IF(J79&gt;0,ROUND(J79,0),0)</f>
        <v>0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>
        <f t="shared" si="21"/>
        <v>0</v>
      </c>
    </row>
    <row r="741" spans="1:26" ht="12.65" customHeight="1" x14ac:dyDescent="0.3">
      <c r="A741" s="209" t="str">
        <f>RIGHT($C$84,3)&amp;"*"&amp;RIGHT($C$83,4)&amp;"*"&amp;K$55&amp;"*"&amp;"A"</f>
        <v>ute*157*6200*A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>
        <f t="shared" si="21"/>
        <v>0</v>
      </c>
    </row>
    <row r="742" spans="1:26" ht="12.65" customHeight="1" x14ac:dyDescent="0.3">
      <c r="A742" s="209" t="str">
        <f>RIGHT($C$84,3)&amp;"*"&amp;RIGHT($C$83,4)&amp;"*"&amp;L$55&amp;"*"&amp;"A"</f>
        <v>ute*157*6210*A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>
        <f t="shared" si="21"/>
        <v>0</v>
      </c>
    </row>
    <row r="743" spans="1:26" ht="12.65" customHeight="1" x14ac:dyDescent="0.3">
      <c r="A743" s="209" t="str">
        <f>RIGHT($C$84,3)&amp;"*"&amp;RIGHT($C$83,4)&amp;"*"&amp;M$55&amp;"*"&amp;"A"</f>
        <v>ute*157*6330*A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>
        <f t="shared" si="21"/>
        <v>0</v>
      </c>
    </row>
    <row r="744" spans="1:26" ht="12.65" customHeight="1" x14ac:dyDescent="0.3">
      <c r="A744" s="209" t="str">
        <f>RIGHT($C$84,3)&amp;"*"&amp;RIGHT($C$83,4)&amp;"*"&amp;N$55&amp;"*"&amp;"A"</f>
        <v>ute*157*6400*A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>
        <f t="shared" si="21"/>
        <v>0</v>
      </c>
    </row>
    <row r="745" spans="1:26" ht="12.65" customHeight="1" x14ac:dyDescent="0.3">
      <c r="A745" s="209" t="str">
        <f>RIGHT($C$84,3)&amp;"*"&amp;RIGHT($C$83,4)&amp;"*"&amp;O$55&amp;"*"&amp;"A"</f>
        <v>ute*157*7010*A</v>
      </c>
      <c r="B745" s="282">
        <f>ROUND(O59,0)</f>
        <v>0</v>
      </c>
      <c r="C745" s="285">
        <f>ROUND(O60,2)</f>
        <v>0</v>
      </c>
      <c r="D745" s="282">
        <f>ROUND(O61,0)</f>
        <v>0</v>
      </c>
      <c r="E745" s="282">
        <f>ROUND(O62,0)</f>
        <v>0</v>
      </c>
      <c r="F745" s="282">
        <f>ROUND(O63,0)</f>
        <v>0</v>
      </c>
      <c r="G745" s="282">
        <f>ROUND(O64,0)</f>
        <v>0</v>
      </c>
      <c r="H745" s="282">
        <f>ROUND(O65,0)</f>
        <v>0</v>
      </c>
      <c r="I745" s="282">
        <f>ROUND(O66,0)</f>
        <v>0</v>
      </c>
      <c r="J745" s="282">
        <f>ROUND(O67,0)</f>
        <v>0</v>
      </c>
      <c r="K745" s="282">
        <f>ROUND(O68,0)</f>
        <v>0</v>
      </c>
      <c r="L745" s="282">
        <f>ROUND(O70,0)</f>
        <v>0</v>
      </c>
      <c r="M745" s="282">
        <f>ROUND(O71,0)</f>
        <v>0</v>
      </c>
      <c r="N745" s="282">
        <f>ROUND(O76,0)</f>
        <v>0</v>
      </c>
      <c r="O745" s="282">
        <f>ROUND(O74,0)</f>
        <v>0</v>
      </c>
      <c r="P745" s="282">
        <f>IF(O77&gt;0,ROUND(O77,0),0)</f>
        <v>0</v>
      </c>
      <c r="Q745" s="282">
        <f>IF(O78&gt;0,ROUND(O78,0),0)</f>
        <v>0</v>
      </c>
      <c r="R745" s="282">
        <f>IF(O79&gt;0,ROUND(O79,0),0)</f>
        <v>0</v>
      </c>
      <c r="S745" s="282">
        <f>IF(O80&gt;0,ROUND(O80,0),0)</f>
        <v>0</v>
      </c>
      <c r="T745" s="285">
        <f>IF(O81&gt;0,ROUND(O81,2),0)</f>
        <v>0</v>
      </c>
      <c r="U745" s="282"/>
      <c r="X745" s="282"/>
      <c r="Y745" s="282"/>
      <c r="Z745" s="282">
        <f t="shared" si="21"/>
        <v>0</v>
      </c>
    </row>
    <row r="746" spans="1:26" ht="12.65" customHeight="1" x14ac:dyDescent="0.3">
      <c r="A746" s="209" t="str">
        <f>RIGHT($C$84,3)&amp;"*"&amp;RIGHT($C$83,4)&amp;"*"&amp;P$55&amp;"*"&amp;"A"</f>
        <v>ute*157*7020*A</v>
      </c>
      <c r="B746" s="282">
        <f>ROUND(P59,0)</f>
        <v>0</v>
      </c>
      <c r="C746" s="285">
        <f>ROUND(P60,2)</f>
        <v>0</v>
      </c>
      <c r="D746" s="282">
        <f>ROUND(P61,0)</f>
        <v>0</v>
      </c>
      <c r="E746" s="282">
        <f>ROUND(P62,0)</f>
        <v>0</v>
      </c>
      <c r="F746" s="282">
        <f>ROUND(P63,0)</f>
        <v>0</v>
      </c>
      <c r="G746" s="282">
        <f>ROUND(P64,0)</f>
        <v>0</v>
      </c>
      <c r="H746" s="282">
        <f>ROUND(P65,0)</f>
        <v>0</v>
      </c>
      <c r="I746" s="282">
        <f>ROUND(P66,0)</f>
        <v>0</v>
      </c>
      <c r="J746" s="282">
        <f>ROUND(P67,0)</f>
        <v>0</v>
      </c>
      <c r="K746" s="282">
        <f>ROUND(P68,0)</f>
        <v>0</v>
      </c>
      <c r="L746" s="282">
        <f>ROUND(P70,0)</f>
        <v>0</v>
      </c>
      <c r="M746" s="282">
        <f>ROUND(P71,0)</f>
        <v>0</v>
      </c>
      <c r="N746" s="282">
        <f>ROUND(P76,0)</f>
        <v>0</v>
      </c>
      <c r="O746" s="282">
        <f>ROUND(P74,0)</f>
        <v>0</v>
      </c>
      <c r="P746" s="282">
        <f>IF(P77&gt;0,ROUND(P77,0),0)</f>
        <v>0</v>
      </c>
      <c r="Q746" s="282">
        <f>IF(P78&gt;0,ROUND(P78,0),0)</f>
        <v>0</v>
      </c>
      <c r="R746" s="282">
        <f>IF(P79&gt;0,ROUND(P79,0),0)</f>
        <v>0</v>
      </c>
      <c r="S746" s="282">
        <f>IF(P80&gt;0,ROUND(P80,0),0)</f>
        <v>0</v>
      </c>
      <c r="T746" s="285">
        <f>IF(P81&gt;0,ROUND(P81,2),0)</f>
        <v>0</v>
      </c>
      <c r="U746" s="282"/>
      <c r="X746" s="282"/>
      <c r="Y746" s="282"/>
      <c r="Z746" s="282">
        <f t="shared" si="21"/>
        <v>0</v>
      </c>
    </row>
    <row r="747" spans="1:26" ht="12.65" customHeight="1" x14ac:dyDescent="0.3">
      <c r="A747" s="209" t="str">
        <f>RIGHT($C$84,3)&amp;"*"&amp;RIGHT($C$83,4)&amp;"*"&amp;Q$55&amp;"*"&amp;"A"</f>
        <v>ute*157*7030*A</v>
      </c>
      <c r="B747" s="282">
        <f>ROUND(Q59,0)</f>
        <v>0</v>
      </c>
      <c r="C747" s="285">
        <f>ROUND(Q60,2)</f>
        <v>0</v>
      </c>
      <c r="D747" s="282">
        <f>ROUND(Q61,0)</f>
        <v>0</v>
      </c>
      <c r="E747" s="282">
        <f>ROUND(Q62,0)</f>
        <v>0</v>
      </c>
      <c r="F747" s="282">
        <f>ROUND(Q63,0)</f>
        <v>0</v>
      </c>
      <c r="G747" s="282">
        <f>ROUND(Q64,0)</f>
        <v>0</v>
      </c>
      <c r="H747" s="282">
        <f>ROUND(Q65,0)</f>
        <v>0</v>
      </c>
      <c r="I747" s="282">
        <f>ROUND(Q66,0)</f>
        <v>0</v>
      </c>
      <c r="J747" s="282">
        <f>ROUND(Q67,0)</f>
        <v>0</v>
      </c>
      <c r="K747" s="282">
        <f>ROUND(Q68,0)</f>
        <v>0</v>
      </c>
      <c r="L747" s="282">
        <f>ROUND(Q70,0)</f>
        <v>0</v>
      </c>
      <c r="M747" s="282">
        <f>ROUND(Q71,0)</f>
        <v>0</v>
      </c>
      <c r="N747" s="282">
        <f>ROUND(Q76,0)</f>
        <v>0</v>
      </c>
      <c r="O747" s="282">
        <f>ROUND(Q74,0)</f>
        <v>0</v>
      </c>
      <c r="P747" s="282">
        <f>IF(Q77&gt;0,ROUND(Q77,0),0)</f>
        <v>0</v>
      </c>
      <c r="Q747" s="282">
        <f>IF(Q78&gt;0,ROUND(Q78,0),0)</f>
        <v>0</v>
      </c>
      <c r="R747" s="282">
        <f>IF(Q79&gt;0,ROUND(Q79,0),0)</f>
        <v>0</v>
      </c>
      <c r="S747" s="282">
        <f>IF(Q80&gt;0,ROUND(Q80,0),0)</f>
        <v>0</v>
      </c>
      <c r="T747" s="285">
        <f>IF(Q81&gt;0,ROUND(Q81,2),0)</f>
        <v>0</v>
      </c>
      <c r="U747" s="282"/>
      <c r="X747" s="282"/>
      <c r="Y747" s="282"/>
      <c r="Z747" s="282">
        <f t="shared" si="21"/>
        <v>0</v>
      </c>
    </row>
    <row r="748" spans="1:26" ht="12.65" customHeight="1" x14ac:dyDescent="0.3">
      <c r="A748" s="209" t="str">
        <f>RIGHT($C$84,3)&amp;"*"&amp;RIGHT($C$83,4)&amp;"*"&amp;R$55&amp;"*"&amp;"A"</f>
        <v>ute*157*7040*A</v>
      </c>
      <c r="B748" s="282">
        <f>ROUND(R59,0)</f>
        <v>0</v>
      </c>
      <c r="C748" s="285">
        <f>ROUND(R60,2)</f>
        <v>0</v>
      </c>
      <c r="D748" s="282">
        <f>ROUND(R61,0)</f>
        <v>0</v>
      </c>
      <c r="E748" s="282">
        <f>ROUND(R62,0)</f>
        <v>0</v>
      </c>
      <c r="F748" s="282">
        <f>ROUND(R63,0)</f>
        <v>0</v>
      </c>
      <c r="G748" s="282">
        <f>ROUND(R64,0)</f>
        <v>0</v>
      </c>
      <c r="H748" s="282">
        <f>ROUND(R65,0)</f>
        <v>0</v>
      </c>
      <c r="I748" s="282">
        <f>ROUND(R66,0)</f>
        <v>0</v>
      </c>
      <c r="J748" s="282">
        <f>ROUND(R67,0)</f>
        <v>0</v>
      </c>
      <c r="K748" s="282">
        <f>ROUND(R68,0)</f>
        <v>0</v>
      </c>
      <c r="L748" s="282">
        <f>ROUND(R70,0)</f>
        <v>0</v>
      </c>
      <c r="M748" s="282">
        <f>ROUND(R71,0)</f>
        <v>0</v>
      </c>
      <c r="N748" s="282">
        <f>ROUND(R76,0)</f>
        <v>0</v>
      </c>
      <c r="O748" s="282">
        <f>ROUND(R74,0)</f>
        <v>0</v>
      </c>
      <c r="P748" s="282">
        <f>IF(R77&gt;0,ROUND(R77,0),0)</f>
        <v>0</v>
      </c>
      <c r="Q748" s="282">
        <f>IF(R78&gt;0,ROUND(R78,0),0)</f>
        <v>0</v>
      </c>
      <c r="R748" s="282">
        <f>IF(R79&gt;0,ROUND(R79,0),0)</f>
        <v>0</v>
      </c>
      <c r="S748" s="282">
        <f>IF(R80&gt;0,ROUND(R80,0),0)</f>
        <v>0</v>
      </c>
      <c r="T748" s="285">
        <f>IF(R81&gt;0,ROUND(R81,2),0)</f>
        <v>0</v>
      </c>
      <c r="U748" s="282"/>
      <c r="X748" s="282"/>
      <c r="Y748" s="282"/>
      <c r="Z748" s="282">
        <f t="shared" si="21"/>
        <v>0</v>
      </c>
    </row>
    <row r="749" spans="1:26" ht="12.65" customHeight="1" x14ac:dyDescent="0.3">
      <c r="A749" s="209" t="str">
        <f>RIGHT($C$84,3)&amp;"*"&amp;RIGHT($C$83,4)&amp;"*"&amp;S$55&amp;"*"&amp;"A"</f>
        <v>ute*157*7050*A</v>
      </c>
      <c r="B749" s="282"/>
      <c r="C749" s="285">
        <f>ROUND(S60,2)</f>
        <v>2.1</v>
      </c>
      <c r="D749" s="282">
        <f>ROUND(S61,0)</f>
        <v>83721</v>
      </c>
      <c r="E749" s="282">
        <f>ROUND(S62,0)</f>
        <v>23348</v>
      </c>
      <c r="F749" s="282">
        <f>ROUND(S63,0)</f>
        <v>0</v>
      </c>
      <c r="G749" s="282">
        <f>ROUND(S64,0)</f>
        <v>733</v>
      </c>
      <c r="H749" s="282">
        <f>ROUND(S65,0)</f>
        <v>453</v>
      </c>
      <c r="I749" s="282">
        <f>ROUND(S66,0)</f>
        <v>3639</v>
      </c>
      <c r="J749" s="282">
        <f>ROUND(S67,0)</f>
        <v>0</v>
      </c>
      <c r="K749" s="282">
        <f>ROUND(S68,0)</f>
        <v>0</v>
      </c>
      <c r="L749" s="282">
        <f>ROUND(S70,0)</f>
        <v>0</v>
      </c>
      <c r="M749" s="282">
        <f>ROUND(S71,0)</f>
        <v>65795</v>
      </c>
      <c r="N749" s="282">
        <f>ROUND(S76,0)</f>
        <v>0</v>
      </c>
      <c r="O749" s="282">
        <f>ROUND(S74,0)</f>
        <v>0</v>
      </c>
      <c r="P749" s="282">
        <f>IF(S77&gt;0,ROUND(S77,0),0)</f>
        <v>0</v>
      </c>
      <c r="Q749" s="282">
        <f>IF(S78&gt;0,ROUND(S78,0),0)</f>
        <v>0</v>
      </c>
      <c r="R749" s="282">
        <f>IF(S79&gt;0,ROUND(S79,0),0)</f>
        <v>0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>
        <f t="shared" si="21"/>
        <v>0</v>
      </c>
    </row>
    <row r="750" spans="1:26" ht="12.65" customHeight="1" x14ac:dyDescent="0.3">
      <c r="A750" s="209" t="str">
        <f>RIGHT($C$84,3)&amp;"*"&amp;RIGHT($C$83,4)&amp;"*"&amp;T$55&amp;"*"&amp;"A"</f>
        <v>ute*157*7060*A</v>
      </c>
      <c r="B750" s="282"/>
      <c r="C750" s="285">
        <f>ROUND(T60,2)</f>
        <v>0</v>
      </c>
      <c r="D750" s="282">
        <f>ROUND(T61,0)</f>
        <v>0</v>
      </c>
      <c r="E750" s="282">
        <f>ROUND(T62,0)</f>
        <v>0</v>
      </c>
      <c r="F750" s="282">
        <f>ROUND(T63,0)</f>
        <v>0</v>
      </c>
      <c r="G750" s="282">
        <f>ROUND(T64,0)</f>
        <v>0</v>
      </c>
      <c r="H750" s="282">
        <f>ROUND(T65,0)</f>
        <v>0</v>
      </c>
      <c r="I750" s="282">
        <f>ROUND(T66,0)</f>
        <v>0</v>
      </c>
      <c r="J750" s="282">
        <f>ROUND(T67,0)</f>
        <v>0</v>
      </c>
      <c r="K750" s="282">
        <f>ROUND(T68,0)</f>
        <v>0</v>
      </c>
      <c r="L750" s="282">
        <f>ROUND(T70,0)</f>
        <v>0</v>
      </c>
      <c r="M750" s="282">
        <f>ROUND(T71,0)</f>
        <v>0</v>
      </c>
      <c r="N750" s="282">
        <f>ROUND(T76,0)</f>
        <v>0</v>
      </c>
      <c r="O750" s="282">
        <f>ROUND(T74,0)</f>
        <v>0</v>
      </c>
      <c r="P750" s="282">
        <f>IF(T77&gt;0,ROUND(T77,0),0)</f>
        <v>0</v>
      </c>
      <c r="Q750" s="282">
        <f>IF(T78&gt;0,ROUND(T78,0),0)</f>
        <v>0</v>
      </c>
      <c r="R750" s="282">
        <f>IF(T79&gt;0,ROUND(T79,0),0)</f>
        <v>0</v>
      </c>
      <c r="S750" s="282">
        <f>IF(T80&gt;0,ROUND(T80,0),0)</f>
        <v>0</v>
      </c>
      <c r="T750" s="285">
        <f>IF(T81&gt;0,ROUND(T81,2),0)</f>
        <v>0</v>
      </c>
      <c r="U750" s="282"/>
      <c r="X750" s="282"/>
      <c r="Y750" s="282"/>
      <c r="Z750" s="282">
        <f t="shared" si="21"/>
        <v>4347</v>
      </c>
    </row>
    <row r="751" spans="1:26" ht="12.65" customHeight="1" x14ac:dyDescent="0.3">
      <c r="A751" s="209" t="str">
        <f>RIGHT($C$84,3)&amp;"*"&amp;RIGHT($C$83,4)&amp;"*"&amp;U$55&amp;"*"&amp;"A"</f>
        <v>ute*157*7070*A</v>
      </c>
      <c r="B751" s="282">
        <f>ROUND(U59,0)</f>
        <v>94261</v>
      </c>
      <c r="C751" s="285">
        <f>ROUND(U60,2)</f>
        <v>0</v>
      </c>
      <c r="D751" s="282">
        <f>ROUND(U61,0)</f>
        <v>0</v>
      </c>
      <c r="E751" s="282">
        <f>ROUND(U62,0)</f>
        <v>0</v>
      </c>
      <c r="F751" s="282">
        <f>ROUND(U63,0)</f>
        <v>0</v>
      </c>
      <c r="G751" s="282">
        <f>ROUND(U64,0)</f>
        <v>0</v>
      </c>
      <c r="H751" s="282">
        <f>ROUND(U65,0)</f>
        <v>0</v>
      </c>
      <c r="I751" s="282">
        <f>ROUND(U66,0)</f>
        <v>164225</v>
      </c>
      <c r="J751" s="282">
        <f>ROUND(U67,0)</f>
        <v>0</v>
      </c>
      <c r="K751" s="282">
        <f>ROUND(U68,0)</f>
        <v>0</v>
      </c>
      <c r="L751" s="282">
        <f>ROUND(U70,0)</f>
        <v>0</v>
      </c>
      <c r="M751" s="282">
        <f>ROUND(U71,0)</f>
        <v>164225</v>
      </c>
      <c r="N751" s="282">
        <f>ROUND(U76,0)</f>
        <v>0</v>
      </c>
      <c r="O751" s="282">
        <f>ROUND(U74,0)</f>
        <v>0</v>
      </c>
      <c r="P751" s="282">
        <f>IF(U77&gt;0,ROUND(U77,0),0)</f>
        <v>0</v>
      </c>
      <c r="Q751" s="282">
        <f>IF(U78&gt;0,ROUND(U78,0),0)</f>
        <v>0</v>
      </c>
      <c r="R751" s="282">
        <f>IF(U79&gt;0,ROUND(U79,0),0)</f>
        <v>0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>
        <f t="shared" si="21"/>
        <v>0</v>
      </c>
    </row>
    <row r="752" spans="1:26" ht="12.65" customHeight="1" x14ac:dyDescent="0.3">
      <c r="A752" s="209" t="str">
        <f>RIGHT($C$84,3)&amp;"*"&amp;RIGHT($C$83,4)&amp;"*"&amp;V$55&amp;"*"&amp;"A"</f>
        <v>ute*157*7110*A</v>
      </c>
      <c r="B752" s="282">
        <f>ROUND(V59,0)</f>
        <v>0</v>
      </c>
      <c r="C752" s="285">
        <f>ROUND(V60,2)</f>
        <v>0</v>
      </c>
      <c r="D752" s="282">
        <f>ROUND(V61,0)</f>
        <v>0</v>
      </c>
      <c r="E752" s="282">
        <f>ROUND(V62,0)</f>
        <v>0</v>
      </c>
      <c r="F752" s="282">
        <f>ROUND(V63,0)</f>
        <v>0</v>
      </c>
      <c r="G752" s="282">
        <f>ROUND(V64,0)</f>
        <v>0</v>
      </c>
      <c r="H752" s="282">
        <f>ROUND(V65,0)</f>
        <v>0</v>
      </c>
      <c r="I752" s="282">
        <f>ROUND(V66,0)</f>
        <v>0</v>
      </c>
      <c r="J752" s="282">
        <f>ROUND(V67,0)</f>
        <v>0</v>
      </c>
      <c r="K752" s="282">
        <f>ROUND(V68,0)</f>
        <v>0</v>
      </c>
      <c r="L752" s="282">
        <f>ROUND(V70,0)</f>
        <v>0</v>
      </c>
      <c r="M752" s="282">
        <f>ROUND(V71,0)</f>
        <v>0</v>
      </c>
      <c r="N752" s="282">
        <f>ROUND(V76,0)</f>
        <v>0</v>
      </c>
      <c r="O752" s="282">
        <f>ROUND(V74,0)</f>
        <v>0</v>
      </c>
      <c r="P752" s="282">
        <f>IF(V77&gt;0,ROUND(V77,0),0)</f>
        <v>0</v>
      </c>
      <c r="Q752" s="282">
        <f>IF(V78&gt;0,ROUND(V78,0),0)</f>
        <v>0</v>
      </c>
      <c r="R752" s="282">
        <f>IF(V79&gt;0,ROUND(V79,0),0)</f>
        <v>0</v>
      </c>
      <c r="S752" s="282">
        <f>IF(V80&gt;0,ROUND(V80,0),0)</f>
        <v>0</v>
      </c>
      <c r="T752" s="285">
        <f>IF(V81&gt;0,ROUND(V81,2),0)</f>
        <v>0</v>
      </c>
      <c r="U752" s="282"/>
      <c r="X752" s="282"/>
      <c r="Y752" s="282"/>
      <c r="Z752" s="282">
        <f t="shared" si="21"/>
        <v>345695</v>
      </c>
    </row>
    <row r="753" spans="1:26" ht="12.65" customHeight="1" x14ac:dyDescent="0.3">
      <c r="A753" s="209" t="str">
        <f>RIGHT($C$84,3)&amp;"*"&amp;RIGHT($C$83,4)&amp;"*"&amp;W$55&amp;"*"&amp;"A"</f>
        <v>ute*157*7120*A</v>
      </c>
      <c r="B753" s="282">
        <f>ROUND(W59,0)</f>
        <v>15</v>
      </c>
      <c r="C753" s="285">
        <f>ROUND(W60,2)</f>
        <v>0</v>
      </c>
      <c r="D753" s="282">
        <f>ROUND(W61,0)</f>
        <v>0</v>
      </c>
      <c r="E753" s="282">
        <f>ROUND(W62,0)</f>
        <v>0</v>
      </c>
      <c r="F753" s="282">
        <f>ROUND(W63,0)</f>
        <v>0</v>
      </c>
      <c r="G753" s="282">
        <f>ROUND(W64,0)</f>
        <v>0</v>
      </c>
      <c r="H753" s="282">
        <f>ROUND(W65,0)</f>
        <v>0</v>
      </c>
      <c r="I753" s="282">
        <f>ROUND(W66,0)</f>
        <v>0</v>
      </c>
      <c r="J753" s="282">
        <f>ROUND(W67,0)</f>
        <v>0</v>
      </c>
      <c r="K753" s="282">
        <f>ROUND(W68,0)</f>
        <v>0</v>
      </c>
      <c r="L753" s="282">
        <f>ROUND(W70,0)</f>
        <v>0</v>
      </c>
      <c r="M753" s="282">
        <f>ROUND(W71,0)</f>
        <v>0</v>
      </c>
      <c r="N753" s="282">
        <f>ROUND(W76,0)</f>
        <v>0</v>
      </c>
      <c r="O753" s="282">
        <f>ROUND(W74,0)</f>
        <v>0</v>
      </c>
      <c r="P753" s="282">
        <f>IF(W77&gt;0,ROUND(W77,0),0)</f>
        <v>0</v>
      </c>
      <c r="Q753" s="282">
        <f>IF(W78&gt;0,ROUND(W78,0),0)</f>
        <v>0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>
        <f t="shared" si="21"/>
        <v>0</v>
      </c>
    </row>
    <row r="754" spans="1:26" ht="12.65" customHeight="1" x14ac:dyDescent="0.3">
      <c r="A754" s="209" t="str">
        <f>RIGHT($C$84,3)&amp;"*"&amp;RIGHT($C$83,4)&amp;"*"&amp;X$55&amp;"*"&amp;"A"</f>
        <v>ute*157*7130*A</v>
      </c>
      <c r="B754" s="282">
        <f>ROUND(X59,0)</f>
        <v>89</v>
      </c>
      <c r="C754" s="285">
        <f>ROUND(X60,2)</f>
        <v>0</v>
      </c>
      <c r="D754" s="282">
        <f>ROUND(X61,0)</f>
        <v>0</v>
      </c>
      <c r="E754" s="282">
        <f>ROUND(X62,0)</f>
        <v>0</v>
      </c>
      <c r="F754" s="282">
        <f>ROUND(X63,0)</f>
        <v>0</v>
      </c>
      <c r="G754" s="282">
        <f>ROUND(X64,0)</f>
        <v>0</v>
      </c>
      <c r="H754" s="282">
        <f>ROUND(X65,0)</f>
        <v>0</v>
      </c>
      <c r="I754" s="282">
        <f>ROUND(X66,0)</f>
        <v>0</v>
      </c>
      <c r="J754" s="282">
        <f>ROUND(X67,0)</f>
        <v>0</v>
      </c>
      <c r="K754" s="282">
        <f>ROUND(X68,0)</f>
        <v>0</v>
      </c>
      <c r="L754" s="282">
        <f>ROUND(X70,0)</f>
        <v>0</v>
      </c>
      <c r="M754" s="282">
        <f>ROUND(X71,0)</f>
        <v>0</v>
      </c>
      <c r="N754" s="282">
        <f>ROUND(X76,0)</f>
        <v>0</v>
      </c>
      <c r="O754" s="282">
        <f>ROUND(X74,0)</f>
        <v>0</v>
      </c>
      <c r="P754" s="282">
        <f>IF(X77&gt;0,ROUND(X77,0),0)</f>
        <v>0</v>
      </c>
      <c r="Q754" s="282">
        <f>IF(X78&gt;0,ROUND(X78,0),0)</f>
        <v>0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>
        <f t="shared" si="21"/>
        <v>2329</v>
      </c>
    </row>
    <row r="755" spans="1:26" ht="12.65" customHeight="1" x14ac:dyDescent="0.3">
      <c r="A755" s="209" t="str">
        <f>RIGHT($C$84,3)&amp;"*"&amp;RIGHT($C$83,4)&amp;"*"&amp;Y$55&amp;"*"&amp;"A"</f>
        <v>ute*157*7140*A</v>
      </c>
      <c r="B755" s="282">
        <f>ROUND(Y59,0)</f>
        <v>153</v>
      </c>
      <c r="C755" s="285">
        <f>ROUND(Y60,2)</f>
        <v>0</v>
      </c>
      <c r="D755" s="282">
        <f>ROUND(Y61,0)</f>
        <v>0</v>
      </c>
      <c r="E755" s="282">
        <f>ROUND(Y62,0)</f>
        <v>0</v>
      </c>
      <c r="F755" s="282">
        <f>ROUND(Y63,0)</f>
        <v>0</v>
      </c>
      <c r="G755" s="282">
        <f>ROUND(Y64,0)</f>
        <v>0</v>
      </c>
      <c r="H755" s="282">
        <f>ROUND(Y65,0)</f>
        <v>0</v>
      </c>
      <c r="I755" s="282">
        <f>ROUND(Y66,0)</f>
        <v>0</v>
      </c>
      <c r="J755" s="282">
        <f>ROUND(Y67,0)</f>
        <v>0</v>
      </c>
      <c r="K755" s="282">
        <f>ROUND(Y68,0)</f>
        <v>0</v>
      </c>
      <c r="L755" s="282">
        <f>ROUND(Y70,0)</f>
        <v>0</v>
      </c>
      <c r="M755" s="282">
        <f>ROUND(Y71,0)</f>
        <v>25230</v>
      </c>
      <c r="N755" s="282">
        <f>ROUND(Y76,0)</f>
        <v>0</v>
      </c>
      <c r="O755" s="282">
        <f>ROUND(Y74,0)</f>
        <v>0</v>
      </c>
      <c r="P755" s="282">
        <f>IF(Y77&gt;0,ROUND(Y77,0),0)</f>
        <v>0</v>
      </c>
      <c r="Q755" s="282">
        <f>IF(Y78&gt;0,ROUND(Y78,0),0)</f>
        <v>0</v>
      </c>
      <c r="R755" s="282">
        <f>IF(Y79&gt;0,ROUND(Y79,0),0)</f>
        <v>0</v>
      </c>
      <c r="S755" s="282">
        <f>IF(Y80&gt;0,ROUND(Y80,0),0)</f>
        <v>0</v>
      </c>
      <c r="T755" s="285">
        <f>IF(Y81&gt;0,ROUND(Y81,2),0)</f>
        <v>0</v>
      </c>
      <c r="U755" s="282"/>
      <c r="X755" s="282"/>
      <c r="Y755" s="282"/>
      <c r="Z755" s="282">
        <f t="shared" si="21"/>
        <v>10792</v>
      </c>
    </row>
    <row r="756" spans="1:26" ht="12.65" customHeight="1" x14ac:dyDescent="0.3">
      <c r="A756" s="209" t="str">
        <f>RIGHT($C$84,3)&amp;"*"&amp;RIGHT($C$83,4)&amp;"*"&amp;Z$55&amp;"*"&amp;"A"</f>
        <v>ute*157*7150*A</v>
      </c>
      <c r="B756" s="282">
        <f>ROUND(Z59,0)</f>
        <v>0</v>
      </c>
      <c r="C756" s="285">
        <f>ROUND(Z60,2)</f>
        <v>0</v>
      </c>
      <c r="D756" s="282">
        <f>ROUND(Z61,0)</f>
        <v>0</v>
      </c>
      <c r="E756" s="282">
        <f>ROUND(Z62,0)</f>
        <v>0</v>
      </c>
      <c r="F756" s="282">
        <f>ROUND(Z63,0)</f>
        <v>0</v>
      </c>
      <c r="G756" s="282">
        <f>ROUND(Z64,0)</f>
        <v>0</v>
      </c>
      <c r="H756" s="282">
        <f>ROUND(Z65,0)</f>
        <v>0</v>
      </c>
      <c r="I756" s="282">
        <f>ROUND(Z66,0)</f>
        <v>0</v>
      </c>
      <c r="J756" s="282">
        <f>ROUND(Z67,0)</f>
        <v>0</v>
      </c>
      <c r="K756" s="282">
        <f>ROUND(Z68,0)</f>
        <v>0</v>
      </c>
      <c r="L756" s="282">
        <f>ROUND(Z70,0)</f>
        <v>0</v>
      </c>
      <c r="M756" s="282">
        <f>ROUND(Z71,0)</f>
        <v>0</v>
      </c>
      <c r="N756" s="282">
        <f>ROUND(Z76,0)</f>
        <v>0</v>
      </c>
      <c r="O756" s="282">
        <f>ROUND(Z74,0)</f>
        <v>0</v>
      </c>
      <c r="P756" s="282">
        <f>IF(Z77&gt;0,ROUND(Z77,0),0)</f>
        <v>0</v>
      </c>
      <c r="Q756" s="282">
        <f>IF(Z78&gt;0,ROUND(Z78,0),0)</f>
        <v>0</v>
      </c>
      <c r="R756" s="282">
        <f>IF(Z79&gt;0,ROUND(Z79,0),0)</f>
        <v>0</v>
      </c>
      <c r="S756" s="282">
        <f>IF(Z80&gt;0,ROUND(Z80,0),0)</f>
        <v>0</v>
      </c>
      <c r="T756" s="285">
        <f>IF(Z81&gt;0,ROUND(Z81,2),0)</f>
        <v>0</v>
      </c>
      <c r="U756" s="282"/>
      <c r="X756" s="282"/>
      <c r="Y756" s="282"/>
      <c r="Z756" s="282">
        <f t="shared" si="21"/>
        <v>17842</v>
      </c>
    </row>
    <row r="757" spans="1:26" ht="12.65" customHeight="1" x14ac:dyDescent="0.3">
      <c r="A757" s="209" t="str">
        <f>RIGHT($C$84,3)&amp;"*"&amp;RIGHT($C$83,4)&amp;"*"&amp;AA$55&amp;"*"&amp;"A"</f>
        <v>ute*157*7160*A</v>
      </c>
      <c r="B757" s="282">
        <f>ROUND(AA59,0)</f>
        <v>1</v>
      </c>
      <c r="C757" s="285">
        <f>ROUND(AA60,2)</f>
        <v>0</v>
      </c>
      <c r="D757" s="282">
        <f>ROUND(AA61,0)</f>
        <v>0</v>
      </c>
      <c r="E757" s="282">
        <f>ROUND(AA62,0)</f>
        <v>0</v>
      </c>
      <c r="F757" s="282">
        <f>ROUND(AA63,0)</f>
        <v>0</v>
      </c>
      <c r="G757" s="282">
        <f>ROUND(AA64,0)</f>
        <v>0</v>
      </c>
      <c r="H757" s="282">
        <f>ROUND(AA65,0)</f>
        <v>0</v>
      </c>
      <c r="I757" s="282">
        <f>ROUND(AA66,0)</f>
        <v>0</v>
      </c>
      <c r="J757" s="282">
        <f>ROUND(AA67,0)</f>
        <v>0</v>
      </c>
      <c r="K757" s="282">
        <f>ROUND(AA68,0)</f>
        <v>0</v>
      </c>
      <c r="L757" s="282">
        <f>ROUND(AA70,0)</f>
        <v>0</v>
      </c>
      <c r="M757" s="282">
        <f>ROUND(AA71,0)</f>
        <v>0</v>
      </c>
      <c r="N757" s="282">
        <f>ROUND(AA76,0)</f>
        <v>0</v>
      </c>
      <c r="O757" s="282">
        <f>ROUND(AA74,0)</f>
        <v>0</v>
      </c>
      <c r="P757" s="282">
        <f>IF(AA77&gt;0,ROUND(AA77,0),0)</f>
        <v>0</v>
      </c>
      <c r="Q757" s="282">
        <f>IF(AA78&gt;0,ROUND(AA78,0),0)</f>
        <v>0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>
        <f t="shared" si="21"/>
        <v>0</v>
      </c>
    </row>
    <row r="758" spans="1:26" ht="12.65" customHeight="1" x14ac:dyDescent="0.3">
      <c r="A758" s="209" t="str">
        <f>RIGHT($C$84,3)&amp;"*"&amp;RIGHT($C$83,4)&amp;"*"&amp;AB$55&amp;"*"&amp;"A"</f>
        <v>ute*157*7170*A</v>
      </c>
      <c r="B758" s="282"/>
      <c r="C758" s="285">
        <f>ROUND(AB60,2)</f>
        <v>7</v>
      </c>
      <c r="D758" s="282">
        <f>ROUND(AB61,0)</f>
        <v>752201</v>
      </c>
      <c r="E758" s="282">
        <f>ROUND(AB62,0)</f>
        <v>209770</v>
      </c>
      <c r="F758" s="282">
        <f>ROUND(AB63,0)</f>
        <v>0</v>
      </c>
      <c r="G758" s="282">
        <f>ROUND(AB64,0)</f>
        <v>535969</v>
      </c>
      <c r="H758" s="282">
        <f>ROUND(AB65,0)</f>
        <v>3</v>
      </c>
      <c r="I758" s="282">
        <f>ROUND(AB66,0)</f>
        <v>13821</v>
      </c>
      <c r="J758" s="282">
        <f>ROUND(AB67,0)</f>
        <v>9184</v>
      </c>
      <c r="K758" s="282">
        <f>ROUND(AB68,0)</f>
        <v>7377</v>
      </c>
      <c r="L758" s="282">
        <f>ROUND(AB70,0)</f>
        <v>0</v>
      </c>
      <c r="M758" s="282">
        <f>ROUND(AB71,0)</f>
        <v>1528269</v>
      </c>
      <c r="N758" s="282">
        <f>ROUND(AB76,0)</f>
        <v>1057</v>
      </c>
      <c r="O758" s="282">
        <f>ROUND(AB74,0)</f>
        <v>0</v>
      </c>
      <c r="P758" s="282">
        <f>IF(AB77&gt;0,ROUND(AB77,0),0)</f>
        <v>0</v>
      </c>
      <c r="Q758" s="282">
        <f>IF(AB78&gt;0,ROUND(AB78,0),0)</f>
        <v>1057</v>
      </c>
      <c r="R758" s="282">
        <f>IF(AB79&gt;0,ROUND(AB79,0),0)</f>
        <v>0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>
        <f t="shared" si="21"/>
        <v>94</v>
      </c>
    </row>
    <row r="759" spans="1:26" ht="12.65" customHeight="1" x14ac:dyDescent="0.3">
      <c r="A759" s="209" t="str">
        <f>RIGHT($C$84,3)&amp;"*"&amp;RIGHT($C$83,4)&amp;"*"&amp;AC$55&amp;"*"&amp;"A"</f>
        <v>ute*157*7180*A</v>
      </c>
      <c r="B759" s="282">
        <f>ROUND(AC59,0)</f>
        <v>7195</v>
      </c>
      <c r="C759" s="285">
        <f>ROUND(AC60,2)</f>
        <v>5.8</v>
      </c>
      <c r="D759" s="282">
        <f>ROUND(AC61,0)</f>
        <v>456152</v>
      </c>
      <c r="E759" s="282">
        <f>ROUND(AC62,0)</f>
        <v>127209</v>
      </c>
      <c r="F759" s="282">
        <f>ROUND(AC63,0)</f>
        <v>0</v>
      </c>
      <c r="G759" s="282">
        <f>ROUND(AC64,0)</f>
        <v>43719</v>
      </c>
      <c r="H759" s="282">
        <f>ROUND(AC65,0)</f>
        <v>308</v>
      </c>
      <c r="I759" s="282">
        <f>ROUND(AC66,0)</f>
        <v>1072</v>
      </c>
      <c r="J759" s="282">
        <f>ROUND(AC67,0)</f>
        <v>4866</v>
      </c>
      <c r="K759" s="282">
        <f>ROUND(AC68,0)</f>
        <v>15229</v>
      </c>
      <c r="L759" s="282">
        <f>ROUND(AC70,0)</f>
        <v>0</v>
      </c>
      <c r="M759" s="282">
        <f>ROUND(AC71,0)</f>
        <v>648555</v>
      </c>
      <c r="N759" s="282">
        <f>ROUND(AC76,0)</f>
        <v>560</v>
      </c>
      <c r="O759" s="282">
        <f>ROUND(AC74,0)</f>
        <v>0</v>
      </c>
      <c r="P759" s="282">
        <f>IF(AC77&gt;0,ROUND(AC77,0),0)</f>
        <v>0</v>
      </c>
      <c r="Q759" s="282">
        <f>IF(AC78&gt;0,ROUND(AC78,0),0)</f>
        <v>560</v>
      </c>
      <c r="R759" s="282">
        <f>IF(AC79&gt;0,ROUND(AC79,0),0)</f>
        <v>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>
        <f t="shared" si="21"/>
        <v>489123</v>
      </c>
    </row>
    <row r="760" spans="1:26" ht="12.65" customHeight="1" x14ac:dyDescent="0.3">
      <c r="A760" s="209" t="str">
        <f>RIGHT($C$84,3)&amp;"*"&amp;RIGHT($C$83,4)&amp;"*"&amp;AD$55&amp;"*"&amp;"A"</f>
        <v>ute*157*7190*A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0</v>
      </c>
      <c r="N760" s="282">
        <f>ROUND(AD76,0)</f>
        <v>0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>
        <f t="shared" si="21"/>
        <v>186981</v>
      </c>
    </row>
    <row r="761" spans="1:26" ht="12.65" customHeight="1" x14ac:dyDescent="0.3">
      <c r="A761" s="209" t="str">
        <f>RIGHT($C$84,3)&amp;"*"&amp;RIGHT($C$83,4)&amp;"*"&amp;AE$55&amp;"*"&amp;"A"</f>
        <v>ute*157*7200*A</v>
      </c>
      <c r="B761" s="282">
        <f>ROUND(AE59,0)</f>
        <v>87983</v>
      </c>
      <c r="C761" s="285">
        <f>ROUND(AE60,2)</f>
        <v>31.4</v>
      </c>
      <c r="D761" s="282">
        <f>ROUND(AE61,0)</f>
        <v>2100008</v>
      </c>
      <c r="E761" s="282">
        <f>ROUND(AE62,0)</f>
        <v>585638</v>
      </c>
      <c r="F761" s="282">
        <f>ROUND(AE63,0)</f>
        <v>0</v>
      </c>
      <c r="G761" s="282">
        <f>ROUND(AE64,0)</f>
        <v>31052</v>
      </c>
      <c r="H761" s="282">
        <f>ROUND(AE65,0)</f>
        <v>1241</v>
      </c>
      <c r="I761" s="282">
        <f>ROUND(AE66,0)</f>
        <v>23299</v>
      </c>
      <c r="J761" s="282">
        <f>ROUND(AE67,0)</f>
        <v>86063</v>
      </c>
      <c r="K761" s="282">
        <f>ROUND(AE68,0)</f>
        <v>0</v>
      </c>
      <c r="L761" s="282">
        <f>ROUND(AE70,0)</f>
        <v>2510</v>
      </c>
      <c r="M761" s="282">
        <f>ROUND(AE71,0)</f>
        <v>2829478</v>
      </c>
      <c r="N761" s="282">
        <f>ROUND(AE76,0)</f>
        <v>9905</v>
      </c>
      <c r="O761" s="282">
        <f>ROUND(AE74,0)</f>
        <v>0</v>
      </c>
      <c r="P761" s="282">
        <f>IF(AE77&gt;0,ROUND(AE77,0),0)</f>
        <v>0</v>
      </c>
      <c r="Q761" s="282">
        <f>IF(AE78&gt;0,ROUND(AE78,0),0)</f>
        <v>9905</v>
      </c>
      <c r="R761" s="282">
        <f>IF(AE79&gt;0,ROUND(AE79,0),0)</f>
        <v>0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>
        <f t="shared" si="21"/>
        <v>0</v>
      </c>
    </row>
    <row r="762" spans="1:26" ht="12.65" customHeight="1" x14ac:dyDescent="0.3">
      <c r="A762" s="209" t="str">
        <f>RIGHT($C$84,3)&amp;"*"&amp;RIGHT($C$83,4)&amp;"*"&amp;AF$55&amp;"*"&amp;"A"</f>
        <v>ute*157*7220*A</v>
      </c>
      <c r="B762" s="282">
        <f>ROUND(AF59,0)</f>
        <v>10977</v>
      </c>
      <c r="C762" s="285">
        <f>ROUND(AF60,2)</f>
        <v>2</v>
      </c>
      <c r="D762" s="282">
        <f>ROUND(AF61,0)</f>
        <v>218008</v>
      </c>
      <c r="E762" s="282">
        <f>ROUND(AF62,0)</f>
        <v>60797</v>
      </c>
      <c r="F762" s="282">
        <f>ROUND(AF63,0)</f>
        <v>0</v>
      </c>
      <c r="G762" s="282">
        <f>ROUND(AF64,0)</f>
        <v>779</v>
      </c>
      <c r="H762" s="282">
        <f>ROUND(AF65,0)</f>
        <v>1350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282713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>
        <f t="shared" si="21"/>
        <v>1180755</v>
      </c>
    </row>
    <row r="763" spans="1:26" ht="12.65" customHeight="1" x14ac:dyDescent="0.3">
      <c r="A763" s="209" t="str">
        <f>RIGHT($C$84,3)&amp;"*"&amp;RIGHT($C$83,4)&amp;"*"&amp;AG$55&amp;"*"&amp;"A"</f>
        <v>ute*157*7230*A</v>
      </c>
      <c r="B763" s="282">
        <f>ROUND(AG59,0)</f>
        <v>0</v>
      </c>
      <c r="C763" s="285">
        <f>ROUND(AG60,2)</f>
        <v>0</v>
      </c>
      <c r="D763" s="282">
        <f>ROUND(AG61,0)</f>
        <v>0</v>
      </c>
      <c r="E763" s="282">
        <f>ROUND(AG62,0)</f>
        <v>0</v>
      </c>
      <c r="F763" s="282">
        <f>ROUND(AG63,0)</f>
        <v>0</v>
      </c>
      <c r="G763" s="282">
        <f>ROUND(AG64,0)</f>
        <v>0</v>
      </c>
      <c r="H763" s="282">
        <f>ROUND(AG65,0)</f>
        <v>0</v>
      </c>
      <c r="I763" s="282">
        <f>ROUND(AG66,0)</f>
        <v>0</v>
      </c>
      <c r="J763" s="282">
        <f>ROUND(AG67,0)</f>
        <v>0</v>
      </c>
      <c r="K763" s="282">
        <f>ROUND(AG68,0)</f>
        <v>0</v>
      </c>
      <c r="L763" s="282">
        <f>ROUND(AG70,0)</f>
        <v>0</v>
      </c>
      <c r="M763" s="282">
        <f>ROUND(AG71,0)</f>
        <v>0</v>
      </c>
      <c r="N763" s="282">
        <f>ROUND(AG76,0)</f>
        <v>0</v>
      </c>
      <c r="O763" s="282">
        <f>ROUND(AG74,0)</f>
        <v>0</v>
      </c>
      <c r="P763" s="282">
        <f>IF(AG77&gt;0,ROUND(AG77,0),0)</f>
        <v>0</v>
      </c>
      <c r="Q763" s="282">
        <f>IF(AG78&gt;0,ROUND(AG78,0),0)</f>
        <v>0</v>
      </c>
      <c r="R763" s="282">
        <f>IF(AG79&gt;0,ROUND(AG79,0),0)</f>
        <v>0</v>
      </c>
      <c r="S763" s="282">
        <f>IF(AG80&gt;0,ROUND(AG80,0),0)</f>
        <v>0</v>
      </c>
      <c r="T763" s="285">
        <f>IF(AG81&gt;0,ROUND(AG81,2),0)</f>
        <v>0</v>
      </c>
      <c r="U763" s="282"/>
      <c r="X763" s="282"/>
      <c r="Y763" s="282"/>
      <c r="Z763" s="282">
        <f t="shared" si="21"/>
        <v>97867</v>
      </c>
    </row>
    <row r="764" spans="1:26" ht="12.65" customHeight="1" x14ac:dyDescent="0.3">
      <c r="A764" s="209" t="str">
        <f>RIGHT($C$84,3)&amp;"*"&amp;RIGHT($C$83,4)&amp;"*"&amp;AH$55&amp;"*"&amp;"A"</f>
        <v>ute*157*7240*A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0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0</v>
      </c>
      <c r="N764" s="282">
        <f>ROUND(AH76,0)</f>
        <v>0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0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>
        <f t="shared" si="21"/>
        <v>0</v>
      </c>
    </row>
    <row r="765" spans="1:26" ht="12.65" customHeight="1" x14ac:dyDescent="0.3">
      <c r="A765" s="209" t="str">
        <f>RIGHT($C$84,3)&amp;"*"&amp;RIGHT($C$83,4)&amp;"*"&amp;AI$55&amp;"*"&amp;"A"</f>
        <v>ute*157*7250*A</v>
      </c>
      <c r="B765" s="282">
        <f>ROUND(AI59,0)</f>
        <v>0</v>
      </c>
      <c r="C765" s="285">
        <f>ROUND(AI60,2)</f>
        <v>0</v>
      </c>
      <c r="D765" s="282">
        <f>ROUND(AI61,0)</f>
        <v>0</v>
      </c>
      <c r="E765" s="282">
        <f>ROUND(AI62,0)</f>
        <v>0</v>
      </c>
      <c r="F765" s="282">
        <f>ROUND(AI63,0)</f>
        <v>0</v>
      </c>
      <c r="G765" s="282">
        <f>ROUND(AI64,0)</f>
        <v>0</v>
      </c>
      <c r="H765" s="282">
        <f>ROUND(AI65,0)</f>
        <v>0</v>
      </c>
      <c r="I765" s="282">
        <f>ROUND(AI66,0)</f>
        <v>0</v>
      </c>
      <c r="J765" s="282">
        <f>ROUND(AI67,0)</f>
        <v>0</v>
      </c>
      <c r="K765" s="282">
        <f>ROUND(AI68,0)</f>
        <v>0</v>
      </c>
      <c r="L765" s="282">
        <f>ROUND(AI70,0)</f>
        <v>0</v>
      </c>
      <c r="M765" s="282">
        <f>ROUND(AI71,0)</f>
        <v>0</v>
      </c>
      <c r="N765" s="282">
        <f>ROUND(AI76,0)</f>
        <v>0</v>
      </c>
      <c r="O765" s="282">
        <f>ROUND(AI74,0)</f>
        <v>0</v>
      </c>
      <c r="P765" s="282">
        <f>IF(AI77&gt;0,ROUND(AI77,0),0)</f>
        <v>0</v>
      </c>
      <c r="Q765" s="282">
        <f>IF(AI78&gt;0,ROUND(AI78,0),0)</f>
        <v>0</v>
      </c>
      <c r="R765" s="282">
        <f>IF(AI79&gt;0,ROUND(AI79,0),0)</f>
        <v>0</v>
      </c>
      <c r="S765" s="282">
        <f>IF(AI80&gt;0,ROUND(AI80,0),0)</f>
        <v>0</v>
      </c>
      <c r="T765" s="285">
        <f>IF(AI81&gt;0,ROUND(AI81,2),0)</f>
        <v>0</v>
      </c>
      <c r="U765" s="282"/>
      <c r="X765" s="282"/>
      <c r="Y765" s="282"/>
      <c r="Z765" s="282">
        <f t="shared" si="21"/>
        <v>0</v>
      </c>
    </row>
    <row r="766" spans="1:26" ht="12.65" customHeight="1" x14ac:dyDescent="0.3">
      <c r="A766" s="209" t="str">
        <f>RIGHT($C$84,3)&amp;"*"&amp;RIGHT($C$83,4)&amp;"*"&amp;AJ$55&amp;"*"&amp;"A"</f>
        <v>ute*157*7260*A</v>
      </c>
      <c r="B766" s="282">
        <f>ROUND(AJ59,0)</f>
        <v>36494</v>
      </c>
      <c r="C766" s="285">
        <f>ROUND(AJ60,2)</f>
        <v>43.4</v>
      </c>
      <c r="D766" s="282">
        <f>ROUND(AJ61,0)</f>
        <v>3485507</v>
      </c>
      <c r="E766" s="282">
        <f>ROUND(AJ62,0)</f>
        <v>972019</v>
      </c>
      <c r="F766" s="282">
        <f>ROUND(AJ63,0)</f>
        <v>21985</v>
      </c>
      <c r="G766" s="282">
        <f>ROUND(AJ64,0)</f>
        <v>10863</v>
      </c>
      <c r="H766" s="282">
        <f>ROUND(AJ65,0)</f>
        <v>22114</v>
      </c>
      <c r="I766" s="282">
        <f>ROUND(AJ66,0)</f>
        <v>776491</v>
      </c>
      <c r="J766" s="282">
        <f>ROUND(AJ67,0)</f>
        <v>167763</v>
      </c>
      <c r="K766" s="282">
        <f>ROUND(AJ68,0)</f>
        <v>31507</v>
      </c>
      <c r="L766" s="282">
        <f>ROUND(AJ70,0)</f>
        <v>1764173</v>
      </c>
      <c r="M766" s="282">
        <f>ROUND(AJ71,0)</f>
        <v>3746904</v>
      </c>
      <c r="N766" s="282">
        <f>ROUND(AJ76,0)</f>
        <v>19308</v>
      </c>
      <c r="O766" s="282">
        <f>ROUND(AJ74,0)</f>
        <v>13531902</v>
      </c>
      <c r="P766" s="282">
        <f>IF(AJ77&gt;0,ROUND(AJ77,0),0)</f>
        <v>0</v>
      </c>
      <c r="Q766" s="282">
        <f>IF(AJ78&gt;0,ROUND(AJ78,0),0)</f>
        <v>19308</v>
      </c>
      <c r="R766" s="282">
        <f>IF(AJ79&gt;0,ROUND(AJ79,0),0)</f>
        <v>20013</v>
      </c>
      <c r="S766" s="282">
        <f>IF(AJ80&gt;0,ROUND(AJ80,0),0)</f>
        <v>0</v>
      </c>
      <c r="T766" s="285">
        <f>IF(AJ81&gt;0,ROUND(AJ81,2),0)</f>
        <v>0</v>
      </c>
      <c r="U766" s="282"/>
      <c r="X766" s="282"/>
      <c r="Y766" s="282"/>
      <c r="Z766" s="282">
        <f t="shared" si="21"/>
        <v>0</v>
      </c>
    </row>
    <row r="767" spans="1:26" ht="12.65" customHeight="1" x14ac:dyDescent="0.3">
      <c r="A767" s="209" t="str">
        <f>RIGHT($C$84,3)&amp;"*"&amp;RIGHT($C$83,4)&amp;"*"&amp;AK$55&amp;"*"&amp;"A"</f>
        <v>ute*157*7310*A</v>
      </c>
      <c r="B767" s="282">
        <f>ROUND(AK59,0)</f>
        <v>102221</v>
      </c>
      <c r="C767" s="285">
        <f>ROUND(AK60,2)</f>
        <v>16.7</v>
      </c>
      <c r="D767" s="282">
        <f>ROUND(AK61,0)</f>
        <v>1307631</v>
      </c>
      <c r="E767" s="282">
        <f>ROUND(AK62,0)</f>
        <v>364665</v>
      </c>
      <c r="F767" s="282">
        <f>ROUND(AK63,0)</f>
        <v>0</v>
      </c>
      <c r="G767" s="282">
        <f>ROUND(AK64,0)</f>
        <v>42274</v>
      </c>
      <c r="H767" s="282">
        <f>ROUND(AK65,0)</f>
        <v>0</v>
      </c>
      <c r="I767" s="282">
        <f>ROUND(AK66,0)</f>
        <v>345</v>
      </c>
      <c r="J767" s="282">
        <f>ROUND(AK67,0)</f>
        <v>0</v>
      </c>
      <c r="K767" s="282">
        <f>ROUND(AK68,0)</f>
        <v>0</v>
      </c>
      <c r="L767" s="282">
        <f>ROUND(AK70,0)</f>
        <v>3498</v>
      </c>
      <c r="M767" s="282">
        <f>ROUND(AK71,0)</f>
        <v>1714739</v>
      </c>
      <c r="N767" s="282">
        <f>ROUND(AK76,0)</f>
        <v>0</v>
      </c>
      <c r="O767" s="282">
        <f>ROUND(AK74,0)</f>
        <v>0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>
        <f t="shared" si="21"/>
        <v>1884513</v>
      </c>
    </row>
    <row r="768" spans="1:26" ht="12.65" customHeight="1" x14ac:dyDescent="0.3">
      <c r="A768" s="209" t="str">
        <f>RIGHT($C$84,3)&amp;"*"&amp;RIGHT($C$83,4)&amp;"*"&amp;AL$55&amp;"*"&amp;"A"</f>
        <v>ute*157*7320*A</v>
      </c>
      <c r="B768" s="282">
        <f>ROUND(AL59,0)</f>
        <v>20740</v>
      </c>
      <c r="C768" s="285">
        <f>ROUND(AL60,2)</f>
        <v>6.8</v>
      </c>
      <c r="D768" s="282">
        <f>ROUND(AL61,0)</f>
        <v>592964</v>
      </c>
      <c r="E768" s="282">
        <f>ROUND(AL62,0)</f>
        <v>165362</v>
      </c>
      <c r="F768" s="282">
        <f>ROUND(AL63,0)</f>
        <v>0</v>
      </c>
      <c r="G768" s="282">
        <f>ROUND(AL64,0)</f>
        <v>10987</v>
      </c>
      <c r="H768" s="282">
        <f>ROUND(AL65,0)</f>
        <v>0</v>
      </c>
      <c r="I768" s="282">
        <f>ROUND(AL66,0)</f>
        <v>152</v>
      </c>
      <c r="J768" s="282">
        <f>ROUND(AL67,0)</f>
        <v>0</v>
      </c>
      <c r="K768" s="282">
        <f>ROUND(AL68,0)</f>
        <v>0</v>
      </c>
      <c r="L768" s="282">
        <f>ROUND(AL70,0)</f>
        <v>0</v>
      </c>
      <c r="M768" s="282">
        <f>ROUND(AL71,0)</f>
        <v>772161</v>
      </c>
      <c r="N768" s="282">
        <f>ROUND(AL76,0)</f>
        <v>0</v>
      </c>
      <c r="O768" s="282">
        <f>ROUND(AL74,0)</f>
        <v>0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>
        <f t="shared" si="21"/>
        <v>975401</v>
      </c>
    </row>
    <row r="769" spans="1:26" ht="12.65" customHeight="1" x14ac:dyDescent="0.3">
      <c r="A769" s="209" t="str">
        <f>RIGHT($C$84,3)&amp;"*"&amp;RIGHT($C$83,4)&amp;"*"&amp;AM$55&amp;"*"&amp;"A"</f>
        <v>ute*157*7330*A</v>
      </c>
      <c r="B769" s="282">
        <f>ROUND(AM59,0)</f>
        <v>14990</v>
      </c>
      <c r="C769" s="285">
        <f>ROUND(AM60,2)</f>
        <v>3.2</v>
      </c>
      <c r="D769" s="282">
        <f>ROUND(AM61,0)</f>
        <v>193412</v>
      </c>
      <c r="E769" s="282">
        <f>ROUND(AM62,0)</f>
        <v>53938</v>
      </c>
      <c r="F769" s="282">
        <f>ROUND(AM63,0)</f>
        <v>0</v>
      </c>
      <c r="G769" s="282">
        <f>ROUND(AM64,0)</f>
        <v>2101</v>
      </c>
      <c r="H769" s="282">
        <f>ROUND(AM65,0)</f>
        <v>0</v>
      </c>
      <c r="I769" s="282">
        <f>ROUND(AM66,0)</f>
        <v>5252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255005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>
        <f t="shared" si="21"/>
        <v>228492</v>
      </c>
    </row>
    <row r="770" spans="1:26" ht="12.65" customHeight="1" x14ac:dyDescent="0.3">
      <c r="A770" s="209" t="str">
        <f>RIGHT($C$84,3)&amp;"*"&amp;RIGHT($C$83,4)&amp;"*"&amp;AN$55&amp;"*"&amp;"A"</f>
        <v>ute*157*7340*A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>
        <f t="shared" si="21"/>
        <v>124735</v>
      </c>
    </row>
    <row r="771" spans="1:26" ht="12.65" customHeight="1" x14ac:dyDescent="0.3">
      <c r="A771" s="209" t="str">
        <f>RIGHT($C$84,3)&amp;"*"&amp;RIGHT($C$83,4)&amp;"*"&amp;AO$55&amp;"*"&amp;"A"</f>
        <v>ute*157*7350*A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>
        <f t="shared" si="21"/>
        <v>0</v>
      </c>
    </row>
    <row r="772" spans="1:26" ht="12.65" customHeight="1" x14ac:dyDescent="0.3">
      <c r="A772" s="209" t="str">
        <f>RIGHT($C$84,3)&amp;"*"&amp;RIGHT($C$83,4)&amp;"*"&amp;AP$55&amp;"*"&amp;"A"</f>
        <v>ute*157*7380*A</v>
      </c>
      <c r="B772" s="282">
        <f>ROUND(AP59,0)</f>
        <v>27451</v>
      </c>
      <c r="C772" s="285">
        <f>ROUND(AP60,2)</f>
        <v>21.1</v>
      </c>
      <c r="D772" s="282">
        <f>ROUND(AP61,0)</f>
        <v>1719101</v>
      </c>
      <c r="E772" s="282">
        <f>ROUND(AP62,0)</f>
        <v>479413</v>
      </c>
      <c r="F772" s="282">
        <f>ROUND(AP63,0)</f>
        <v>0</v>
      </c>
      <c r="G772" s="282">
        <f>ROUND(AP64,0)</f>
        <v>17114</v>
      </c>
      <c r="H772" s="282">
        <f>ROUND(AP65,0)</f>
        <v>26470</v>
      </c>
      <c r="I772" s="282">
        <f>ROUND(AP66,0)</f>
        <v>12024</v>
      </c>
      <c r="J772" s="282">
        <f>ROUND(AP67,0)</f>
        <v>164879</v>
      </c>
      <c r="K772" s="282">
        <f>ROUND(AP68,0)</f>
        <v>321402</v>
      </c>
      <c r="L772" s="282">
        <f>ROUND(AP70,0)</f>
        <v>4031</v>
      </c>
      <c r="M772" s="282">
        <f>ROUND(AP71,0)</f>
        <v>2740068</v>
      </c>
      <c r="N772" s="282">
        <f>ROUND(AP76,0)</f>
        <v>18976</v>
      </c>
      <c r="O772" s="282">
        <f>ROUND(AP74,0)</f>
        <v>9566210</v>
      </c>
      <c r="P772" s="282">
        <f>IF(AP77&gt;0,ROUND(AP77,0),0)</f>
        <v>0</v>
      </c>
      <c r="Q772" s="282">
        <f>IF(AP78&gt;0,ROUND(AP78,0),0)</f>
        <v>18976</v>
      </c>
      <c r="R772" s="282">
        <f>IF(AP79&gt;0,ROUND(AP79,0),0)</f>
        <v>19464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>
        <f t="shared" si="21"/>
        <v>0</v>
      </c>
    </row>
    <row r="773" spans="1:26" ht="12.65" customHeight="1" x14ac:dyDescent="0.3">
      <c r="A773" s="209" t="str">
        <f>RIGHT($C$84,3)&amp;"*"&amp;RIGHT($C$83,4)&amp;"*"&amp;AQ$55&amp;"*"&amp;"A"</f>
        <v>ute*157*7390*A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>
        <f t="shared" si="21"/>
        <v>1505516</v>
      </c>
    </row>
    <row r="774" spans="1:26" ht="12.65" customHeight="1" x14ac:dyDescent="0.3">
      <c r="A774" s="209" t="str">
        <f>RIGHT($C$84,3)&amp;"*"&amp;RIGHT($C$83,4)&amp;"*"&amp;AR$55&amp;"*"&amp;"A"</f>
        <v>ute*157*7400*A</v>
      </c>
      <c r="B774" s="282">
        <f>ROUND(AR59,0)</f>
        <v>0</v>
      </c>
      <c r="C774" s="285">
        <f>ROUND(AR60,2)</f>
        <v>0</v>
      </c>
      <c r="D774" s="282">
        <f>ROUND(AR61,0)</f>
        <v>0</v>
      </c>
      <c r="E774" s="282">
        <f>ROUND(AR62,0)</f>
        <v>0</v>
      </c>
      <c r="F774" s="282">
        <f>ROUND(AR63,0)</f>
        <v>0</v>
      </c>
      <c r="G774" s="282">
        <f>ROUND(AR64,0)</f>
        <v>0</v>
      </c>
      <c r="H774" s="282">
        <f>ROUND(AR65,0)</f>
        <v>0</v>
      </c>
      <c r="I774" s="282">
        <f>ROUND(AR66,0)</f>
        <v>0</v>
      </c>
      <c r="J774" s="282">
        <f>ROUND(AR67,0)</f>
        <v>0</v>
      </c>
      <c r="K774" s="282">
        <f>ROUND(AR68,0)</f>
        <v>0</v>
      </c>
      <c r="L774" s="282">
        <f>ROUND(AR70,0)</f>
        <v>0</v>
      </c>
      <c r="M774" s="282">
        <f>ROUND(AR71,0)</f>
        <v>0</v>
      </c>
      <c r="N774" s="282">
        <f>ROUND(AR76,0)</f>
        <v>0</v>
      </c>
      <c r="O774" s="282">
        <f>ROUND(AR74,0)</f>
        <v>0</v>
      </c>
      <c r="P774" s="282">
        <f>IF(AR77&gt;0,ROUND(AR77,0),0)</f>
        <v>0</v>
      </c>
      <c r="Q774" s="282">
        <f>IF(AR78&gt;0,ROUND(AR78,0),0)</f>
        <v>0</v>
      </c>
      <c r="R774" s="282">
        <f>IF(AR79&gt;0,ROUND(AR79,0),0)</f>
        <v>0</v>
      </c>
      <c r="S774" s="282">
        <f>IF(AR80&gt;0,ROUND(AR80,0),0)</f>
        <v>0</v>
      </c>
      <c r="T774" s="285">
        <f>IF(AR81&gt;0,ROUND(AR81,2),0)</f>
        <v>0</v>
      </c>
      <c r="U774" s="282"/>
      <c r="X774" s="282"/>
      <c r="Y774" s="282"/>
      <c r="Z774" s="282">
        <f t="shared" si="21"/>
        <v>0</v>
      </c>
    </row>
    <row r="775" spans="1:26" ht="12.65" customHeight="1" x14ac:dyDescent="0.3">
      <c r="A775" s="209" t="str">
        <f>RIGHT($C$84,3)&amp;"*"&amp;RIGHT($C$83,4)&amp;"*"&amp;AS$55&amp;"*"&amp;"A"</f>
        <v>ute*157*7410*A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>
        <f t="shared" si="21"/>
        <v>0</v>
      </c>
    </row>
    <row r="776" spans="1:26" ht="12.65" customHeight="1" x14ac:dyDescent="0.3">
      <c r="A776" s="209" t="str">
        <f>RIGHT($C$84,3)&amp;"*"&amp;RIGHT($C$83,4)&amp;"*"&amp;AT$55&amp;"*"&amp;"A"</f>
        <v>ute*157*7420*A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>
        <f t="shared" si="21"/>
        <v>0</v>
      </c>
    </row>
    <row r="777" spans="1:26" ht="12.65" customHeight="1" x14ac:dyDescent="0.3">
      <c r="A777" s="209" t="str">
        <f>RIGHT($C$84,3)&amp;"*"&amp;RIGHT($C$83,4)&amp;"*"&amp;AU$55&amp;"*"&amp;"A"</f>
        <v>ute*157*7430*A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>
        <f t="shared" si="21"/>
        <v>0</v>
      </c>
    </row>
    <row r="778" spans="1:26" ht="12.65" customHeight="1" x14ac:dyDescent="0.3">
      <c r="A778" s="209" t="str">
        <f>RIGHT($C$84,3)&amp;"*"&amp;RIGHT($C$83,4)&amp;"*"&amp;AV$55&amp;"*"&amp;"A"</f>
        <v>ute*157*7490*A</v>
      </c>
      <c r="B778" s="282"/>
      <c r="C778" s="285">
        <f>ROUND(AV60,2)</f>
        <v>0</v>
      </c>
      <c r="D778" s="282">
        <f>ROUND(AV61,0)</f>
        <v>0</v>
      </c>
      <c r="E778" s="282">
        <f>ROUND(AV62,0)</f>
        <v>0</v>
      </c>
      <c r="F778" s="282">
        <f>ROUND(AV63,0)</f>
        <v>0</v>
      </c>
      <c r="G778" s="282">
        <f>ROUND(AV64,0)</f>
        <v>0</v>
      </c>
      <c r="H778" s="282">
        <f>ROUND(AV65,0)</f>
        <v>0</v>
      </c>
      <c r="I778" s="282">
        <f>ROUND(AV66,0)</f>
        <v>0</v>
      </c>
      <c r="J778" s="282">
        <f>ROUND(AV67,0)</f>
        <v>30724</v>
      </c>
      <c r="K778" s="282">
        <f>ROUND(AV68,0)</f>
        <v>0</v>
      </c>
      <c r="L778" s="282">
        <f>ROUND(AV70,0)</f>
        <v>0</v>
      </c>
      <c r="M778" s="282">
        <f>ROUND(AV71,0)</f>
        <v>134438</v>
      </c>
      <c r="N778" s="282">
        <f>ROUND(AV76,0)</f>
        <v>3536</v>
      </c>
      <c r="O778" s="282">
        <f>ROUND(AV74,0)</f>
        <v>0</v>
      </c>
      <c r="P778" s="282">
        <f>IF(AV77&gt;0,ROUND(AV77,0),0)</f>
        <v>0</v>
      </c>
      <c r="Q778" s="282">
        <f>IF(AV78&gt;0,ROUND(AV78,0),0)</f>
        <v>3536</v>
      </c>
      <c r="R778" s="282">
        <f>IF(AV79&gt;0,ROUND(AV79,0),0)</f>
        <v>0</v>
      </c>
      <c r="S778" s="282">
        <f>IF(AV80&gt;0,ROUND(AV80,0),0)</f>
        <v>0</v>
      </c>
      <c r="T778" s="285">
        <f>IF(AV81&gt;0,ROUND(AV81,2),0)</f>
        <v>0</v>
      </c>
      <c r="U778" s="282"/>
      <c r="X778" s="282"/>
      <c r="Y778" s="282"/>
      <c r="Z778" s="282">
        <f t="shared" si="21"/>
        <v>0</v>
      </c>
    </row>
    <row r="779" spans="1:26" ht="12.65" customHeight="1" x14ac:dyDescent="0.3">
      <c r="A779" s="209" t="str">
        <f>RIGHT($C$84,3)&amp;"*"&amp;RIGHT($C$83,4)&amp;"*"&amp;AW$55&amp;"*"&amp;"A"</f>
        <v>ute*157*8200*A</v>
      </c>
      <c r="B779" s="282"/>
      <c r="C779" s="285">
        <f>ROUND(AW60,2)</f>
        <v>1</v>
      </c>
      <c r="D779" s="282">
        <f>ROUND(AW61,0)</f>
        <v>146144</v>
      </c>
      <c r="E779" s="282">
        <f>ROUND(AW62,0)</f>
        <v>40756</v>
      </c>
      <c r="F779" s="282">
        <f>ROUND(AW63,0)</f>
        <v>0</v>
      </c>
      <c r="G779" s="282">
        <f>ROUND(AW64,0)</f>
        <v>0</v>
      </c>
      <c r="H779" s="282">
        <f>ROUND(AW65,0)</f>
        <v>0</v>
      </c>
      <c r="I779" s="282">
        <f>ROUND(AW66,0)</f>
        <v>3579</v>
      </c>
      <c r="J779" s="282">
        <f>ROUND(AW67,0)</f>
        <v>0</v>
      </c>
      <c r="K779" s="282">
        <f>ROUND(AW68,0)</f>
        <v>0</v>
      </c>
      <c r="L779" s="282">
        <f>ROUND(AW70,0)</f>
        <v>28083</v>
      </c>
      <c r="M779" s="282">
        <f>ROUND(AW71,0)</f>
        <v>163380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">
      <c r="A780" s="209" t="str">
        <f>RIGHT($C$84,3)&amp;"*"&amp;RIGHT($C$83,4)&amp;"*"&amp;AX$55&amp;"*"&amp;"A"</f>
        <v>ute*157*8310*A</v>
      </c>
      <c r="B780" s="282"/>
      <c r="C780" s="285">
        <f>ROUND(AX60,2)</f>
        <v>0</v>
      </c>
      <c r="D780" s="282">
        <f>ROUND(AX61,0)</f>
        <v>0</v>
      </c>
      <c r="E780" s="282">
        <f>ROUND(AX62,0)</f>
        <v>0</v>
      </c>
      <c r="F780" s="282">
        <f>ROUND(AX63,0)</f>
        <v>0</v>
      </c>
      <c r="G780" s="282">
        <f>ROUND(AX64,0)</f>
        <v>0</v>
      </c>
      <c r="H780" s="282">
        <f>ROUND(AX65,0)</f>
        <v>0</v>
      </c>
      <c r="I780" s="282">
        <f>ROUND(AX66,0)</f>
        <v>0</v>
      </c>
      <c r="J780" s="282">
        <f>ROUND(AX67,0)</f>
        <v>0</v>
      </c>
      <c r="K780" s="282">
        <f>ROUND(AX68,0)</f>
        <v>0</v>
      </c>
      <c r="L780" s="282">
        <f>ROUND(AX70,0)</f>
        <v>0</v>
      </c>
      <c r="M780" s="282">
        <f>ROUND(AX71,0)</f>
        <v>0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">
      <c r="A781" s="209" t="str">
        <f>RIGHT($C$84,3)&amp;"*"&amp;RIGHT($C$83,4)&amp;"*"&amp;AY$55&amp;"*"&amp;"A"</f>
        <v>ute*157*8320*A</v>
      </c>
      <c r="B781" s="282">
        <f>ROUND(AY59,0)</f>
        <v>58849</v>
      </c>
      <c r="C781" s="285">
        <f>ROUND(AY60,2)</f>
        <v>23.5</v>
      </c>
      <c r="D781" s="282">
        <f>ROUND(AY61,0)</f>
        <v>1053235</v>
      </c>
      <c r="E781" s="282">
        <f>ROUND(AY62,0)</f>
        <v>293720</v>
      </c>
      <c r="F781" s="282">
        <f>ROUND(AY63,0)</f>
        <v>0</v>
      </c>
      <c r="G781" s="282">
        <f>ROUND(AY64,0)</f>
        <v>441741</v>
      </c>
      <c r="H781" s="282">
        <f>ROUND(AY65,0)</f>
        <v>0</v>
      </c>
      <c r="I781" s="282">
        <f>ROUND(AY66,0)</f>
        <v>18425</v>
      </c>
      <c r="J781" s="282">
        <f>ROUND(AY67,0)</f>
        <v>39699</v>
      </c>
      <c r="K781" s="282">
        <f>ROUND(AY68,0)</f>
        <v>0</v>
      </c>
      <c r="L781" s="282">
        <f>ROUND(AY70,0)</f>
        <v>24501</v>
      </c>
      <c r="M781" s="282">
        <f>ROUND(AY71,0)</f>
        <v>1823436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">
      <c r="A782" s="209" t="str">
        <f>RIGHT($C$84,3)&amp;"*"&amp;RIGHT($C$83,4)&amp;"*"&amp;AZ$55&amp;"*"&amp;"A"</f>
        <v>ute*157*8330*A</v>
      </c>
      <c r="B782" s="282">
        <f>ROUND(AZ59,0)</f>
        <v>0</v>
      </c>
      <c r="C782" s="285">
        <f>ROUND(AZ60,2)</f>
        <v>0</v>
      </c>
      <c r="D782" s="282">
        <f>ROUND(AZ61,0)</f>
        <v>0</v>
      </c>
      <c r="E782" s="282">
        <f>ROUND(AZ62,0)</f>
        <v>0</v>
      </c>
      <c r="F782" s="282">
        <f>ROUND(AZ63,0)</f>
        <v>0</v>
      </c>
      <c r="G782" s="282">
        <f>ROUND(AZ64,0)</f>
        <v>0</v>
      </c>
      <c r="H782" s="282">
        <f>ROUND(AZ65,0)</f>
        <v>0</v>
      </c>
      <c r="I782" s="282">
        <f>ROUND(AZ66,0)</f>
        <v>6513</v>
      </c>
      <c r="J782" s="282">
        <f>ROUND(AZ67,0)</f>
        <v>14988</v>
      </c>
      <c r="K782" s="282">
        <f>ROUND(AZ68,0)</f>
        <v>0</v>
      </c>
      <c r="L782" s="282">
        <f>ROUND(AZ70,0)</f>
        <v>258532</v>
      </c>
      <c r="M782" s="282">
        <f>ROUND(AZ71,0)</f>
        <v>-237031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">
      <c r="A783" s="209" t="str">
        <f>RIGHT($C$84,3)&amp;"*"&amp;RIGHT($C$83,4)&amp;"*"&amp;BA$55&amp;"*"&amp;"A"</f>
        <v>ute*157*8350*A</v>
      </c>
      <c r="B783" s="282">
        <f>ROUND(BA59,0)</f>
        <v>0</v>
      </c>
      <c r="C783" s="285">
        <f>ROUND(BA60,2)</f>
        <v>0.9</v>
      </c>
      <c r="D783" s="282">
        <f>ROUND(BA61,0)</f>
        <v>34184</v>
      </c>
      <c r="E783" s="282">
        <f>ROUND(BA62,0)</f>
        <v>9533</v>
      </c>
      <c r="F783" s="282">
        <f>ROUND(BA63,0)</f>
        <v>0</v>
      </c>
      <c r="G783" s="282">
        <f>ROUND(BA64,0)</f>
        <v>154</v>
      </c>
      <c r="H783" s="282">
        <f>ROUND(BA65,0)</f>
        <v>0</v>
      </c>
      <c r="I783" s="282">
        <f>ROUND(BA66,0)</f>
        <v>88371</v>
      </c>
      <c r="J783" s="282">
        <f>ROUND(BA67,0)</f>
        <v>9010</v>
      </c>
      <c r="K783" s="282">
        <f>ROUND(BA68,0)</f>
        <v>0</v>
      </c>
      <c r="L783" s="282">
        <f>ROUND(BA70,0)</f>
        <v>0</v>
      </c>
      <c r="M783" s="282">
        <f>ROUND(BA71,0)</f>
        <v>141252</v>
      </c>
      <c r="N783" s="282"/>
      <c r="O783" s="282"/>
      <c r="P783" s="282">
        <f>IF(BA77&gt;0,ROUND(BA77,0),0)</f>
        <v>0</v>
      </c>
      <c r="Q783" s="282">
        <f>IF(BA78&gt;0,ROUND(BA78,0),0)</f>
        <v>1037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">
      <c r="A784" s="209" t="str">
        <f>RIGHT($C$84,3)&amp;"*"&amp;RIGHT($C$83,4)&amp;"*"&amp;BB$55&amp;"*"&amp;"A"</f>
        <v>ute*157*8360*A</v>
      </c>
      <c r="B784" s="282"/>
      <c r="C784" s="285">
        <f>ROUND(BB60,2)</f>
        <v>7.8</v>
      </c>
      <c r="D784" s="282">
        <f>ROUND(BB61,0)</f>
        <v>775941</v>
      </c>
      <c r="E784" s="282">
        <f>ROUND(BB62,0)</f>
        <v>216390</v>
      </c>
      <c r="F784" s="282">
        <f>ROUND(BB63,0)</f>
        <v>0</v>
      </c>
      <c r="G784" s="282">
        <f>ROUND(BB64,0)</f>
        <v>2141</v>
      </c>
      <c r="H784" s="282">
        <f>ROUND(BB65,0)</f>
        <v>627</v>
      </c>
      <c r="I784" s="282">
        <f>ROUND(BB66,0)</f>
        <v>45</v>
      </c>
      <c r="J784" s="282">
        <f>ROUND(BB67,0)</f>
        <v>0</v>
      </c>
      <c r="K784" s="282">
        <f>ROUND(BB68,0)</f>
        <v>1945</v>
      </c>
      <c r="L784" s="282">
        <f>ROUND(BB70,0)</f>
        <v>0</v>
      </c>
      <c r="M784" s="282">
        <f>ROUND(BB71,0)</f>
        <v>997873</v>
      </c>
      <c r="N784" s="282"/>
      <c r="O784" s="282"/>
      <c r="P784" s="282">
        <f>IF(BB77&gt;0,ROUND(BB77,0),0)</f>
        <v>0</v>
      </c>
      <c r="Q784" s="282">
        <f>IF(BB78&gt;0,ROUND(BB78,0),0)</f>
        <v>0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">
      <c r="A785" s="209" t="str">
        <f>RIGHT($C$84,3)&amp;"*"&amp;RIGHT($C$83,4)&amp;"*"&amp;BC$55&amp;"*"&amp;"A"</f>
        <v>ute*157*8370*A</v>
      </c>
      <c r="B785" s="282"/>
      <c r="C785" s="285">
        <f>ROUND(BC60,2)</f>
        <v>1.3</v>
      </c>
      <c r="D785" s="282">
        <f>ROUND(BC61,0)</f>
        <v>43655</v>
      </c>
      <c r="E785" s="282">
        <f>ROUND(BC62,0)</f>
        <v>12174</v>
      </c>
      <c r="F785" s="282">
        <f>ROUND(BC63,0)</f>
        <v>0</v>
      </c>
      <c r="G785" s="282">
        <f>ROUND(BC64,0)</f>
        <v>1829</v>
      </c>
      <c r="H785" s="282">
        <f>ROUND(BC65,0)</f>
        <v>677</v>
      </c>
      <c r="I785" s="282">
        <f>ROUND(BC66,0)</f>
        <v>44693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103046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">
      <c r="A786" s="209" t="str">
        <f>RIGHT($C$84,3)&amp;"*"&amp;RIGHT($C$83,4)&amp;"*"&amp;BD$55&amp;"*"&amp;"A"</f>
        <v>ute*157*8420*A</v>
      </c>
      <c r="B786" s="282"/>
      <c r="C786" s="285">
        <f>ROUND(BD60,2)</f>
        <v>0</v>
      </c>
      <c r="D786" s="282">
        <f>ROUND(BD61,0)</f>
        <v>0</v>
      </c>
      <c r="E786" s="282">
        <f>ROUND(BD62,0)</f>
        <v>0</v>
      </c>
      <c r="F786" s="282">
        <f>ROUND(BD63,0)</f>
        <v>0</v>
      </c>
      <c r="G786" s="282">
        <f>ROUND(BD64,0)</f>
        <v>0</v>
      </c>
      <c r="H786" s="282">
        <f>ROUND(BD65,0)</f>
        <v>0</v>
      </c>
      <c r="I786" s="282">
        <f>ROUND(BD66,0)</f>
        <v>0</v>
      </c>
      <c r="J786" s="282">
        <f>ROUND(BD67,0)</f>
        <v>0</v>
      </c>
      <c r="K786" s="282">
        <f>ROUND(BD68,0)</f>
        <v>0</v>
      </c>
      <c r="L786" s="282">
        <f>ROUND(BD70,0)</f>
        <v>0</v>
      </c>
      <c r="M786" s="282">
        <f>ROUND(BD71,0)</f>
        <v>0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">
      <c r="A787" s="209" t="str">
        <f>RIGHT($C$84,3)&amp;"*"&amp;RIGHT($C$83,4)&amp;"*"&amp;BE$55&amp;"*"&amp;"A"</f>
        <v>ute*157*8430*A</v>
      </c>
      <c r="B787" s="282">
        <f>ROUND(BE59,0)</f>
        <v>180994</v>
      </c>
      <c r="C787" s="285">
        <f>ROUND(BE60,2)</f>
        <v>18.100000000000001</v>
      </c>
      <c r="D787" s="282">
        <f>ROUND(BE61,0)</f>
        <v>1056093</v>
      </c>
      <c r="E787" s="282">
        <f>ROUND(BE62,0)</f>
        <v>294517</v>
      </c>
      <c r="F787" s="282">
        <f>ROUND(BE63,0)</f>
        <v>0</v>
      </c>
      <c r="G787" s="282">
        <f>ROUND(BE64,0)</f>
        <v>48035</v>
      </c>
      <c r="H787" s="282">
        <f>ROUND(BE65,0)</f>
        <v>423630</v>
      </c>
      <c r="I787" s="282">
        <f>ROUND(BE66,0)</f>
        <v>379906</v>
      </c>
      <c r="J787" s="282">
        <f>ROUND(BE67,0)</f>
        <v>470707</v>
      </c>
      <c r="K787" s="282">
        <f>ROUND(BE68,0)</f>
        <v>1302</v>
      </c>
      <c r="L787" s="282">
        <f>ROUND(BE70,0)</f>
        <v>197223</v>
      </c>
      <c r="M787" s="282">
        <f>ROUND(BE71,0)</f>
        <v>2481582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">
      <c r="A788" s="209" t="str">
        <f>RIGHT($C$84,3)&amp;"*"&amp;RIGHT($C$83,4)&amp;"*"&amp;BF$55&amp;"*"&amp;"A"</f>
        <v>ute*157*8460*A</v>
      </c>
      <c r="B788" s="282"/>
      <c r="C788" s="285">
        <f>ROUND(BF60,2)</f>
        <v>14.9</v>
      </c>
      <c r="D788" s="282">
        <f>ROUND(BF61,0)</f>
        <v>534994</v>
      </c>
      <c r="E788" s="282">
        <f>ROUND(BF62,0)</f>
        <v>149196</v>
      </c>
      <c r="F788" s="282">
        <f>ROUND(BF63,0)</f>
        <v>0</v>
      </c>
      <c r="G788" s="282">
        <f>ROUND(BF64,0)</f>
        <v>74790</v>
      </c>
      <c r="H788" s="282">
        <f>ROUND(BF65,0)</f>
        <v>2460</v>
      </c>
      <c r="I788" s="282">
        <f>ROUND(BF66,0)</f>
        <v>1164</v>
      </c>
      <c r="J788" s="282">
        <f>ROUND(BF67,0)</f>
        <v>4501</v>
      </c>
      <c r="K788" s="282">
        <f>ROUND(BF68,0)</f>
        <v>350</v>
      </c>
      <c r="L788" s="282">
        <f>ROUND(BF70,0)</f>
        <v>0</v>
      </c>
      <c r="M788" s="282">
        <f>ROUND(BF71,0)</f>
        <v>767470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">
      <c r="A789" s="209" t="str">
        <f>RIGHT($C$84,3)&amp;"*"&amp;RIGHT($C$83,4)&amp;"*"&amp;BG$55&amp;"*"&amp;"A"</f>
        <v>ute*157*8470*A</v>
      </c>
      <c r="B789" s="282"/>
      <c r="C789" s="285">
        <f>ROUND(BG60,2)</f>
        <v>1.6</v>
      </c>
      <c r="D789" s="282">
        <f>ROUND(BG61,0)</f>
        <v>67929</v>
      </c>
      <c r="E789" s="282">
        <f>ROUND(BG62,0)</f>
        <v>18944</v>
      </c>
      <c r="F789" s="282">
        <f>ROUND(BG63,0)</f>
        <v>0</v>
      </c>
      <c r="G789" s="282">
        <f>ROUND(BG64,0)</f>
        <v>64</v>
      </c>
      <c r="H789" s="282">
        <f>ROUND(BG65,0)</f>
        <v>25828</v>
      </c>
      <c r="I789" s="282">
        <f>ROUND(BG66,0)</f>
        <v>54034</v>
      </c>
      <c r="J789" s="282">
        <f>ROUND(BG67,0)</f>
        <v>0</v>
      </c>
      <c r="K789" s="282">
        <f>ROUND(BG68,0)</f>
        <v>0</v>
      </c>
      <c r="L789" s="282">
        <f>ROUND(BG70,0)</f>
        <v>0</v>
      </c>
      <c r="M789" s="282">
        <f>ROUND(BG71,0)</f>
        <v>166799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">
      <c r="A790" s="209" t="str">
        <f>RIGHT($C$84,3)&amp;"*"&amp;RIGHT($C$83,4)&amp;"*"&amp;BH$55&amp;"*"&amp;"A"</f>
        <v>ute*157*8480*A</v>
      </c>
      <c r="B790" s="282"/>
      <c r="C790" s="285">
        <f>ROUND(BH60,2)</f>
        <v>0</v>
      </c>
      <c r="D790" s="282">
        <f>ROUND(BH61,0)</f>
        <v>0</v>
      </c>
      <c r="E790" s="282">
        <f>ROUND(BH62,0)</f>
        <v>0</v>
      </c>
      <c r="F790" s="282">
        <f>ROUND(BH63,0)</f>
        <v>0</v>
      </c>
      <c r="G790" s="282">
        <f>ROUND(BH64,0)</f>
        <v>0</v>
      </c>
      <c r="H790" s="282">
        <f>ROUND(BH65,0)</f>
        <v>0</v>
      </c>
      <c r="I790" s="282">
        <f>ROUND(BH66,0)</f>
        <v>0</v>
      </c>
      <c r="J790" s="282">
        <f>ROUND(BH67,0)</f>
        <v>0</v>
      </c>
      <c r="K790" s="282">
        <f>ROUND(BH68,0)</f>
        <v>0</v>
      </c>
      <c r="L790" s="282">
        <f>ROUND(BH70,0)</f>
        <v>0</v>
      </c>
      <c r="M790" s="282">
        <f>ROUND(BH71,0)</f>
        <v>0</v>
      </c>
      <c r="N790" s="282"/>
      <c r="O790" s="282"/>
      <c r="P790" s="282">
        <f>IF(BH77&gt;0,ROUND(BH77,0),0)</f>
        <v>0</v>
      </c>
      <c r="Q790" s="282">
        <f>IF(BH78&gt;0,ROUND(BH78,0),0)</f>
        <v>0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">
      <c r="A791" s="209" t="str">
        <f>RIGHT($C$84,3)&amp;"*"&amp;RIGHT($C$83,4)&amp;"*"&amp;BI$55&amp;"*"&amp;"A"</f>
        <v>ute*157*8490*A</v>
      </c>
      <c r="B791" s="282"/>
      <c r="C791" s="285">
        <f>ROUND(BI60,2)</f>
        <v>0.2</v>
      </c>
      <c r="D791" s="282">
        <f>ROUND(BI61,0)</f>
        <v>10636</v>
      </c>
      <c r="E791" s="282">
        <f>ROUND(BI62,0)</f>
        <v>2966</v>
      </c>
      <c r="F791" s="282">
        <f>ROUND(BI63,0)</f>
        <v>0</v>
      </c>
      <c r="G791" s="282">
        <f>ROUND(BI64,0)</f>
        <v>0</v>
      </c>
      <c r="H791" s="282">
        <f>ROUND(BI65,0)</f>
        <v>0</v>
      </c>
      <c r="I791" s="282">
        <f>ROUND(BI66,0)</f>
        <v>0</v>
      </c>
      <c r="J791" s="282">
        <f>ROUND(BI67,0)</f>
        <v>0</v>
      </c>
      <c r="K791" s="282">
        <f>ROUND(BI68,0)</f>
        <v>0</v>
      </c>
      <c r="L791" s="282">
        <f>ROUND(BI70,0)</f>
        <v>5000</v>
      </c>
      <c r="M791" s="282">
        <f>ROUND(BI71,0)</f>
        <v>8602</v>
      </c>
      <c r="N791" s="282"/>
      <c r="O791" s="282"/>
      <c r="P791" s="282">
        <f>IF(BI77&gt;0,ROUND(BI77,0),0)</f>
        <v>0</v>
      </c>
      <c r="Q791" s="282">
        <f>IF(BI78&gt;0,ROUND(BI78,0),0)</f>
        <v>0</v>
      </c>
      <c r="R791" s="282">
        <f>IF(BI79&gt;0,ROUND(BI79,0),0)</f>
        <v>0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">
      <c r="A792" s="209" t="str">
        <f>RIGHT($C$84,3)&amp;"*"&amp;RIGHT($C$83,4)&amp;"*"&amp;BJ$55&amp;"*"&amp;"A"</f>
        <v>ute*157*8510*A</v>
      </c>
      <c r="B792" s="282"/>
      <c r="C792" s="285">
        <f>ROUND(BJ60,2)</f>
        <v>0</v>
      </c>
      <c r="D792" s="282">
        <f>ROUND(BJ61,0)</f>
        <v>0</v>
      </c>
      <c r="E792" s="282">
        <f>ROUND(BJ62,0)</f>
        <v>0</v>
      </c>
      <c r="F792" s="282">
        <f>ROUND(BJ63,0)</f>
        <v>0</v>
      </c>
      <c r="G792" s="282">
        <f>ROUND(BJ64,0)</f>
        <v>0</v>
      </c>
      <c r="H792" s="282">
        <f>ROUND(BJ65,0)</f>
        <v>0</v>
      </c>
      <c r="I792" s="282">
        <f>ROUND(BJ66,0)</f>
        <v>0</v>
      </c>
      <c r="J792" s="282">
        <f>ROUND(BJ67,0)</f>
        <v>0</v>
      </c>
      <c r="K792" s="282">
        <f>ROUND(BJ68,0)</f>
        <v>0</v>
      </c>
      <c r="L792" s="282">
        <f>ROUND(BJ70,0)</f>
        <v>0</v>
      </c>
      <c r="M792" s="282">
        <f>ROUND(BJ71,0)</f>
        <v>0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">
      <c r="A793" s="209" t="str">
        <f>RIGHT($C$84,3)&amp;"*"&amp;RIGHT($C$83,4)&amp;"*"&amp;BK$55&amp;"*"&amp;"A"</f>
        <v>ute*157*8530*A</v>
      </c>
      <c r="B793" s="282"/>
      <c r="C793" s="285">
        <f>ROUND(BK60,2)</f>
        <v>7.2</v>
      </c>
      <c r="D793" s="282">
        <f>ROUND(BK61,0)</f>
        <v>298897</v>
      </c>
      <c r="E793" s="282">
        <f>ROUND(BK62,0)</f>
        <v>83355</v>
      </c>
      <c r="F793" s="282">
        <f>ROUND(BK63,0)</f>
        <v>405520</v>
      </c>
      <c r="G793" s="282">
        <f>ROUND(BK64,0)</f>
        <v>1476</v>
      </c>
      <c r="H793" s="282">
        <f>ROUND(BK65,0)</f>
        <v>754</v>
      </c>
      <c r="I793" s="282">
        <f>ROUND(BK66,0)</f>
        <v>55125</v>
      </c>
      <c r="J793" s="282">
        <f>ROUND(BK67,0)</f>
        <v>0</v>
      </c>
      <c r="K793" s="282">
        <f>ROUND(BK68,0)</f>
        <v>3174</v>
      </c>
      <c r="L793" s="282">
        <f>ROUND(BK70,0)</f>
        <v>0</v>
      </c>
      <c r="M793" s="282">
        <f>ROUND(BK71,0)</f>
        <v>866271</v>
      </c>
      <c r="N793" s="282"/>
      <c r="O793" s="282"/>
      <c r="P793" s="282">
        <f>IF(BK77&gt;0,ROUND(BK77,0),0)</f>
        <v>0</v>
      </c>
      <c r="Q793" s="282">
        <f>IF(BK78&gt;0,ROUND(BK78,0),0)</f>
        <v>0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">
      <c r="A794" s="209" t="str">
        <f>RIGHT($C$84,3)&amp;"*"&amp;RIGHT($C$83,4)&amp;"*"&amp;BL$55&amp;"*"&amp;"A"</f>
        <v>ute*157*8560*A</v>
      </c>
      <c r="B794" s="282"/>
      <c r="C794" s="285">
        <f>ROUND(BL60,2)</f>
        <v>18.3</v>
      </c>
      <c r="D794" s="282">
        <f>ROUND(BL61,0)</f>
        <v>761070</v>
      </c>
      <c r="E794" s="282">
        <f>ROUND(BL62,0)</f>
        <v>212243</v>
      </c>
      <c r="F794" s="282">
        <f>ROUND(BL63,0)</f>
        <v>0</v>
      </c>
      <c r="G794" s="282">
        <f>ROUND(BL64,0)</f>
        <v>1843</v>
      </c>
      <c r="H794" s="282">
        <f>ROUND(BL65,0)</f>
        <v>51</v>
      </c>
      <c r="I794" s="282">
        <f>ROUND(BL66,0)</f>
        <v>147</v>
      </c>
      <c r="J794" s="282">
        <f>ROUND(BL67,0)</f>
        <v>0</v>
      </c>
      <c r="K794" s="282">
        <f>ROUND(BL68,0)</f>
        <v>246</v>
      </c>
      <c r="L794" s="282">
        <f>ROUND(BL70,0)</f>
        <v>0</v>
      </c>
      <c r="M794" s="282">
        <f>ROUND(BL71,0)</f>
        <v>975614</v>
      </c>
      <c r="N794" s="282"/>
      <c r="O794" s="282"/>
      <c r="P794" s="282">
        <f>IF(BL77&gt;0,ROUND(BL77,0),0)</f>
        <v>0</v>
      </c>
      <c r="Q794" s="282">
        <f>IF(BL78&gt;0,ROUND(BL78,0),0)</f>
        <v>0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">
      <c r="A795" s="209" t="str">
        <f>RIGHT($C$84,3)&amp;"*"&amp;RIGHT($C$83,4)&amp;"*"&amp;BM$55&amp;"*"&amp;"A"</f>
        <v>ute*157*8590*A</v>
      </c>
      <c r="B795" s="282"/>
      <c r="C795" s="285">
        <f>ROUND(BM60,2)</f>
        <v>0</v>
      </c>
      <c r="D795" s="282">
        <f>ROUND(BM61,0)</f>
        <v>0</v>
      </c>
      <c r="E795" s="282">
        <f>ROUND(BM62,0)</f>
        <v>0</v>
      </c>
      <c r="F795" s="282">
        <f>ROUND(BM63,0)</f>
        <v>0</v>
      </c>
      <c r="G795" s="282">
        <f>ROUND(BM64,0)</f>
        <v>0</v>
      </c>
      <c r="H795" s="282">
        <f>ROUND(BM65,0)</f>
        <v>0</v>
      </c>
      <c r="I795" s="282">
        <f>ROUND(BM66,0)</f>
        <v>0</v>
      </c>
      <c r="J795" s="282">
        <f>ROUND(BM67,0)</f>
        <v>0</v>
      </c>
      <c r="K795" s="282">
        <f>ROUND(BM68,0)</f>
        <v>0</v>
      </c>
      <c r="L795" s="282">
        <f>ROUND(BM70,0)</f>
        <v>0</v>
      </c>
      <c r="M795" s="282">
        <f>ROUND(BM71,0)</f>
        <v>0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">
      <c r="A796" s="209" t="str">
        <f>RIGHT($C$84,3)&amp;"*"&amp;RIGHT($C$83,4)&amp;"*"&amp;BN$55&amp;"*"&amp;"A"</f>
        <v>ute*157*8610*A</v>
      </c>
      <c r="B796" s="282"/>
      <c r="C796" s="285">
        <f>ROUND(BN60,2)</f>
        <v>8.5</v>
      </c>
      <c r="D796" s="282">
        <f>ROUND(BN61,0)</f>
        <v>1059571</v>
      </c>
      <c r="E796" s="282">
        <f>ROUND(BN62,0)</f>
        <v>295487</v>
      </c>
      <c r="F796" s="282">
        <f>ROUND(BN63,0)</f>
        <v>25970</v>
      </c>
      <c r="G796" s="282">
        <f>ROUND(BN64,0)</f>
        <v>72255</v>
      </c>
      <c r="H796" s="282">
        <f>ROUND(BN65,0)</f>
        <v>27524</v>
      </c>
      <c r="I796" s="282">
        <f>ROUND(BN66,0)</f>
        <v>2833733</v>
      </c>
      <c r="J796" s="282">
        <f>ROUND(BN67,0)</f>
        <v>128004</v>
      </c>
      <c r="K796" s="282">
        <f>ROUND(BN68,0)</f>
        <v>70144</v>
      </c>
      <c r="L796" s="282">
        <f>ROUND(BN70,0)</f>
        <v>1646867</v>
      </c>
      <c r="M796" s="282">
        <f>ROUND(BN71,0)</f>
        <v>2905013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">
      <c r="A797" s="209" t="str">
        <f>RIGHT($C$84,3)&amp;"*"&amp;RIGHT($C$83,4)&amp;"*"&amp;BO$55&amp;"*"&amp;"A"</f>
        <v>ute*157*8620*A</v>
      </c>
      <c r="B797" s="282"/>
      <c r="C797" s="285">
        <f>ROUND(BO60,2)</f>
        <v>0</v>
      </c>
      <c r="D797" s="282">
        <f>ROUND(BO61,0)</f>
        <v>0</v>
      </c>
      <c r="E797" s="282">
        <f>ROUND(BO62,0)</f>
        <v>0</v>
      </c>
      <c r="F797" s="282">
        <f>ROUND(BO63,0)</f>
        <v>0</v>
      </c>
      <c r="G797" s="282">
        <f>ROUND(BO64,0)</f>
        <v>271</v>
      </c>
      <c r="H797" s="282">
        <f>ROUND(BO65,0)</f>
        <v>0</v>
      </c>
      <c r="I797" s="282">
        <f>ROUND(BO66,0)</f>
        <v>0</v>
      </c>
      <c r="J797" s="282">
        <f>ROUND(BO67,0)</f>
        <v>0</v>
      </c>
      <c r="K797" s="282">
        <f>ROUND(BO68,0)</f>
        <v>0</v>
      </c>
      <c r="L797" s="282">
        <f>ROUND(BO70,0)</f>
        <v>0</v>
      </c>
      <c r="M797" s="282">
        <f>ROUND(BO71,0)</f>
        <v>271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">
      <c r="A798" s="209" t="str">
        <f>RIGHT($C$84,3)&amp;"*"&amp;RIGHT($C$83,4)&amp;"*"&amp;BP$55&amp;"*"&amp;"A"</f>
        <v>ute*157*8630*A</v>
      </c>
      <c r="B798" s="282"/>
      <c r="C798" s="285">
        <f>ROUND(BP60,2)</f>
        <v>0.7</v>
      </c>
      <c r="D798" s="282">
        <f>ROUND(BP61,0)</f>
        <v>51575</v>
      </c>
      <c r="E798" s="282">
        <f>ROUND(BP62,0)</f>
        <v>14383</v>
      </c>
      <c r="F798" s="282">
        <f>ROUND(BP63,0)</f>
        <v>0</v>
      </c>
      <c r="G798" s="282">
        <f>ROUND(BP64,0)</f>
        <v>506</v>
      </c>
      <c r="H798" s="282">
        <f>ROUND(BP65,0)</f>
        <v>3</v>
      </c>
      <c r="I798" s="282">
        <f>ROUND(BP66,0)</f>
        <v>6555</v>
      </c>
      <c r="J798" s="282">
        <f>ROUND(BP67,0)</f>
        <v>0</v>
      </c>
      <c r="K798" s="282">
        <f>ROUND(BP68,0)</f>
        <v>0</v>
      </c>
      <c r="L798" s="282">
        <f>ROUND(BP70,0)</f>
        <v>8205</v>
      </c>
      <c r="M798" s="282">
        <f>ROUND(BP71,0)</f>
        <v>71622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">
      <c r="A799" s="209" t="str">
        <f>RIGHT($C$84,3)&amp;"*"&amp;RIGHT($C$83,4)&amp;"*"&amp;BQ$55&amp;"*"&amp;"A"</f>
        <v>ute*157*8640*A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">
      <c r="A800" s="209" t="str">
        <f>RIGHT($C$84,3)&amp;"*"&amp;RIGHT($C$83,4)&amp;"*"&amp;BR$55&amp;"*"&amp;"A"</f>
        <v>ute*157*8650*A</v>
      </c>
      <c r="B800" s="282"/>
      <c r="C800" s="285">
        <f>ROUND(BR60,2)</f>
        <v>0</v>
      </c>
      <c r="D800" s="282">
        <f>ROUND(BR61,0)</f>
        <v>0</v>
      </c>
      <c r="E800" s="282">
        <f>ROUND(BR62,0)</f>
        <v>0</v>
      </c>
      <c r="F800" s="282">
        <f>ROUND(BR63,0)</f>
        <v>0</v>
      </c>
      <c r="G800" s="282">
        <f>ROUND(BR64,0)</f>
        <v>0</v>
      </c>
      <c r="H800" s="282">
        <f>ROUND(BR65,0)</f>
        <v>0</v>
      </c>
      <c r="I800" s="282">
        <f>ROUND(BR66,0)</f>
        <v>0</v>
      </c>
      <c r="J800" s="282">
        <f>ROUND(BR67,0)</f>
        <v>0</v>
      </c>
      <c r="K800" s="282">
        <f>ROUND(BR68,0)</f>
        <v>0</v>
      </c>
      <c r="L800" s="282">
        <f>ROUND(BR70,0)</f>
        <v>0</v>
      </c>
      <c r="M800" s="282">
        <f>ROUND(BR71,0)</f>
        <v>0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">
      <c r="A801" s="209" t="str">
        <f>RIGHT($C$84,3)&amp;"*"&amp;RIGHT($C$83,4)&amp;"*"&amp;BS$55&amp;"*"&amp;"A"</f>
        <v>ute*157*8660*A</v>
      </c>
      <c r="B801" s="282"/>
      <c r="C801" s="285">
        <f>ROUND(BS60,2)</f>
        <v>0</v>
      </c>
      <c r="D801" s="282">
        <f>ROUND(BS61,0)</f>
        <v>0</v>
      </c>
      <c r="E801" s="282">
        <f>ROUND(BS62,0)</f>
        <v>0</v>
      </c>
      <c r="F801" s="282">
        <f>ROUND(BS63,0)</f>
        <v>0</v>
      </c>
      <c r="G801" s="282">
        <f>ROUND(BS64,0)</f>
        <v>0</v>
      </c>
      <c r="H801" s="282">
        <f>ROUND(BS65,0)</f>
        <v>0</v>
      </c>
      <c r="I801" s="282">
        <f>ROUND(BS66,0)</f>
        <v>98</v>
      </c>
      <c r="J801" s="282">
        <f>ROUND(BS67,0)</f>
        <v>0</v>
      </c>
      <c r="K801" s="282">
        <f>ROUND(BS68,0)</f>
        <v>0</v>
      </c>
      <c r="L801" s="282">
        <f>ROUND(BS70,0)</f>
        <v>0</v>
      </c>
      <c r="M801" s="282">
        <f>ROUND(BS71,0)</f>
        <v>1466</v>
      </c>
      <c r="N801" s="282"/>
      <c r="O801" s="282"/>
      <c r="P801" s="282">
        <f>IF(BS77&gt;0,ROUND(BS77,0),0)</f>
        <v>0</v>
      </c>
      <c r="Q801" s="282">
        <f>IF(BS78&gt;0,ROUND(BS78,0),0)</f>
        <v>0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">
      <c r="A802" s="209" t="str">
        <f>RIGHT($C$84,3)&amp;"*"&amp;RIGHT($C$83,4)&amp;"*"&amp;BT$55&amp;"*"&amp;"A"</f>
        <v>ute*157*8670*A</v>
      </c>
      <c r="B802" s="282"/>
      <c r="C802" s="285">
        <f>ROUND(BT60,2)</f>
        <v>1.2</v>
      </c>
      <c r="D802" s="282">
        <f>ROUND(BT61,0)</f>
        <v>93759</v>
      </c>
      <c r="E802" s="282">
        <f>ROUND(BT62,0)</f>
        <v>26147</v>
      </c>
      <c r="F802" s="282">
        <f>ROUND(BT63,0)</f>
        <v>0</v>
      </c>
      <c r="G802" s="282">
        <f>ROUND(BT64,0)</f>
        <v>0</v>
      </c>
      <c r="H802" s="282">
        <f>ROUND(BT65,0)</f>
        <v>0</v>
      </c>
      <c r="I802" s="282">
        <f>ROUND(BT66,0)</f>
        <v>0</v>
      </c>
      <c r="J802" s="282">
        <f>ROUND(BT67,0)</f>
        <v>0</v>
      </c>
      <c r="K802" s="282">
        <f>ROUND(BT68,0)</f>
        <v>0</v>
      </c>
      <c r="L802" s="282">
        <f>ROUND(BT70,0)</f>
        <v>0</v>
      </c>
      <c r="M802" s="282">
        <f>ROUND(BT71,0)</f>
        <v>119906</v>
      </c>
      <c r="N802" s="282"/>
      <c r="O802" s="282"/>
      <c r="P802" s="282">
        <f>IF(BT77&gt;0,ROUND(BT77,0),0)</f>
        <v>0</v>
      </c>
      <c r="Q802" s="282">
        <f>IF(BT78&gt;0,ROUND(BT78,0),0)</f>
        <v>0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">
      <c r="A803" s="209" t="str">
        <f>RIGHT($C$84,3)&amp;"*"&amp;RIGHT($C$83,4)&amp;"*"&amp;BU$55&amp;"*"&amp;"A"</f>
        <v>ute*157*8680*A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">
      <c r="A804" s="209" t="str">
        <f>RIGHT($C$84,3)&amp;"*"&amp;RIGHT($C$83,4)&amp;"*"&amp;BV$55&amp;"*"&amp;"A"</f>
        <v>ute*157*8690*A</v>
      </c>
      <c r="B804" s="282"/>
      <c r="C804" s="285">
        <f>ROUND(BV60,2)</f>
        <v>5</v>
      </c>
      <c r="D804" s="282">
        <f>ROUND(BV61,0)</f>
        <v>254962</v>
      </c>
      <c r="E804" s="282">
        <f>ROUND(BV62,0)</f>
        <v>71102</v>
      </c>
      <c r="F804" s="282">
        <f>ROUND(BV63,0)</f>
        <v>0</v>
      </c>
      <c r="G804" s="282">
        <f>ROUND(BV64,0)</f>
        <v>4730</v>
      </c>
      <c r="H804" s="282">
        <f>ROUND(BV65,0)</f>
        <v>500</v>
      </c>
      <c r="I804" s="282">
        <f>ROUND(BV66,0)</f>
        <v>39191</v>
      </c>
      <c r="J804" s="282">
        <f>ROUND(BV67,0)</f>
        <v>11991</v>
      </c>
      <c r="K804" s="282">
        <f>ROUND(BV68,0)</f>
        <v>0</v>
      </c>
      <c r="L804" s="282">
        <f>ROUND(BV70,0)</f>
        <v>34884</v>
      </c>
      <c r="M804" s="282">
        <f>ROUND(BV71,0)</f>
        <v>347592</v>
      </c>
      <c r="N804" s="282"/>
      <c r="O804" s="282"/>
      <c r="P804" s="282">
        <f>IF(BV77&gt;0,ROUND(BV77,0),0)</f>
        <v>0</v>
      </c>
      <c r="Q804" s="282">
        <f>IF(BV78&gt;0,ROUND(BV78,0),0)</f>
        <v>1380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">
      <c r="A805" s="209" t="str">
        <f>RIGHT($C$84,3)&amp;"*"&amp;RIGHT($C$83,4)&amp;"*"&amp;BW$55&amp;"*"&amp;"A"</f>
        <v>ute*157*8700*A</v>
      </c>
      <c r="B805" s="282"/>
      <c r="C805" s="285">
        <f>ROUND(BW60,2)</f>
        <v>1</v>
      </c>
      <c r="D805" s="282">
        <f>ROUND(BW61,0)</f>
        <v>402828</v>
      </c>
      <c r="E805" s="282">
        <f>ROUND(BW62,0)</f>
        <v>112338</v>
      </c>
      <c r="F805" s="282">
        <f>ROUND(BW63,0)</f>
        <v>0</v>
      </c>
      <c r="G805" s="282">
        <f>ROUND(BW64,0)</f>
        <v>3594</v>
      </c>
      <c r="H805" s="282">
        <f>ROUND(BW65,0)</f>
        <v>905</v>
      </c>
      <c r="I805" s="282">
        <f>ROUND(BW66,0)</f>
        <v>3435</v>
      </c>
      <c r="J805" s="282">
        <f>ROUND(BW67,0)</f>
        <v>81414</v>
      </c>
      <c r="K805" s="282">
        <f>ROUND(BW68,0)</f>
        <v>218</v>
      </c>
      <c r="L805" s="282">
        <f>ROUND(BW70,0)</f>
        <v>2110</v>
      </c>
      <c r="M805" s="282">
        <f>ROUND(BW71,0)</f>
        <v>606079</v>
      </c>
      <c r="N805" s="282"/>
      <c r="O805" s="282"/>
      <c r="P805" s="282">
        <f>IF(BW77&gt;0,ROUND(BW77,0),0)</f>
        <v>0</v>
      </c>
      <c r="Q805" s="282">
        <f>IF(BW78&gt;0,ROUND(BW78,0),0)</f>
        <v>9370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">
      <c r="A806" s="209" t="str">
        <f>RIGHT($C$84,3)&amp;"*"&amp;RIGHT($C$83,4)&amp;"*"&amp;BX$55&amp;"*"&amp;"A"</f>
        <v>ute*157*8710*A</v>
      </c>
      <c r="B806" s="282"/>
      <c r="C806" s="285">
        <f>ROUND(BX60,2)</f>
        <v>22.1</v>
      </c>
      <c r="D806" s="282">
        <f>ROUND(BX61,0)</f>
        <v>1665295</v>
      </c>
      <c r="E806" s="282">
        <f>ROUND(BX62,0)</f>
        <v>464408</v>
      </c>
      <c r="F806" s="282">
        <f>ROUND(BX63,0)</f>
        <v>0</v>
      </c>
      <c r="G806" s="282">
        <f>ROUND(BX64,0)</f>
        <v>8973</v>
      </c>
      <c r="H806" s="282">
        <f>ROUND(BX65,0)</f>
        <v>5083</v>
      </c>
      <c r="I806" s="282">
        <f>ROUND(BX66,0)</f>
        <v>1669</v>
      </c>
      <c r="J806" s="282">
        <f>ROUND(BX67,0)</f>
        <v>12990</v>
      </c>
      <c r="K806" s="282">
        <f>ROUND(BX68,0)</f>
        <v>0</v>
      </c>
      <c r="L806" s="282">
        <f>ROUND(BX70,0)</f>
        <v>0</v>
      </c>
      <c r="M806" s="282">
        <f>ROUND(BX71,0)</f>
        <v>2169513</v>
      </c>
      <c r="N806" s="282"/>
      <c r="O806" s="282"/>
      <c r="P806" s="282">
        <f>IF(BX77&gt;0,ROUND(BX77,0),0)</f>
        <v>0</v>
      </c>
      <c r="Q806" s="282">
        <f>IF(BX78&gt;0,ROUND(BX78,0),0)</f>
        <v>1495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">
      <c r="A807" s="209" t="str">
        <f>RIGHT($C$84,3)&amp;"*"&amp;RIGHT($C$83,4)&amp;"*"&amp;BY$55&amp;"*"&amp;"A"</f>
        <v>ute*157*8720*A</v>
      </c>
      <c r="B807" s="282"/>
      <c r="C807" s="285">
        <f>ROUND(BY60,2)</f>
        <v>0.1</v>
      </c>
      <c r="D807" s="282">
        <f>ROUND(BY61,0)</f>
        <v>5530</v>
      </c>
      <c r="E807" s="282">
        <f>ROUND(BY62,0)</f>
        <v>1542</v>
      </c>
      <c r="F807" s="282">
        <f>ROUND(BY63,0)</f>
        <v>0</v>
      </c>
      <c r="G807" s="282">
        <f>ROUND(BY64,0)</f>
        <v>37</v>
      </c>
      <c r="H807" s="282">
        <f>ROUND(BY65,0)</f>
        <v>712</v>
      </c>
      <c r="I807" s="282">
        <f>ROUND(BY66,0)</f>
        <v>1632</v>
      </c>
      <c r="J807" s="282">
        <f>ROUND(BY67,0)</f>
        <v>19141</v>
      </c>
      <c r="K807" s="282">
        <f>ROUND(BY68,0)</f>
        <v>0</v>
      </c>
      <c r="L807" s="282">
        <f>ROUND(BY70,0)</f>
        <v>0</v>
      </c>
      <c r="M807" s="282">
        <f>ROUND(BY71,0)</f>
        <v>28594</v>
      </c>
      <c r="N807" s="282"/>
      <c r="O807" s="282"/>
      <c r="P807" s="282">
        <f>IF(BY77&gt;0,ROUND(BY77,0),0)</f>
        <v>0</v>
      </c>
      <c r="Q807" s="282">
        <f>IF(BY78&gt;0,ROUND(BY78,0),0)</f>
        <v>2203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">
      <c r="A808" s="209" t="str">
        <f>RIGHT($C$84,3)&amp;"*"&amp;RIGHT($C$83,4)&amp;"*"&amp;BZ$55&amp;"*"&amp;"A"</f>
        <v>ute*157*8730*A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">
      <c r="A809" s="209" t="str">
        <f>RIGHT($C$84,3)&amp;"*"&amp;RIGHT($C$83,4)&amp;"*"&amp;CA$55&amp;"*"&amp;"A"</f>
        <v>ute*157*8740*A</v>
      </c>
      <c r="B809" s="282"/>
      <c r="C809" s="285">
        <f>ROUND(CA60,2)</f>
        <v>0</v>
      </c>
      <c r="D809" s="282">
        <f>ROUND(CA61,0)</f>
        <v>0</v>
      </c>
      <c r="E809" s="282">
        <f>ROUND(CA62,0)</f>
        <v>0</v>
      </c>
      <c r="F809" s="282">
        <f>ROUND(CA63,0)</f>
        <v>0</v>
      </c>
      <c r="G809" s="282">
        <f>ROUND(CA64,0)</f>
        <v>0</v>
      </c>
      <c r="H809" s="282">
        <f>ROUND(CA65,0)</f>
        <v>0</v>
      </c>
      <c r="I809" s="282">
        <f>ROUND(CA66,0)</f>
        <v>1040</v>
      </c>
      <c r="J809" s="282">
        <f>ROUND(CA67,0)</f>
        <v>0</v>
      </c>
      <c r="K809" s="282">
        <f>ROUND(CA68,0)</f>
        <v>0</v>
      </c>
      <c r="L809" s="282">
        <f>ROUND(CA70,0)</f>
        <v>1025</v>
      </c>
      <c r="M809" s="282">
        <f>ROUND(CA71,0)</f>
        <v>15</v>
      </c>
      <c r="N809" s="282"/>
      <c r="O809" s="282"/>
      <c r="P809" s="282">
        <f>IF(CA77&gt;0,ROUND(CA77,0),0)</f>
        <v>0</v>
      </c>
      <c r="Q809" s="282">
        <f>IF(CA78&gt;0,ROUND(CA78,0),0)</f>
        <v>0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">
      <c r="A810" s="209" t="str">
        <f>RIGHT($C$84,3)&amp;"*"&amp;RIGHT($C$83,4)&amp;"*"&amp;CB$55&amp;"*"&amp;"A"</f>
        <v>ute*157*8770*A</v>
      </c>
      <c r="B810" s="282"/>
      <c r="C810" s="285">
        <f>ROUND(CB60,2)</f>
        <v>0</v>
      </c>
      <c r="D810" s="282">
        <f>ROUND(CB61,0)</f>
        <v>0</v>
      </c>
      <c r="E810" s="282">
        <f>ROUND(CB62,0)</f>
        <v>0</v>
      </c>
      <c r="F810" s="282">
        <f>ROUND(CB63,0)</f>
        <v>0</v>
      </c>
      <c r="G810" s="282">
        <f>ROUND(CB64,0)</f>
        <v>0</v>
      </c>
      <c r="H810" s="282">
        <f>ROUND(CB65,0)</f>
        <v>0</v>
      </c>
      <c r="I810" s="282">
        <f>ROUND(CB66,0)</f>
        <v>0</v>
      </c>
      <c r="J810" s="282">
        <f>ROUND(CB67,0)</f>
        <v>0</v>
      </c>
      <c r="K810" s="282">
        <f>ROUND(CB68,0)</f>
        <v>0</v>
      </c>
      <c r="L810" s="282">
        <f>ROUND(CB70,0)</f>
        <v>0</v>
      </c>
      <c r="M810" s="282">
        <f>ROUND(CB71,0)</f>
        <v>0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">
      <c r="A811" s="209" t="str">
        <f>RIGHT($C$84,3)&amp;"*"&amp;RIGHT($C$83,4)&amp;"*"&amp;CC$55&amp;"*"&amp;"A"</f>
        <v>ute*157*8790*A</v>
      </c>
      <c r="B811" s="282"/>
      <c r="C811" s="285">
        <f>ROUND(CC60,2)</f>
        <v>0</v>
      </c>
      <c r="D811" s="282">
        <f>ROUND(CC61,0)</f>
        <v>0</v>
      </c>
      <c r="E811" s="282">
        <f>ROUND(CC62,0)</f>
        <v>0</v>
      </c>
      <c r="F811" s="282">
        <f>ROUND(CC63,0)</f>
        <v>0</v>
      </c>
      <c r="G811" s="282">
        <f>ROUND(CC64,0)</f>
        <v>0</v>
      </c>
      <c r="H811" s="282">
        <f>ROUND(CC65,0)</f>
        <v>0</v>
      </c>
      <c r="I811" s="282">
        <f>ROUND(CC66,0)</f>
        <v>0</v>
      </c>
      <c r="J811" s="282">
        <f>ROUND(CC67,0)</f>
        <v>3302</v>
      </c>
      <c r="K811" s="282">
        <f>ROUND(CC68,0)</f>
        <v>0</v>
      </c>
      <c r="L811" s="282">
        <f>ROUND(CC70,0)</f>
        <v>0</v>
      </c>
      <c r="M811" s="282">
        <f>ROUND(CC71,0)</f>
        <v>3302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">
      <c r="A812" s="209" t="str">
        <f>RIGHT($C$84,3)&amp;"*"&amp;RIGHT($C$83,4)&amp;"*"&amp;"9000"&amp;"*"&amp;"A"</f>
        <v>ute*157*9000*A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0</v>
      </c>
      <c r="V812" s="180">
        <f>ROUND(CD69,0)</f>
        <v>-44966</v>
      </c>
      <c r="W812" s="180">
        <f>ROUND(CD71,0)</f>
        <v>-44966</v>
      </c>
      <c r="X812" s="282">
        <f>ROUND(CE73,0)</f>
        <v>73545818</v>
      </c>
      <c r="Y812" s="282">
        <f>ROUND(C132,0)</f>
        <v>0</v>
      </c>
      <c r="Z812" s="282"/>
    </row>
    <row r="814" spans="1:26" ht="12.65" customHeight="1" x14ac:dyDescent="0.3">
      <c r="B814" s="199" t="s">
        <v>1004</v>
      </c>
      <c r="C814" s="263">
        <f t="shared" ref="C814:K814" si="22">SUM(C733:C812)</f>
        <v>408.90000000000003</v>
      </c>
      <c r="D814" s="180">
        <f t="shared" si="22"/>
        <v>28753642</v>
      </c>
      <c r="E814" s="180">
        <f t="shared" si="22"/>
        <v>8018654</v>
      </c>
      <c r="F814" s="180">
        <f t="shared" si="22"/>
        <v>453475</v>
      </c>
      <c r="G814" s="180">
        <f t="shared" si="22"/>
        <v>1803094</v>
      </c>
      <c r="H814" s="180">
        <f t="shared" si="22"/>
        <v>543048</v>
      </c>
      <c r="I814" s="180">
        <f t="shared" si="22"/>
        <v>5617172</v>
      </c>
      <c r="J814" s="180">
        <f t="shared" si="22"/>
        <v>1572623</v>
      </c>
      <c r="K814" s="180">
        <f t="shared" si="22"/>
        <v>556247</v>
      </c>
      <c r="L814" s="180">
        <f>SUM(L733:L812)+SUM(U733:U812)</f>
        <v>4022928</v>
      </c>
      <c r="M814" s="180">
        <f>SUM(M733:M812)+SUM(W733:W812)</f>
        <v>43463197</v>
      </c>
      <c r="N814" s="180">
        <f t="shared" ref="N814:Z814" si="23">SUM(N733:N812)</f>
        <v>89411</v>
      </c>
      <c r="O814" s="180">
        <f t="shared" si="23"/>
        <v>23098112</v>
      </c>
      <c r="P814" s="180">
        <f t="shared" si="23"/>
        <v>58849</v>
      </c>
      <c r="Q814" s="180">
        <f t="shared" si="23"/>
        <v>104896</v>
      </c>
      <c r="R814" s="180">
        <f t="shared" si="23"/>
        <v>162361</v>
      </c>
      <c r="S814" s="180">
        <f t="shared" si="23"/>
        <v>67</v>
      </c>
      <c r="T814" s="263">
        <f t="shared" si="23"/>
        <v>0</v>
      </c>
      <c r="U814" s="180">
        <f t="shared" si="23"/>
        <v>0</v>
      </c>
      <c r="V814" s="180">
        <f t="shared" si="23"/>
        <v>-44966</v>
      </c>
      <c r="W814" s="180">
        <f t="shared" si="23"/>
        <v>-44966</v>
      </c>
      <c r="X814" s="180">
        <f t="shared" si="23"/>
        <v>73545818</v>
      </c>
      <c r="Y814" s="180">
        <f t="shared" si="23"/>
        <v>0</v>
      </c>
      <c r="Z814" s="180">
        <f t="shared" si="23"/>
        <v>14335178</v>
      </c>
    </row>
    <row r="815" spans="1:26" ht="12.65" customHeight="1" x14ac:dyDescent="0.3">
      <c r="B815" s="180" t="s">
        <v>1005</v>
      </c>
      <c r="C815" s="263">
        <f>CE60</f>
        <v>408.90000000000003</v>
      </c>
      <c r="D815" s="180">
        <f>CE61</f>
        <v>28753642</v>
      </c>
      <c r="E815" s="180">
        <f>CE62</f>
        <v>8018654</v>
      </c>
      <c r="F815" s="180">
        <f>CE63</f>
        <v>453475</v>
      </c>
      <c r="G815" s="180">
        <f>CE64</f>
        <v>1803094</v>
      </c>
      <c r="H815" s="240">
        <f>CE65</f>
        <v>543048</v>
      </c>
      <c r="I815" s="240">
        <f>CE66</f>
        <v>5617172</v>
      </c>
      <c r="J815" s="240">
        <f>CE67</f>
        <v>1572623</v>
      </c>
      <c r="K815" s="240">
        <f>CE68</f>
        <v>556247</v>
      </c>
      <c r="L815" s="240">
        <f>CE70</f>
        <v>4022928</v>
      </c>
      <c r="M815" s="240">
        <f>CE71</f>
        <v>43463197</v>
      </c>
      <c r="N815" s="180">
        <f>CE76</f>
        <v>180994</v>
      </c>
      <c r="O815" s="180">
        <f>CE74</f>
        <v>23098112</v>
      </c>
      <c r="P815" s="180">
        <f>CE77</f>
        <v>58849</v>
      </c>
      <c r="Q815" s="180">
        <f>CE78</f>
        <v>104896</v>
      </c>
      <c r="R815" s="180">
        <f>CE79</f>
        <v>162361</v>
      </c>
      <c r="S815" s="180">
        <f>CE80</f>
        <v>66.69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14466700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28753642</v>
      </c>
      <c r="G816" s="240">
        <f>C379</f>
        <v>8018655</v>
      </c>
      <c r="H816" s="240">
        <f>C380</f>
        <v>453475</v>
      </c>
      <c r="I816" s="240">
        <f>C381</f>
        <v>1803094</v>
      </c>
      <c r="J816" s="240">
        <f>C382</f>
        <v>543048</v>
      </c>
      <c r="K816" s="240">
        <f>C383</f>
        <v>5617172</v>
      </c>
      <c r="L816" s="240">
        <f>C384+C385+C386+C388</f>
        <v>2132889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St. Luke's Rehabilitation Institute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H-157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711 S Cowley Street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711 S Cowley Street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Spokane, WA 99202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H-157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St. Luke's Rehabilitation Institute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Joel Gilbertson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Larry Soehren 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509-473-6000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509-392-5688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1209</v>
      </c>
      <c r="G23" s="21">
        <f>data!D111</f>
        <v>17314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72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72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102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St. Luke's Rehabilitation Institute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0</v>
      </c>
      <c r="C7" s="48">
        <f>data!B139</f>
        <v>4</v>
      </c>
      <c r="D7" s="48">
        <f>data!B140</f>
        <v>8483.1637185027266</v>
      </c>
      <c r="E7" s="48">
        <f>data!B141</f>
        <v>13617105.489999998</v>
      </c>
      <c r="F7" s="48">
        <f>data!B142</f>
        <v>3037972</v>
      </c>
      <c r="G7" s="48">
        <f>data!B141+data!B142</f>
        <v>16655077.489999998</v>
      </c>
    </row>
    <row r="8" spans="1:13" ht="20.149999999999999" customHeight="1" x14ac:dyDescent="0.35">
      <c r="A8" s="23" t="s">
        <v>297</v>
      </c>
      <c r="B8" s="48">
        <f>data!C138</f>
        <v>0</v>
      </c>
      <c r="C8" s="48">
        <f>data!C139</f>
        <v>0</v>
      </c>
      <c r="D8" s="48">
        <f>data!C140</f>
        <v>6202.5064023376044</v>
      </c>
      <c r="E8" s="48">
        <f>data!C141</f>
        <v>4946834.5600000005</v>
      </c>
      <c r="F8" s="48">
        <f>data!C142</f>
        <v>2221228</v>
      </c>
      <c r="G8" s="48">
        <f>data!C141+data!C142</f>
        <v>7168062.5600000005</v>
      </c>
    </row>
    <row r="9" spans="1:13" ht="20.149999999999999" customHeight="1" x14ac:dyDescent="0.35">
      <c r="A9" s="23" t="s">
        <v>1058</v>
      </c>
      <c r="B9" s="48">
        <f>data!D138</f>
        <v>1217</v>
      </c>
      <c r="C9" s="48">
        <f>data!D139</f>
        <v>17310.010000000009</v>
      </c>
      <c r="D9" s="48">
        <f>data!D140</f>
        <v>56060.329879159675</v>
      </c>
      <c r="E9" s="48">
        <f>data!D141</f>
        <v>45769833.600000001</v>
      </c>
      <c r="F9" s="48">
        <f>data!D142</f>
        <v>20076202.48</v>
      </c>
      <c r="G9" s="48">
        <f>data!D141+data!D142</f>
        <v>65846036.079999998</v>
      </c>
    </row>
    <row r="10" spans="1:13" ht="20.149999999999999" customHeight="1" x14ac:dyDescent="0.35">
      <c r="A10" s="111" t="s">
        <v>203</v>
      </c>
      <c r="B10" s="48">
        <f>data!E138</f>
        <v>1217</v>
      </c>
      <c r="C10" s="48">
        <f>data!E139</f>
        <v>17314.010000000009</v>
      </c>
      <c r="D10" s="48">
        <f>data!E140</f>
        <v>70746</v>
      </c>
      <c r="E10" s="48">
        <f>data!E141</f>
        <v>64333773.649999999</v>
      </c>
      <c r="F10" s="48">
        <f>data!E142</f>
        <v>25335402.48</v>
      </c>
      <c r="G10" s="48">
        <f>data!E141+data!E142</f>
        <v>89669176.129999995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St. Luke's Rehabilitation Institute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2664455.3699999987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759066.41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-56690.039999999994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596272.24000000011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37520.839999999851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4000624.8199999989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1326162.93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191622.52000000002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1517785.45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0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642135.30999999994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760777.37000000023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1402912.6800000002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0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St. Luke's Rehabilitation Institute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622796.66</v>
      </c>
      <c r="D7" s="21">
        <f>data!C195</f>
        <v>0</v>
      </c>
      <c r="E7" s="21">
        <f>data!D195</f>
        <v>0</v>
      </c>
      <c r="F7" s="21">
        <f>data!E195</f>
        <v>622796.66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583676.25</v>
      </c>
      <c r="D8" s="21">
        <f>data!C196</f>
        <v>0</v>
      </c>
      <c r="E8" s="21">
        <f>data!D196</f>
        <v>0</v>
      </c>
      <c r="F8" s="21">
        <f>data!E196</f>
        <v>583676.25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42135706.609999999</v>
      </c>
      <c r="D9" s="21">
        <f>data!C197</f>
        <v>-3071035.83</v>
      </c>
      <c r="E9" s="21">
        <f>data!D197</f>
        <v>0</v>
      </c>
      <c r="F9" s="21">
        <f>data!E197</f>
        <v>39064670.780000001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961862.1</v>
      </c>
      <c r="D11" s="21">
        <f>data!C199</f>
        <v>-17875</v>
      </c>
      <c r="E11" s="21">
        <f>data!D199</f>
        <v>0</v>
      </c>
      <c r="F11" s="21">
        <f>data!E199</f>
        <v>943987.1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4480356.1100000003</v>
      </c>
      <c r="D12" s="21">
        <f>data!C200</f>
        <v>97426.38</v>
      </c>
      <c r="E12" s="21">
        <f>data!D200</f>
        <v>-37000</v>
      </c>
      <c r="F12" s="21">
        <f>data!E200</f>
        <v>4614782.49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128072.27</v>
      </c>
      <c r="D13" s="21">
        <f>data!C201</f>
        <v>0</v>
      </c>
      <c r="E13" s="21">
        <f>data!D201</f>
        <v>0</v>
      </c>
      <c r="F13" s="21">
        <f>data!E201</f>
        <v>128072.27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3780</v>
      </c>
      <c r="D14" s="21">
        <f>data!C202</f>
        <v>-539026.03</v>
      </c>
      <c r="E14" s="21">
        <f>data!D202</f>
        <v>0</v>
      </c>
      <c r="F14" s="21">
        <f>data!E202</f>
        <v>-535246.03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1237590.3</v>
      </c>
      <c r="D15" s="21">
        <f>data!C203</f>
        <v>10093.370000000003</v>
      </c>
      <c r="E15" s="21">
        <f>data!D203</f>
        <v>1229481.6200000001</v>
      </c>
      <c r="F15" s="21">
        <f>data!E203</f>
        <v>18202.050000000047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50153840.299999997</v>
      </c>
      <c r="D16" s="21">
        <f>data!C204</f>
        <v>-3520417.1100000003</v>
      </c>
      <c r="E16" s="21">
        <f>data!D204</f>
        <v>1192481.6200000001</v>
      </c>
      <c r="F16" s="21">
        <f>data!E204</f>
        <v>45440941.57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16458026.710000001</v>
      </c>
      <c r="D25" s="21">
        <f>data!C210</f>
        <v>0</v>
      </c>
      <c r="E25" s="21">
        <f>data!D210</f>
        <v>0</v>
      </c>
      <c r="F25" s="21">
        <f>data!E210</f>
        <v>16458026.710000001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689643.01</v>
      </c>
      <c r="D27" s="21">
        <f>data!C212</f>
        <v>27043.659999999996</v>
      </c>
      <c r="E27" s="21">
        <f>data!D212</f>
        <v>0</v>
      </c>
      <c r="F27" s="21">
        <f>data!E212</f>
        <v>716686.67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3883114.92</v>
      </c>
      <c r="D28" s="21">
        <f>data!C213</f>
        <v>241342.41</v>
      </c>
      <c r="E28" s="21">
        <f>data!D213</f>
        <v>0</v>
      </c>
      <c r="F28" s="21">
        <f>data!E213</f>
        <v>4124457.33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128072.27</v>
      </c>
      <c r="D29" s="21">
        <f>data!C214</f>
        <v>0</v>
      </c>
      <c r="E29" s="21">
        <f>data!D214</f>
        <v>0</v>
      </c>
      <c r="F29" s="21">
        <f>data!E214</f>
        <v>128072.27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2311139.56</v>
      </c>
      <c r="D30" s="21">
        <f>data!C215</f>
        <v>1004808.59</v>
      </c>
      <c r="E30" s="21">
        <f>data!D215</f>
        <v>0</v>
      </c>
      <c r="F30" s="21">
        <f>data!E215</f>
        <v>3315948.15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23469996.469999999</v>
      </c>
      <c r="D32" s="21">
        <f>data!C217</f>
        <v>1273194.6599999999</v>
      </c>
      <c r="E32" s="21">
        <f>data!D217</f>
        <v>0</v>
      </c>
      <c r="F32" s="21">
        <f>data!E217</f>
        <v>24743191.129999999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St. Luke's Rehabilitation Institute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391991.85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8217104.3299999991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4290658.67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1381514.4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863699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2684096.4200000004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30480271.430000003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47917344.25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71.17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321005.39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7151.88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328157.27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48637493.370000005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St. Luke's Rehabilitation Institute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2512751.09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17399194.449999999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11212144.260000002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2501073.59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194423.78999999998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39828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11435126.659999996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6171213.46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6171213.46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622796.66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583676.25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39064670.780000001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943987.1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4742854.76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-535246.03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18202.05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45440941.569999993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24743191.130000003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20697750.43999999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249652.86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249652.86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38553743.419999987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St. Luke's Rehabilitation Institute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132515.76999999996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2528592.12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2266506.83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4927614.7200000007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3333.33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3333.33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148000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148000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148000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33474795.36999999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33474795.36999999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38553743.419999987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St. Luke's Rehabilitation Institute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64333773.650000013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25335402.479999997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89669176.13000001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391991.85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47917344.25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328157.27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48637493.370000005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41031682.760000005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12851767.759999996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12851767.759999996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53883450.520000003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36385492.909999989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4000624.8200000008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254120.90000000002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1654770.8599999994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623056.80999999994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5452438.4000000013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1273194.6599999999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1517785.45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0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1402912.6800000002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775582.72999992222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53339980.219999909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543470.30000009388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11485.380000000001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554955.68000009388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554955.68000009388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St. Luke's Rehabilitation Institute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17314.147027199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262.64000000000004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20958916.43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2304456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472843.85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53579.73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283769.75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253726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354871.76999999996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76624.039999999994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-8653690.4399999995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16105097.130000001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33602711.100000001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24410443.086338099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58013154.186338097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36069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41.87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St. Luke's Rehabilitation Institute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St. Luke's Rehabilitation Institute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-4375.12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-481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33289.17</v>
      </c>
      <c r="F78" s="14">
        <f>data!T64</f>
        <v>0</v>
      </c>
      <c r="G78" s="14">
        <f>data!U64</f>
        <v>23394.01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9020.5299999999988</v>
      </c>
      <c r="F80" s="14">
        <f>data!T66</f>
        <v>0</v>
      </c>
      <c r="G80" s="14">
        <f>data!U66</f>
        <v>121338.58000000002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153014.04999999999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190467.63</v>
      </c>
      <c r="F85" s="14">
        <f>data!T71</f>
        <v>0</v>
      </c>
      <c r="G85" s="14">
        <f>data!U71</f>
        <v>144732.59000000003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234297.74000000002</v>
      </c>
      <c r="F88" s="14">
        <f>data!T73</f>
        <v>0</v>
      </c>
      <c r="G88" s="14">
        <f>data!U73</f>
        <v>4088820.6499999994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511571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234297.74000000002</v>
      </c>
      <c r="F90" s="14">
        <f>data!T75</f>
        <v>0</v>
      </c>
      <c r="G90" s="14">
        <f>data!U75</f>
        <v>4600391.6499999994</v>
      </c>
      <c r="H90" s="14">
        <f>data!V75</f>
        <v>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St. Luke's Rehabilitation Institute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6.9</v>
      </c>
      <c r="H106" s="26">
        <f>data!AC60</f>
        <v>5.7600000000000007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778997</v>
      </c>
      <c r="H107" s="14">
        <f>data!AC61</f>
        <v>493879.18000000005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85652</v>
      </c>
      <c r="H108" s="14">
        <f>data!AC62</f>
        <v>54303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497395.45999999996</v>
      </c>
      <c r="H110" s="14">
        <f>data!AC64</f>
        <v>52803.549999999996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156.01999999999998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5936.579999999999</v>
      </c>
      <c r="H112" s="14">
        <f>data!AC66</f>
        <v>56.480000000000004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7435</v>
      </c>
      <c r="H113" s="14">
        <f>data!AC67</f>
        <v>3939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24128.260000000002</v>
      </c>
      <c r="H114" s="14">
        <f>data!AC68</f>
        <v>11533.98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15339.050000000001</v>
      </c>
      <c r="E115" s="14">
        <f>data!Z69</f>
        <v>0</v>
      </c>
      <c r="F115" s="14">
        <f>data!AA69</f>
        <v>0</v>
      </c>
      <c r="G115" s="14">
        <f>data!AB69</f>
        <v>550.80999999999995</v>
      </c>
      <c r="H115" s="14">
        <f>data!AC69</f>
        <v>2178.88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-10252.67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15339.050000000001</v>
      </c>
      <c r="E117" s="14">
        <f>data!Z71</f>
        <v>0</v>
      </c>
      <c r="F117" s="14">
        <f>data!AA71</f>
        <v>0</v>
      </c>
      <c r="G117" s="14">
        <f>data!AB71</f>
        <v>1400095.11</v>
      </c>
      <c r="H117" s="14">
        <f>data!AC71</f>
        <v>608597.42000000004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413889.07</v>
      </c>
      <c r="E120" s="14">
        <f>data!Z73</f>
        <v>0</v>
      </c>
      <c r="F120" s="14">
        <f>data!AA73</f>
        <v>0</v>
      </c>
      <c r="G120" s="14">
        <f>data!AB73</f>
        <v>3824024.2399999998</v>
      </c>
      <c r="H120" s="14">
        <f>data!AC73</f>
        <v>1969048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413889.07</v>
      </c>
      <c r="E122" s="14">
        <f>data!Z75</f>
        <v>0</v>
      </c>
      <c r="F122" s="14">
        <f>data!AA75</f>
        <v>0</v>
      </c>
      <c r="G122" s="14">
        <f>data!AB75</f>
        <v>3824024.2399999998</v>
      </c>
      <c r="H122" s="14">
        <f>data!AC75</f>
        <v>1969048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1057</v>
      </c>
      <c r="H124" s="14">
        <f>data!AC76</f>
        <v>560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St. Luke's Rehabilitation Institute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30.169999999999998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0.37</v>
      </c>
      <c r="I138" s="26">
        <f>data!AK60</f>
        <v>19.420000000000002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2267200.2799999998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47418.11</v>
      </c>
      <c r="I139" s="14">
        <f>data!AK61</f>
        <v>1540828.1099999999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249281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5214</v>
      </c>
      <c r="I140" s="14">
        <f>data!AK62</f>
        <v>169416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36916.31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386.14</v>
      </c>
      <c r="I142" s="14">
        <f>data!AK64</f>
        <v>22979.579999999998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155.66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254.19000000000003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3079.6099999999997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914.63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69676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135821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57.52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16233.560000000003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26181.449999999997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-255868.06000000003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-785.44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2386731.88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188839.25</v>
      </c>
      <c r="I149" s="14">
        <f>data!AK71</f>
        <v>1759788.5199999998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7729680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10133119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75288.399999999994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7729680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75288.399999999994</v>
      </c>
      <c r="I154" s="14">
        <f>data!AK75</f>
        <v>10133119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9905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19308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St. Luke's Rehabilitation Institute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6.12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570342.48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62710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6036.7599999999993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344.58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133486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2263.15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641696.97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133486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2338184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2338184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18976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St. Luke's Rehabilitation Institute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1</v>
      </c>
      <c r="H202" s="26">
        <f>data!AX60</f>
        <v>0</v>
      </c>
      <c r="I202" s="26">
        <f>data!AY60</f>
        <v>20.88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162424.75</v>
      </c>
      <c r="H203" s="14">
        <f>data!AX61</f>
        <v>0</v>
      </c>
      <c r="I203" s="14">
        <f>data!AY61</f>
        <v>981758.09999999974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17859</v>
      </c>
      <c r="H204" s="14">
        <f>data!AX62</f>
        <v>0</v>
      </c>
      <c r="I204" s="14">
        <f>data!AY62</f>
        <v>107945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3989.3900000000003</v>
      </c>
      <c r="H206" s="14">
        <f>data!AX64</f>
        <v>0</v>
      </c>
      <c r="I206" s="14">
        <f>data!AY64</f>
        <v>248985.30000000005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20.41</v>
      </c>
      <c r="H208" s="14">
        <f>data!AX66</f>
        <v>0</v>
      </c>
      <c r="I208" s="14">
        <f>data!AY66</f>
        <v>214197.12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24874</v>
      </c>
      <c r="G209" s="14">
        <f>data!AW67</f>
        <v>0</v>
      </c>
      <c r="H209" s="14">
        <f>data!AX67</f>
        <v>0</v>
      </c>
      <c r="I209" s="14">
        <f>data!AY67</f>
        <v>32140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1308.1799999999998</v>
      </c>
      <c r="H211" s="14">
        <f>data!AX69</f>
        <v>0</v>
      </c>
      <c r="I211" s="14">
        <f>data!AY69</f>
        <v>15817.66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-65428.729999999996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24874</v>
      </c>
      <c r="G213" s="14">
        <f>data!AW71</f>
        <v>185601.73</v>
      </c>
      <c r="H213" s="14">
        <f>data!AX71</f>
        <v>0</v>
      </c>
      <c r="I213" s="14">
        <f>data!AY71</f>
        <v>1535414.4499999995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3536</v>
      </c>
      <c r="G220" s="14">
        <f>data!AW76</f>
        <v>0</v>
      </c>
      <c r="H220" s="14">
        <f>data!AX76</f>
        <v>0</v>
      </c>
      <c r="I220" s="85">
        <f>data!AY76</f>
        <v>4569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St. Luke's Rehabilitation Institute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180994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0.89</v>
      </c>
      <c r="E234" s="26">
        <f>data!BB60</f>
        <v>7.03</v>
      </c>
      <c r="F234" s="26">
        <f>data!BC60</f>
        <v>1.5300000000000002</v>
      </c>
      <c r="G234" s="26">
        <f>data!BD60</f>
        <v>0</v>
      </c>
      <c r="H234" s="26">
        <f>data!BE60</f>
        <v>30.879999999999995</v>
      </c>
      <c r="I234" s="26">
        <f>data!BF60</f>
        <v>0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36550.050000000003</v>
      </c>
      <c r="E235" s="14">
        <f>data!BB61</f>
        <v>700515.53999999992</v>
      </c>
      <c r="F235" s="14">
        <f>data!BC61</f>
        <v>60831.569999999992</v>
      </c>
      <c r="G235" s="14">
        <f>data!BD61</f>
        <v>0</v>
      </c>
      <c r="H235" s="14">
        <f>data!BE61</f>
        <v>1632178.33</v>
      </c>
      <c r="I235" s="14">
        <f>data!BF61</f>
        <v>0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4019</v>
      </c>
      <c r="E236" s="14">
        <f>data!BB62</f>
        <v>77022</v>
      </c>
      <c r="F236" s="14">
        <f>data!BC62</f>
        <v>6688</v>
      </c>
      <c r="G236" s="14">
        <f>data!BD62</f>
        <v>0</v>
      </c>
      <c r="H236" s="14">
        <f>data!BE62</f>
        <v>179460</v>
      </c>
      <c r="I236" s="14">
        <f>data!BF62</f>
        <v>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76.25</v>
      </c>
      <c r="D238" s="14">
        <f>data!BA64</f>
        <v>6743.68</v>
      </c>
      <c r="E238" s="14">
        <f>data!BB64</f>
        <v>673</v>
      </c>
      <c r="F238" s="14">
        <f>data!BC64</f>
        <v>1188.8600000000001</v>
      </c>
      <c r="G238" s="14">
        <f>data!BD64</f>
        <v>0</v>
      </c>
      <c r="H238" s="14">
        <f>data!BE64</f>
        <v>82324.220000000016</v>
      </c>
      <c r="I238" s="14">
        <f>data!BF64</f>
        <v>0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250</v>
      </c>
      <c r="F239" s="14">
        <f>data!BC65</f>
        <v>156.01999999999998</v>
      </c>
      <c r="G239" s="14">
        <f>data!BD65</f>
        <v>0</v>
      </c>
      <c r="H239" s="14">
        <f>data!BE65</f>
        <v>455192.97999999992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748.40000000000146</v>
      </c>
      <c r="D240" s="14">
        <f>data!BA66</f>
        <v>89968.2</v>
      </c>
      <c r="E240" s="14">
        <f>data!BB66</f>
        <v>65.13</v>
      </c>
      <c r="F240" s="14">
        <f>data!BC66</f>
        <v>32065.409999999993</v>
      </c>
      <c r="G240" s="14">
        <f>data!BD66</f>
        <v>0</v>
      </c>
      <c r="H240" s="14">
        <f>data!BE66</f>
        <v>449026.18000000005</v>
      </c>
      <c r="I240" s="14">
        <f>data!BF66</f>
        <v>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12134</v>
      </c>
      <c r="D241" s="14">
        <f>data!BA67</f>
        <v>7295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381085</v>
      </c>
      <c r="I241" s="14">
        <f>data!BF67</f>
        <v>3644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1401.25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1270.22</v>
      </c>
      <c r="F243" s="14">
        <f>data!BC69</f>
        <v>0</v>
      </c>
      <c r="G243" s="14">
        <f>data!BD69</f>
        <v>0</v>
      </c>
      <c r="H243" s="14">
        <f>data!BE69</f>
        <v>13540.480000000001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-95107.94</v>
      </c>
      <c r="D244" s="14">
        <f>-data!BA70</f>
        <v>0</v>
      </c>
      <c r="E244" s="14">
        <f>-data!BB70</f>
        <v>-6683.57</v>
      </c>
      <c r="F244" s="14">
        <f>-data!BC70</f>
        <v>0</v>
      </c>
      <c r="G244" s="14">
        <f>-data!BD70</f>
        <v>0</v>
      </c>
      <c r="H244" s="14">
        <f>-data!BE70</f>
        <v>-161269.24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-82149.290000000008</v>
      </c>
      <c r="D245" s="14">
        <f>data!BA71</f>
        <v>144575.93</v>
      </c>
      <c r="E245" s="14">
        <f>data!BB71</f>
        <v>773112.31999999995</v>
      </c>
      <c r="F245" s="14">
        <f>data!BC71</f>
        <v>100929.85999999999</v>
      </c>
      <c r="G245" s="14">
        <f>data!BD71</f>
        <v>0</v>
      </c>
      <c r="H245" s="14">
        <f>data!BE71</f>
        <v>3032939.2</v>
      </c>
      <c r="I245" s="14">
        <f>data!BF71</f>
        <v>3644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1725</v>
      </c>
      <c r="D252" s="85">
        <f>data!BA76</f>
        <v>1037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54174</v>
      </c>
      <c r="I252" s="85">
        <f>data!BF76</f>
        <v>518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St. Luke's Rehabilitation Institute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1.61</v>
      </c>
      <c r="D266" s="26">
        <f>data!BH60</f>
        <v>3.8099999999999996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74084.38</v>
      </c>
      <c r="D267" s="14">
        <f>data!BH61</f>
        <v>278782.79000000004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8146</v>
      </c>
      <c r="D268" s="14">
        <f>data!BH62</f>
        <v>30652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211655.34999999998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913.05000000000007</v>
      </c>
      <c r="D270" s="14">
        <f>data!BH64</f>
        <v>94495.319999999992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30928.339999999997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50482.14</v>
      </c>
      <c r="D272" s="14">
        <f>data!BH66</f>
        <v>71847.990000000005</v>
      </c>
      <c r="E272" s="14">
        <f>data!BI66</f>
        <v>0</v>
      </c>
      <c r="F272" s="14">
        <f>data!BJ66</f>
        <v>476821.87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8133.69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-3127.62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161426.29</v>
      </c>
      <c r="D277" s="14">
        <f>data!BH71</f>
        <v>695567.1399999999</v>
      </c>
      <c r="E277" s="14">
        <f>data!BI71</f>
        <v>0</v>
      </c>
      <c r="F277" s="14">
        <f>data!BJ71</f>
        <v>476821.87</v>
      </c>
      <c r="G277" s="14">
        <f>data!BK71</f>
        <v>0</v>
      </c>
      <c r="H277" s="14">
        <f>data!BL71</f>
        <v>0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St. Luke's Rehabilitation Institute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37.880000000000003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1.58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2928506.71</v>
      </c>
      <c r="D299" s="14">
        <f>data!BO61</f>
        <v>269.57</v>
      </c>
      <c r="E299" s="14">
        <f>data!BP61</f>
        <v>-148.38999999999999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108697.29999999999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321993</v>
      </c>
      <c r="D300" s="14">
        <f>data!BO62</f>
        <v>30</v>
      </c>
      <c r="E300" s="14">
        <f>data!BP62</f>
        <v>-16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11951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42465.55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26713.619999999992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65891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1945664.5299999996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103632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1125792.6699999997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384832.51000000007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-577712.54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6367779.0499999989</v>
      </c>
      <c r="D309" s="14">
        <f>data!BO71</f>
        <v>299.57</v>
      </c>
      <c r="E309" s="14">
        <f>data!BP71</f>
        <v>-164.39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120648.29999999999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14732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St. Luke's Rehabilitation Institute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3.91</v>
      </c>
      <c r="E330" s="26">
        <f>data!BW60</f>
        <v>0.02</v>
      </c>
      <c r="F330" s="26">
        <f>data!BX60</f>
        <v>0</v>
      </c>
      <c r="G330" s="26">
        <f>data!BY60</f>
        <v>16.969999999999995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216834.61</v>
      </c>
      <c r="E331" s="86">
        <f>data!BW61</f>
        <v>1015.1200000000001</v>
      </c>
      <c r="F331" s="86">
        <f>data!BX61</f>
        <v>0</v>
      </c>
      <c r="G331" s="86">
        <f>data!BY61</f>
        <v>1754134.9600000002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23841</v>
      </c>
      <c r="E332" s="86">
        <f>data!BW62</f>
        <v>112</v>
      </c>
      <c r="F332" s="86">
        <f>data!BX62</f>
        <v>0</v>
      </c>
      <c r="G332" s="86">
        <f>data!BY62</f>
        <v>192869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1482.1</v>
      </c>
      <c r="E334" s="86">
        <f>data!BW64</f>
        <v>30.18</v>
      </c>
      <c r="F334" s="86">
        <f>data!BX64</f>
        <v>0</v>
      </c>
      <c r="G334" s="86">
        <f>data!BY64</f>
        <v>40617.799999999996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950</v>
      </c>
      <c r="E335" s="86">
        <f>data!BW65</f>
        <v>0</v>
      </c>
      <c r="F335" s="86">
        <f>data!BX65</f>
        <v>0</v>
      </c>
      <c r="G335" s="86">
        <f>data!BY65</f>
        <v>4052.29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22814.62</v>
      </c>
      <c r="E336" s="86">
        <f>data!BW66</f>
        <v>1024243.4200000002</v>
      </c>
      <c r="F336" s="86">
        <f>data!BX66</f>
        <v>0</v>
      </c>
      <c r="G336" s="86">
        <f>data!BY66</f>
        <v>300552.32000000001</v>
      </c>
      <c r="H336" s="86">
        <f>data!BZ66</f>
        <v>0</v>
      </c>
      <c r="I336" s="86">
        <f>data!CA66</f>
        <v>331135.45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9708</v>
      </c>
      <c r="E337" s="86">
        <f>data!BW67</f>
        <v>65913</v>
      </c>
      <c r="F337" s="86">
        <f>data!BX67</f>
        <v>10517</v>
      </c>
      <c r="G337" s="86">
        <f>data!BY67</f>
        <v>15497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933.84</v>
      </c>
      <c r="E339" s="86">
        <f>data!BW69</f>
        <v>0</v>
      </c>
      <c r="F339" s="86">
        <f>data!BX69</f>
        <v>0</v>
      </c>
      <c r="G339" s="86">
        <f>data!BY69</f>
        <v>20538.97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-13941.64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262622.53000000003</v>
      </c>
      <c r="E341" s="14">
        <f>data!BW71</f>
        <v>1091313.7200000002</v>
      </c>
      <c r="F341" s="14">
        <f>data!BX71</f>
        <v>10517</v>
      </c>
      <c r="G341" s="14">
        <f>data!BY71</f>
        <v>2328262.3400000003</v>
      </c>
      <c r="H341" s="14">
        <f>data!BZ71</f>
        <v>0</v>
      </c>
      <c r="I341" s="14">
        <f>data!CA71</f>
        <v>331135.45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1380</v>
      </c>
      <c r="E348" s="85">
        <f>data!BW76</f>
        <v>9370</v>
      </c>
      <c r="F348" s="85">
        <f>data!BX76</f>
        <v>1495</v>
      </c>
      <c r="G348" s="85">
        <f>data!BY76</f>
        <v>2203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St. Luke's Rehabilitation Institute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11.530000000000001</v>
      </c>
      <c r="D362" s="26">
        <f>data!CC60</f>
        <v>-0.63</v>
      </c>
      <c r="E362" s="217"/>
      <c r="F362" s="211"/>
      <c r="G362" s="211"/>
      <c r="H362" s="211"/>
      <c r="I362" s="87">
        <f>data!CE60</f>
        <v>470.27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795851.29999999981</v>
      </c>
      <c r="D363" s="86">
        <f>data!CC61</f>
        <v>0</v>
      </c>
      <c r="E363" s="218"/>
      <c r="F363" s="219"/>
      <c r="G363" s="219"/>
      <c r="H363" s="219"/>
      <c r="I363" s="86">
        <f>data!CE61</f>
        <v>36385493.159999996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87505</v>
      </c>
      <c r="D364" s="86">
        <f>data!CC62</f>
        <v>0</v>
      </c>
      <c r="E364" s="218"/>
      <c r="F364" s="219"/>
      <c r="G364" s="219"/>
      <c r="H364" s="219"/>
      <c r="I364" s="86">
        <f>data!CE62</f>
        <v>4000627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254120.89999999997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493.46999999999991</v>
      </c>
      <c r="D366" s="86">
        <f>data!CC64</f>
        <v>0</v>
      </c>
      <c r="E366" s="218"/>
      <c r="F366" s="219"/>
      <c r="G366" s="219"/>
      <c r="H366" s="219"/>
      <c r="I366" s="86">
        <f>data!CE64</f>
        <v>1654771.0699999998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11490.2</v>
      </c>
      <c r="D367" s="86">
        <f>data!CC65</f>
        <v>0</v>
      </c>
      <c r="E367" s="218"/>
      <c r="F367" s="219"/>
      <c r="G367" s="219"/>
      <c r="H367" s="219"/>
      <c r="I367" s="86">
        <f>data!CE65</f>
        <v>623056.42999999993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17745.930000000004</v>
      </c>
      <c r="D368" s="86">
        <f>data!CC66</f>
        <v>578.54</v>
      </c>
      <c r="E368" s="218"/>
      <c r="F368" s="219"/>
      <c r="G368" s="219"/>
      <c r="H368" s="219"/>
      <c r="I368" s="86">
        <f>data!CE66</f>
        <v>5452438.3999999994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2673</v>
      </c>
      <c r="E369" s="218"/>
      <c r="F369" s="219"/>
      <c r="G369" s="219"/>
      <c r="H369" s="219"/>
      <c r="I369" s="86">
        <f>data!CE67</f>
        <v>1273195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1517785.4499999997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36822.19</v>
      </c>
      <c r="D371" s="86">
        <f>data!CC69</f>
        <v>0</v>
      </c>
      <c r="E371" s="86">
        <f>data!CD69</f>
        <v>1402912.6800000002</v>
      </c>
      <c r="F371" s="219"/>
      <c r="G371" s="219"/>
      <c r="H371" s="219"/>
      <c r="I371" s="86">
        <f>data!CE69</f>
        <v>2178495.41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-1423795.9899999998</v>
      </c>
      <c r="D372" s="14">
        <f>-data!CC70</f>
        <v>-1584103.88</v>
      </c>
      <c r="E372" s="228">
        <f>data!CD70</f>
        <v>0</v>
      </c>
      <c r="F372" s="220"/>
      <c r="G372" s="220"/>
      <c r="H372" s="220"/>
      <c r="I372" s="14">
        <f>-data!CE70</f>
        <v>-12851767.760000002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-473887.89999999991</v>
      </c>
      <c r="D373" s="86">
        <f>data!CC71</f>
        <v>-1580852.3399999999</v>
      </c>
      <c r="E373" s="86">
        <f>data!CD71</f>
        <v>1402912.6800000002</v>
      </c>
      <c r="F373" s="219"/>
      <c r="G373" s="219"/>
      <c r="H373" s="219"/>
      <c r="I373" s="14">
        <f>data!CE71</f>
        <v>40488215.059999987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64333773.800000004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24997302.486338098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89331076.286338106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380</v>
      </c>
      <c r="E380" s="214"/>
      <c r="F380" s="211"/>
      <c r="G380" s="211"/>
      <c r="H380" s="211"/>
      <c r="I380" s="14">
        <f>data!CE76</f>
        <v>180994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0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41.87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2022-06-28T23:04:12Z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2022-06-28T23:02:27Z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98e106ae-cc42-4b36-bf48-0b97ec793bac</vt:lpwstr>
  </property>
  <property fmtid="{D5CDD505-2E9C-101B-9397-08002B2CF9AE}" pid="10" name="MSIP_Label_1520fa42-cf58-4c22-8b93-58cf1d3bd1cb_ContentBits">
    <vt:lpwstr>0</vt:lpwstr>
  </property>
</Properties>
</file>